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charts/chartEx5.xml" ContentType="application/vnd.ms-office.chartex+xml"/>
  <Override PartName="/xl/charts/style11.xml" ContentType="application/vnd.ms-office.chartstyle+xml"/>
  <Override PartName="/xl/charts/colors11.xml" ContentType="application/vnd.ms-office.chartcolorstyle+xml"/>
  <Override PartName="/xl/charts/chartEx6.xml" ContentType="application/vnd.ms-office.chartex+xml"/>
  <Override PartName="/xl/charts/style12.xml" ContentType="application/vnd.ms-office.chartstyle+xml"/>
  <Override PartName="/xl/charts/colors12.xml" ContentType="application/vnd.ms-office.chartcolorstyle+xml"/>
  <Override PartName="/xl/charts/chart7.xml" ContentType="application/vnd.openxmlformats-officedocument.drawingml.chart+xml"/>
  <Override PartName="/xl/charts/style13.xml" ContentType="application/vnd.ms-office.chartstyle+xml"/>
  <Override PartName="/xl/charts/colors13.xml" ContentType="application/vnd.ms-office.chartcolorstyle+xml"/>
  <Override PartName="/xl/charts/chart8.xml" ContentType="application/vnd.openxmlformats-officedocument.drawingml.chart+xml"/>
  <Override PartName="/xl/charts/style14.xml" ContentType="application/vnd.ms-office.chartstyle+xml"/>
  <Override PartName="/xl/charts/colors14.xml" ContentType="application/vnd.ms-office.chartcolorstyle+xml"/>
  <Override PartName="/xl/charts/chartEx7.xml" ContentType="application/vnd.ms-office.chartex+xml"/>
  <Override PartName="/xl/charts/style15.xml" ContentType="application/vnd.ms-office.chartstyle+xml"/>
  <Override PartName="/xl/charts/colors15.xml" ContentType="application/vnd.ms-office.chartcolorstyle+xml"/>
  <Override PartName="/xl/charts/chartEx8.xml" ContentType="application/vnd.ms-office.chartex+xml"/>
  <Override PartName="/xl/charts/style16.xml" ContentType="application/vnd.ms-office.chartstyle+xml"/>
  <Override PartName="/xl/charts/colors16.xml" ContentType="application/vnd.ms-office.chartcolorstyle+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style17.xml" ContentType="application/vnd.ms-office.chartstyle+xml"/>
  <Override PartName="/xl/charts/colors17.xml" ContentType="application/vnd.ms-office.chartcolorstyle+xml"/>
  <Override PartName="/xl/charts/chartEx9.xml" ContentType="application/vnd.ms-office.chartex+xml"/>
  <Override PartName="/xl/charts/style18.xml" ContentType="application/vnd.ms-office.chartstyle+xml"/>
  <Override PartName="/xl/charts/colors18.xml" ContentType="application/vnd.ms-office.chartcolorstyle+xml"/>
  <Override PartName="/xl/charts/chartEx10.xml" ContentType="application/vnd.ms-office.chartex+xml"/>
  <Override PartName="/xl/charts/style19.xml" ContentType="application/vnd.ms-office.chartstyle+xml"/>
  <Override PartName="/xl/charts/colors19.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20.xml" ContentType="application/vnd.ms-office.chartstyle+xml"/>
  <Override PartName="/xl/charts/colors20.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style21.xml" ContentType="application/vnd.ms-office.chartstyle+xml"/>
  <Override PartName="/xl/charts/colors21.xml" ContentType="application/vnd.ms-office.chartcolorstyle+xml"/>
  <Override PartName="/xl/charts/chartEx11.xml" ContentType="application/vnd.ms-office.chartex+xml"/>
  <Override PartName="/xl/charts/style22.xml" ContentType="application/vnd.ms-office.chartstyle+xml"/>
  <Override PartName="/xl/charts/colors22.xml" ContentType="application/vnd.ms-office.chartcolorstyle+xml"/>
  <Override PartName="/xl/charts/chartEx12.xml" ContentType="application/vnd.ms-office.chartex+xml"/>
  <Override PartName="/xl/charts/style23.xml" ContentType="application/vnd.ms-office.chartstyle+xml"/>
  <Override PartName="/xl/charts/colors23.xml" ContentType="application/vnd.ms-office.chartcolorstyle+xml"/>
  <Override PartName="/xl/charts/chart16.xml" ContentType="application/vnd.openxmlformats-officedocument.drawingml.chart+xml"/>
  <Override PartName="/xl/charts/style24.xml" ContentType="application/vnd.ms-office.chartstyle+xml"/>
  <Override PartName="/xl/charts/colors24.xml" ContentType="application/vnd.ms-office.chartcolorstyle+xml"/>
  <Override PartName="/xl/charts/chart17.xml" ContentType="application/vnd.openxmlformats-officedocument.drawingml.chart+xml"/>
  <Override PartName="/xl/charts/style25.xml" ContentType="application/vnd.ms-office.chartstyle+xml"/>
  <Override PartName="/xl/charts/colors25.xml" ContentType="application/vnd.ms-office.chartcolorstyle+xml"/>
  <Override PartName="/xl/charts/chart18.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0.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C:\Users\ak1\ORNL Dropbox\Kristina Armstrong\AM Tools\Submitted to RCR\"/>
    </mc:Choice>
  </mc:AlternateContent>
  <xr:revisionPtr revIDLastSave="0" documentId="13_ncr:1_{955265E4-2AFB-4230-A013-E9A736CDD16B}" xr6:coauthVersionLast="47" xr6:coauthVersionMax="47" xr10:uidLastSave="{00000000-0000-0000-0000-000000000000}"/>
  <bookViews>
    <workbookView xWindow="28800" yWindow="-18960" windowWidth="19200" windowHeight="21000" tabRatio="705" xr2:uid="{00000000-000D-0000-FFFF-FFFF00000000}"/>
  </bookViews>
  <sheets>
    <sheet name="Disclaimer" sheetId="25" r:id="rId1"/>
    <sheet name="Acknowledgements" sheetId="52" r:id="rId2"/>
    <sheet name="Overview" sheetId="54" r:id="rId3"/>
    <sheet name="Intro - Start Here" sheetId="12" r:id="rId4"/>
    <sheet name="Product or Project Details" sheetId="18" r:id="rId5"/>
    <sheet name="CM Calculator (BL)" sheetId="1" r:id="rId6"/>
    <sheet name="AM Calculator (BL)" sheetId="16" state="hidden" r:id="rId7"/>
    <sheet name="AM Calculator (Alt)" sheetId="51" r:id="rId8"/>
    <sheet name="Results" sheetId="17" r:id="rId9"/>
    <sheet name="Databases &gt;" sheetId="56" r:id="rId10"/>
    <sheet name="Material EE" sheetId="40" r:id="rId11"/>
    <sheet name="Form EE" sheetId="42" r:id="rId12"/>
    <sheet name="Conventional Manuf. EE" sheetId="45" r:id="rId13"/>
    <sheet name="Freight or Transportation" sheetId="9" r:id="rId14"/>
    <sheet name="Use Phase" sheetId="31" r:id="rId15"/>
    <sheet name="Applications" sheetId="15" r:id="rId16"/>
    <sheet name="Recycling - End of Life" sheetId="46" r:id="rId17"/>
    <sheet name="HIDE - Lists &amp; Lookups" sheetId="41" state="hidden" r:id="rId18"/>
    <sheet name="HIDE - Post-processing" sheetId="38" state="hidden" r:id="rId19"/>
    <sheet name="HIDE - Tooling" sheetId="47" state="hidden" r:id="rId20"/>
    <sheet name="HIDE - EoL" sheetId="49" state="hidden" r:id="rId21"/>
    <sheet name="References" sheetId="33" r:id="rId22"/>
  </sheets>
  <functionGroups builtInGroupCount="19"/>
  <externalReferences>
    <externalReference r:id="rId23"/>
  </externalReferences>
  <definedNames>
    <definedName name="_xlchart.v1.0" hidden="1">'CM Calculator (BL)'!$B$138:$B$142</definedName>
    <definedName name="_xlchart.v1.1" hidden="1">'CM Calculator (BL)'!$E$138:$E$142</definedName>
    <definedName name="_xlchart.v1.10" hidden="1">'AM Calculator (Alt)'!$E$185:$E$189</definedName>
    <definedName name="_xlchart.v1.11" hidden="1">'AM Calculator (BL)'!$B$163:$B$167</definedName>
    <definedName name="_xlchart.v1.12" hidden="1">'AM Calculator (Alt)'!$E$185:$E$189</definedName>
    <definedName name="_xlchart.v1.13" hidden="1">'AM Calculator (BL)'!$B$163:$B$167</definedName>
    <definedName name="_xlchart.v1.14" hidden="1">'AM Calculator (Alt)'!$D$185:$D$189</definedName>
    <definedName name="_xlchart.v1.15" hidden="1">'AM Calculator (BL)'!$B$163:$B$167</definedName>
    <definedName name="_xlchart.v1.16" hidden="1">Results!$AD$15:$AD$19</definedName>
    <definedName name="_xlchart.v1.17" hidden="1">Results!$B$7:$B$11</definedName>
    <definedName name="_xlchart.v1.18" hidden="1">Results!$AB$15:$AB$19</definedName>
    <definedName name="_xlchart.v1.19" hidden="1">Results!$B$7:$B$11</definedName>
    <definedName name="_xlchart.v1.2" hidden="1">'CM Calculator (BL)'!$B$138:$B$142</definedName>
    <definedName name="_xlchart.v1.20" hidden="1">Results!$AC$15:$AC$19</definedName>
    <definedName name="_xlchart.v1.21" hidden="1">Results!$B$7:$B$11</definedName>
    <definedName name="_xlchart.v1.22" hidden="1">Results!$AA$15:$AA$19</definedName>
    <definedName name="_xlchart.v1.23" hidden="1">Results!$B$7:$B$11</definedName>
    <definedName name="_xlchart.v1.3" hidden="1">'CM Calculator (BL)'!$D$138:$D$142</definedName>
    <definedName name="_xlchart.v1.4" hidden="1">'AM Calculator (BL)'!$B$163:$B$167</definedName>
    <definedName name="_xlchart.v1.5" hidden="1">'AM Calculator (BL)'!$E$163:$E$167</definedName>
    <definedName name="_xlchart.v1.6" hidden="1">'AM Calculator (BL)'!$B$163:$B$167</definedName>
    <definedName name="_xlchart.v1.7" hidden="1">'AM Calculator (BL)'!$D$163:$D$167</definedName>
    <definedName name="_xlchart.v1.8" hidden="1">'AM Calculator (Alt)'!$D$185:$D$189</definedName>
    <definedName name="_xlchart.v1.9" hidden="1">'AM Calculator (BL)'!$B$163:$B$167</definedName>
    <definedName name="AM_eol_1_1C">'AM Calculator (BL)'!$E$110</definedName>
    <definedName name="AM_eol_1_1E">'AM Calculator (BL)'!$D$110</definedName>
    <definedName name="AM_eol_1_2C">'AM Calculator (BL)'!$E$111</definedName>
    <definedName name="AM_eol_1_2E">'AM Calculator (BL)'!$D$111</definedName>
    <definedName name="AM_eol_2_1C">'AM Calculator (BL)'!$E$113</definedName>
    <definedName name="AM_eol_2_1E">'AM Calculator (BL)'!$D$113</definedName>
    <definedName name="AM_eol_2_2C">'AM Calculator (BL)'!$E$114</definedName>
    <definedName name="AM_eol_2_2E">'AM Calculator (BL)'!$D$114</definedName>
    <definedName name="AM_post_power_C">'AM Calculator (BL)'!$E$71</definedName>
    <definedName name="AM_post_power_E">'AM Calculator (BL)'!$D$71</definedName>
    <definedName name="AM_post_specific_C">'AM Calculator (BL)'!$E$72</definedName>
    <definedName name="AM_post_specific_E">'AM Calculator (BL)'!$D$72</definedName>
    <definedName name="AM_Processes">#REF!</definedName>
    <definedName name="AM_Tooling_C">'AM Calculator (BL)'!$E$75</definedName>
    <definedName name="AM_Tooling_E">'AM Calculator (BL)'!$D$75</definedName>
    <definedName name="AMa_eol_1_1C" localSheetId="7">'AM Calculator (Alt)'!$E$110</definedName>
    <definedName name="AMa_eol_1_1E" localSheetId="7">'AM Calculator (Alt)'!$D$110</definedName>
    <definedName name="AMa_eol_1_2C" localSheetId="7">'AM Calculator (Alt)'!$E$111</definedName>
    <definedName name="AMa_eol_1_2E" localSheetId="7">'AM Calculator (Alt)'!$D$111</definedName>
    <definedName name="AMa_eol_2_1C" localSheetId="7">'AM Calculator (Alt)'!$E$113</definedName>
    <definedName name="AMa_eol_2_1E" localSheetId="7">'AM Calculator (Alt)'!$D$113</definedName>
    <definedName name="AMa_eol_2_2C" localSheetId="7">'AM Calculator (Alt)'!$E$114</definedName>
    <definedName name="AMa_eol_2_2E" localSheetId="7">'AM Calculator (Alt)'!$D$114</definedName>
    <definedName name="AMa_post_power_C" localSheetId="7">'AM Calculator (Alt)'!$E$71</definedName>
    <definedName name="AMa_post_power_E" localSheetId="7">'AM Calculator (Alt)'!$D$71</definedName>
    <definedName name="AMa_post_power_E">'AM Calculator (Alt)'!$D$71</definedName>
    <definedName name="AMa_post_specific_C" localSheetId="7">'AM Calculator (Alt)'!$E$72</definedName>
    <definedName name="AMa_post_specific_E" localSheetId="7">'AM Calculator (Alt)'!$D$72</definedName>
    <definedName name="AMa_Tooling_C" localSheetId="7">'AM Calculator (Alt)'!$E$75</definedName>
    <definedName name="AMa_Tooling_E" localSheetId="7">'AM Calculator (Alt)'!$D$75</definedName>
    <definedName name="CM_Ceramic">'HIDE - Lists &amp; Lookups'!$P$16</definedName>
    <definedName name="CM_EE">'Conventional Manuf. EE'!$A$3:$G$15</definedName>
    <definedName name="CM_eol_1_1C">'CM Calculator (BL)'!$E$85</definedName>
    <definedName name="CM_eol_1_1E">'CM Calculator (BL)'!$D$85</definedName>
    <definedName name="CM_eol_1_2C">'CM Calculator (BL)'!$E$86</definedName>
    <definedName name="CM_eol_1_2E">'CM Calculator (BL)'!$D$86</definedName>
    <definedName name="CM_eol_2_1C">'CM Calculator (BL)'!$E$88</definedName>
    <definedName name="CM_eol_2_1E">'CM Calculator (BL)'!$D$88</definedName>
    <definedName name="CM_eol_2_2C">'CM Calculator (BL)'!$E$89</definedName>
    <definedName name="CM_eol_2_2E">'CM Calculator (BL)'!$D$89</definedName>
    <definedName name="CM_Fiber">'HIDE - Lists &amp; Lookups'!$Q$16:$Q$20</definedName>
    <definedName name="CM_Metal">'HIDE - Lists &amp; Lookups'!$R$16:$R$21</definedName>
    <definedName name="CM_Polymer">'HIDE - Lists &amp; Lookups'!$S$16:$S$18</definedName>
    <definedName name="CM_post_power_C">'CM Calculator (BL)'!$E$46</definedName>
    <definedName name="CM_post_power_E">'CM Calculator (BL)'!$D$46</definedName>
    <definedName name="CM_post_specific_C">'CM Calculator (BL)'!$E$47</definedName>
    <definedName name="CM_post_specific_E">'CM Calculator (BL)'!$D$47</definedName>
    <definedName name="CM_Select">'HIDE - Lists &amp; Lookups'!$T$16</definedName>
    <definedName name="CM_Tooling_C">'CM Calculator (BL)'!$E$50</definedName>
    <definedName name="CM_Tooling_E">'CM Calculator (BL)'!$D$50</definedName>
    <definedName name="delete">'[1]Intro - Start Here'!$C$15</definedName>
    <definedName name="delete2">'[1]Use Phase'!$A$4:$A$25</definedName>
    <definedName name="Disposal">#REF!</definedName>
    <definedName name="Energy_IO">#REF!</definedName>
    <definedName name="EoLDefaults" localSheetId="20">'HIDE - EoL'!$AM$10:$AT$17</definedName>
    <definedName name="eolList">'HIDE - EoL'!$AM$19:$AM$25</definedName>
    <definedName name="Form_Ceramic">'HIDE - Lists &amp; Lookups'!$I$4</definedName>
    <definedName name="Form_Fiber">'HIDE - Lists &amp; Lookups'!$J$3:$J$11</definedName>
    <definedName name="Form_Metal">'HIDE - Lists &amp; Lookups'!$K$3:$K$7</definedName>
    <definedName name="Form_None">'HIDE - Lists &amp; Lookups'!$N$3</definedName>
    <definedName name="Form_Polymer">'HIDE - Lists &amp; Lookups'!$L$3:$L$6</definedName>
    <definedName name="Form_Select">'HIDE - Lists &amp; Lookups'!$M$3</definedName>
    <definedName name="life">#REF!</definedName>
    <definedName name="Machine_Model">#REF!</definedName>
    <definedName name="Material_Ceramic">'HIDE - Lists &amp; Lookups'!$A$3:$A$9</definedName>
    <definedName name="Material_Fiber">'HIDE - Lists &amp; Lookups'!$B$3:$B$8</definedName>
    <definedName name="Material_Form_EE">'Form EE'!$A$3:$I$17</definedName>
    <definedName name="Material_Metal">'HIDE - Lists &amp; Lookups'!$C$3:$C$24</definedName>
    <definedName name="Material_None">'HIDE - Lists &amp; Lookups'!$F$3</definedName>
    <definedName name="Material_Polymer">'HIDE - Lists &amp; Lookups'!$D$3:$D$25</definedName>
    <definedName name="Material_Select">'HIDE - Lists &amp; Lookups'!$E$3</definedName>
    <definedName name="Material_Source_EE">'Material EE'!$A$3:$L$152</definedName>
    <definedName name="Material_Type">#REF!</definedName>
    <definedName name="Method">#REF!</definedName>
    <definedName name="None">#REF!</definedName>
    <definedName name="Primary_Processes">#REF!</definedName>
    <definedName name="_xlnm.Print_Area" localSheetId="7">'AM Calculator (Alt)'!$B$2:$I$76</definedName>
    <definedName name="_xlnm.Print_Area" localSheetId="6">'AM Calculator (BL)'!$B$2:$I$76</definedName>
    <definedName name="_xlnm.Print_Area" localSheetId="8">Results!$A$1:$L$73</definedName>
    <definedName name="Raw_Material">#REF!</definedName>
    <definedName name="Raw_Materials">#REF!</definedName>
    <definedName name="scenarioChoice">'Intro - Start Here'!$C$14</definedName>
    <definedName name="Second_Ceramic">'HIDE - Lists &amp; Lookups'!$X$3:$X$6</definedName>
    <definedName name="Second_Fiber">'HIDE - Lists &amp; Lookups'!$Y$3:$Y$6</definedName>
    <definedName name="Second_Metal">'HIDE - Lists &amp; Lookups'!$V$3:$V$5</definedName>
    <definedName name="Second_Polymer">'HIDE - Lists &amp; Lookups'!$W$3:$W$6</definedName>
    <definedName name="Second_Select">'HIDE - Lists &amp; Lookups'!$Z$3</definedName>
    <definedName name="Secondary_Processes">#REF!</definedName>
    <definedName name="Tooling_EE">'Conventional Manuf. EE'!$A$41:$G$57</definedName>
    <definedName name="ToolingList">'Conventional Manuf. EE'!$S$41:$S$57</definedName>
    <definedName name="Transportation">'Freight or Transportation'!$A$4:$A$10</definedName>
    <definedName name="Transportation_2">'Freight or Transportation'!$A$27:$A$45</definedName>
    <definedName name="TransportationB">'Freight or Transportation'!$A$4:$A$10</definedName>
    <definedName name="TransportationB_2">'Freight or Transportation'!$A$26:$A$45</definedName>
    <definedName name="TransportationEE">'Freight or Transportation'!$A$4:$E$10</definedName>
    <definedName name="TransportationEE_2">'Freight or Transportation'!$A$26:$D$45</definedName>
    <definedName name="unitCE">'HIDE - Lists &amp; Lookups'!$Y$16</definedName>
    <definedName name="unitChoice">'Intro - Start Here'!$C$15</definedName>
    <definedName name="unitCpart">'HIDE - Lists &amp; Lookups'!$Y$18</definedName>
    <definedName name="unitEE">'HIDE - Lists &amp; Lookups'!$Y$15</definedName>
    <definedName name="unitEpart">'HIDE - Lists &amp; Lookups'!$Y$17</definedName>
    <definedName name="unitMass">'HIDE - Lists &amp; Lookups'!$Y$19</definedName>
    <definedName name="unitMassPart">'HIDE - Lists &amp; Lookups'!$Y$20</definedName>
    <definedName name="unitSizeList">'HIDE - Lists &amp; Lookups'!$Y$22:$Y$23</definedName>
    <definedName name="Use_Phase">#REF!</definedName>
    <definedName name="Use_Trans">'Use Phase'!$A$4:$A$25</definedName>
    <definedName name="yes_n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1" i="51" l="1"/>
  <c r="D45" i="51"/>
  <c r="E95" i="51" l="1"/>
  <c r="D95" i="51"/>
  <c r="E95" i="16"/>
  <c r="D95" i="16"/>
  <c r="E70" i="1"/>
  <c r="D70" i="1"/>
  <c r="C91" i="16"/>
  <c r="C66" i="1"/>
  <c r="D36" i="1"/>
  <c r="D36" i="51"/>
  <c r="D36" i="16"/>
  <c r="C130" i="51" l="1"/>
  <c r="C156" i="51"/>
  <c r="C155" i="51"/>
  <c r="C129" i="51"/>
  <c r="C6" i="51"/>
  <c r="C91" i="51" s="1"/>
  <c r="C145" i="51"/>
  <c r="D91" i="16"/>
  <c r="D99" i="16" s="1"/>
  <c r="D66" i="1"/>
  <c r="E99" i="16" l="1"/>
  <c r="I6" i="49"/>
  <c r="D6" i="18" l="1"/>
  <c r="E43" i="1" l="1"/>
  <c r="D56" i="51" l="1"/>
  <c r="D62" i="51" s="1"/>
  <c r="D60" i="51"/>
  <c r="D58" i="51" s="1"/>
  <c r="D59" i="51"/>
  <c r="D57" i="51"/>
  <c r="D55" i="51"/>
  <c r="D61" i="51" s="1"/>
  <c r="D54" i="51"/>
  <c r="G42" i="1" l="1"/>
  <c r="Y7" i="17"/>
  <c r="Y8" i="17"/>
  <c r="Y9" i="17"/>
  <c r="Y10" i="17"/>
  <c r="Y11" i="17"/>
  <c r="Y15" i="17"/>
  <c r="Y16" i="17"/>
  <c r="Y17" i="17"/>
  <c r="Y18" i="17"/>
  <c r="Y19" i="17"/>
  <c r="D5" i="17" l="1"/>
  <c r="D49" i="17"/>
  <c r="E38" i="16" l="1"/>
  <c r="D38" i="16"/>
  <c r="E38" i="51"/>
  <c r="D38" i="51"/>
  <c r="E38" i="1"/>
  <c r="D38" i="1"/>
  <c r="E73" i="16"/>
  <c r="D73" i="16"/>
  <c r="D73" i="51"/>
  <c r="E73" i="51"/>
  <c r="D33" i="51"/>
  <c r="D33" i="16"/>
  <c r="D33" i="1"/>
  <c r="D32" i="16"/>
  <c r="D45" i="16" s="1"/>
  <c r="D32" i="51"/>
  <c r="D32" i="1"/>
  <c r="D100" i="16" l="1"/>
  <c r="E100" i="16"/>
  <c r="C161" i="51"/>
  <c r="C160" i="51"/>
  <c r="D34" i="1"/>
  <c r="C51" i="51"/>
  <c r="C66" i="51"/>
  <c r="C65" i="51"/>
  <c r="C80" i="51"/>
  <c r="C82" i="51"/>
  <c r="C85" i="51"/>
  <c r="C87" i="51"/>
  <c r="C95" i="51"/>
  <c r="C99" i="16"/>
  <c r="C65" i="16"/>
  <c r="C95" i="16"/>
  <c r="C87" i="16"/>
  <c r="C82" i="16"/>
  <c r="C70" i="1"/>
  <c r="C62" i="1"/>
  <c r="C57" i="1"/>
  <c r="C44" i="1"/>
  <c r="C66" i="16"/>
  <c r="C68" i="16"/>
  <c r="C71" i="16"/>
  <c r="C72" i="16"/>
  <c r="C68" i="51"/>
  <c r="C71" i="51"/>
  <c r="C72" i="51"/>
  <c r="G50" i="17" l="1"/>
  <c r="F50" i="17"/>
  <c r="E50" i="17"/>
  <c r="D50" i="17"/>
  <c r="G6" i="17"/>
  <c r="F6" i="17"/>
  <c r="E6" i="17"/>
  <c r="D6" i="17"/>
  <c r="AD6" i="17"/>
  <c r="AL6" i="17" s="1"/>
  <c r="AC6" i="17"/>
  <c r="E38" i="17"/>
  <c r="D38" i="17"/>
  <c r="AB6" i="17"/>
  <c r="AJ6" i="17" s="1"/>
  <c r="AA6" i="17" l="1"/>
  <c r="AI6" i="17" s="1"/>
  <c r="AK6" i="17"/>
  <c r="E177" i="51"/>
  <c r="D177" i="51"/>
  <c r="E146" i="51"/>
  <c r="D146" i="51"/>
  <c r="D145" i="51"/>
  <c r="C151" i="51"/>
  <c r="C150" i="51"/>
  <c r="C149" i="51"/>
  <c r="C148" i="51"/>
  <c r="C147" i="51"/>
  <c r="B182" i="51"/>
  <c r="B189" i="51" s="1"/>
  <c r="B181" i="51"/>
  <c r="B188" i="51" s="1"/>
  <c r="B180" i="51"/>
  <c r="B187" i="51" s="1"/>
  <c r="B179" i="51"/>
  <c r="B186" i="51" s="1"/>
  <c r="B178" i="51"/>
  <c r="B185" i="51" s="1"/>
  <c r="C125" i="51"/>
  <c r="C124" i="51"/>
  <c r="C123" i="51"/>
  <c r="C122" i="51"/>
  <c r="C121" i="51"/>
  <c r="E37" i="1"/>
  <c r="E39" i="1" s="1"/>
  <c r="E37" i="51"/>
  <c r="E39" i="51" s="1"/>
  <c r="D37" i="51"/>
  <c r="D39" i="51" s="1"/>
  <c r="E37" i="16"/>
  <c r="E39" i="16" s="1"/>
  <c r="D37" i="16"/>
  <c r="D39" i="16" s="1"/>
  <c r="D37" i="1"/>
  <c r="D39" i="1" s="1"/>
  <c r="D121" i="51" l="1"/>
  <c r="E121" i="51"/>
  <c r="E145" i="51"/>
  <c r="E120" i="51"/>
  <c r="D120" i="51"/>
  <c r="B160" i="16"/>
  <c r="B167" i="16" s="1"/>
  <c r="B159" i="16"/>
  <c r="B166" i="16" s="1"/>
  <c r="B158" i="16"/>
  <c r="B165" i="16" s="1"/>
  <c r="B157" i="16"/>
  <c r="B164" i="16" s="1"/>
  <c r="B156" i="16"/>
  <c r="B163" i="16" s="1"/>
  <c r="E155" i="16"/>
  <c r="E121" i="16" s="1"/>
  <c r="D155" i="16"/>
  <c r="D121" i="16" s="1"/>
  <c r="C125" i="16"/>
  <c r="C124" i="16"/>
  <c r="C123" i="16"/>
  <c r="C122" i="16"/>
  <c r="C121" i="16"/>
  <c r="E120" i="16"/>
  <c r="D120" i="16"/>
  <c r="D107" i="51"/>
  <c r="D107" i="16"/>
  <c r="D82" i="1"/>
  <c r="D74" i="1"/>
  <c r="D82" i="51"/>
  <c r="D82" i="16"/>
  <c r="D87" i="51"/>
  <c r="D85" i="51"/>
  <c r="D80" i="51"/>
  <c r="D87" i="16"/>
  <c r="D85" i="16"/>
  <c r="D80" i="16"/>
  <c r="D62" i="1"/>
  <c r="D60" i="1"/>
  <c r="D57" i="1"/>
  <c r="D55" i="1"/>
  <c r="C18" i="31"/>
  <c r="N12" i="31" l="1"/>
  <c r="K8" i="31"/>
  <c r="O23" i="31"/>
  <c r="N18" i="31" s="1"/>
  <c r="O22" i="31"/>
  <c r="O21" i="31"/>
  <c r="B132" i="1"/>
  <c r="B139" i="1" s="1"/>
  <c r="B133" i="1"/>
  <c r="B140" i="1" s="1"/>
  <c r="B134" i="1"/>
  <c r="B141" i="1" s="1"/>
  <c r="B135" i="1"/>
  <c r="B142" i="1" s="1"/>
  <c r="B131" i="1"/>
  <c r="B138" i="1" s="1"/>
  <c r="E95" i="1"/>
  <c r="D95" i="1"/>
  <c r="E130" i="1"/>
  <c r="D130" i="1"/>
  <c r="D96" i="1" s="1"/>
  <c r="D7" i="17" s="1"/>
  <c r="AA7" i="17" s="1"/>
  <c r="C96" i="1"/>
  <c r="C100" i="1"/>
  <c r="C99" i="1"/>
  <c r="C98" i="1"/>
  <c r="C97" i="1"/>
  <c r="AF59" i="17" l="1"/>
  <c r="D65" i="51"/>
  <c r="D66" i="51" s="1"/>
  <c r="AG52" i="17"/>
  <c r="E96" i="1"/>
  <c r="E7" i="17" s="1"/>
  <c r="AA59" i="17"/>
  <c r="D59" i="17" s="1"/>
  <c r="AA52" i="17"/>
  <c r="D52" i="17" s="1"/>
  <c r="AF52" i="17"/>
  <c r="AD52" i="17"/>
  <c r="AC59" i="17"/>
  <c r="AC52" i="17"/>
  <c r="AB55" i="17"/>
  <c r="E55" i="17" s="1"/>
  <c r="AG55" i="17"/>
  <c r="AD55" i="17"/>
  <c r="AB51" i="17"/>
  <c r="E51" i="17" s="1"/>
  <c r="AG51" i="17"/>
  <c r="AD51" i="17"/>
  <c r="AA55" i="17"/>
  <c r="D55" i="17" s="1"/>
  <c r="AC55" i="17"/>
  <c r="AA51" i="17"/>
  <c r="D51" i="17" s="1"/>
  <c r="AF55" i="17"/>
  <c r="AF51" i="17"/>
  <c r="AC51" i="17"/>
  <c r="O12" i="31"/>
  <c r="E107" i="51"/>
  <c r="AG59" i="17" s="1"/>
  <c r="E107" i="16"/>
  <c r="AD59" i="17" s="1"/>
  <c r="E82" i="1"/>
  <c r="AB59" i="17" s="1"/>
  <c r="E59" i="17" s="1"/>
  <c r="E20" i="38"/>
  <c r="E82" i="51"/>
  <c r="E87" i="16"/>
  <c r="E82" i="16"/>
  <c r="E62" i="1"/>
  <c r="AB57" i="17" s="1"/>
  <c r="E57" i="17" s="1"/>
  <c r="E57" i="1"/>
  <c r="AB56" i="17" s="1"/>
  <c r="E56" i="17" s="1"/>
  <c r="E87" i="51"/>
  <c r="E74" i="1"/>
  <c r="E65" i="51"/>
  <c r="E66" i="51" s="1"/>
  <c r="O18" i="31"/>
  <c r="D63" i="51"/>
  <c r="D64" i="51" s="1"/>
  <c r="D57" i="16"/>
  <c r="D62" i="16" s="1"/>
  <c r="D61" i="16"/>
  <c r="AN52" i="17" l="1"/>
  <c r="AW51" i="17" s="1"/>
  <c r="AN59" i="17"/>
  <c r="BD54" i="17" s="1"/>
  <c r="AN55" i="17"/>
  <c r="AZ52" i="17" s="1"/>
  <c r="AN69" i="17"/>
  <c r="AZ66" i="17" s="1"/>
  <c r="AN65" i="17"/>
  <c r="AV65" i="17" s="1"/>
  <c r="AN73" i="17"/>
  <c r="BD68" i="17" s="1"/>
  <c r="AN51" i="17"/>
  <c r="AV51" i="17" s="1"/>
  <c r="AO66" i="17"/>
  <c r="AW71" i="17" s="1"/>
  <c r="G52" i="17"/>
  <c r="G51" i="17"/>
  <c r="AO65" i="17"/>
  <c r="AV71" i="17" s="1"/>
  <c r="G55" i="17"/>
  <c r="AO69" i="17"/>
  <c r="AZ72" i="17" s="1"/>
  <c r="F55" i="17"/>
  <c r="AO55" i="17"/>
  <c r="AZ58" i="17" s="1"/>
  <c r="AO59" i="17"/>
  <c r="BD60" i="17" s="1"/>
  <c r="F59" i="17"/>
  <c r="F52" i="17"/>
  <c r="AO52" i="17"/>
  <c r="AW57" i="17" s="1"/>
  <c r="AO51" i="17"/>
  <c r="AV57" i="17" s="1"/>
  <c r="F51" i="17"/>
  <c r="G59" i="17"/>
  <c r="AO73" i="17"/>
  <c r="BD74" i="17" s="1"/>
  <c r="D63" i="16"/>
  <c r="D64" i="16" s="1"/>
  <c r="E65" i="16"/>
  <c r="E66" i="16" s="1"/>
  <c r="D65" i="16"/>
  <c r="D66" i="16" s="1"/>
  <c r="C50" i="16"/>
  <c r="C39" i="16"/>
  <c r="AG54" i="17"/>
  <c r="AF54" i="17"/>
  <c r="AD54" i="17"/>
  <c r="AC54" i="17"/>
  <c r="B18" i="51"/>
  <c r="B17" i="51"/>
  <c r="B18" i="16"/>
  <c r="B17" i="16"/>
  <c r="B18" i="1"/>
  <c r="B17" i="1"/>
  <c r="G29" i="51"/>
  <c r="G27" i="51"/>
  <c r="G25" i="51"/>
  <c r="G23" i="51"/>
  <c r="G29" i="16"/>
  <c r="G27" i="16"/>
  <c r="G25" i="16"/>
  <c r="G23" i="16"/>
  <c r="B104" i="51"/>
  <c r="B104" i="16"/>
  <c r="B38" i="51"/>
  <c r="B37" i="51"/>
  <c r="B38" i="16"/>
  <c r="B37" i="16"/>
  <c r="B29" i="51"/>
  <c r="B27" i="51"/>
  <c r="B25" i="51"/>
  <c r="B23" i="51"/>
  <c r="B29" i="16"/>
  <c r="B27" i="16"/>
  <c r="B25" i="16"/>
  <c r="B23" i="16"/>
  <c r="B21" i="51"/>
  <c r="B20" i="51"/>
  <c r="B19" i="51"/>
  <c r="B14" i="51"/>
  <c r="B13" i="51"/>
  <c r="B12" i="51"/>
  <c r="B11" i="51"/>
  <c r="B10" i="51"/>
  <c r="B21" i="16"/>
  <c r="B20" i="16"/>
  <c r="B19" i="16"/>
  <c r="B14" i="16"/>
  <c r="B13" i="16"/>
  <c r="B12" i="16"/>
  <c r="B11" i="16"/>
  <c r="B10" i="16"/>
  <c r="C116" i="51"/>
  <c r="C115" i="51"/>
  <c r="C114" i="51"/>
  <c r="C113" i="51"/>
  <c r="C112" i="51"/>
  <c r="C111" i="51"/>
  <c r="C110" i="51"/>
  <c r="C116" i="16"/>
  <c r="C115" i="16"/>
  <c r="C114" i="16"/>
  <c r="C113" i="16"/>
  <c r="C112" i="16"/>
  <c r="C111" i="16"/>
  <c r="C110" i="16"/>
  <c r="C108" i="51"/>
  <c r="C107" i="51"/>
  <c r="C104" i="51"/>
  <c r="C108" i="16"/>
  <c r="C107" i="16"/>
  <c r="C104" i="16"/>
  <c r="C100" i="51"/>
  <c r="C99" i="51"/>
  <c r="C96" i="51"/>
  <c r="C100" i="16"/>
  <c r="C96" i="16"/>
  <c r="C89" i="51"/>
  <c r="C88" i="51"/>
  <c r="C83" i="51"/>
  <c r="C89" i="16"/>
  <c r="C88" i="16"/>
  <c r="C85" i="16"/>
  <c r="C83" i="16"/>
  <c r="C80" i="16"/>
  <c r="C75" i="51"/>
  <c r="C76" i="16"/>
  <c r="C75" i="16"/>
  <c r="C73" i="16"/>
  <c r="C73" i="51"/>
  <c r="C51" i="16"/>
  <c r="C39" i="51"/>
  <c r="C38" i="51"/>
  <c r="C37" i="51"/>
  <c r="C35" i="51"/>
  <c r="C33" i="51"/>
  <c r="C32" i="51"/>
  <c r="C30" i="51"/>
  <c r="C29" i="51"/>
  <c r="C28" i="51"/>
  <c r="C27" i="51"/>
  <c r="C26" i="51"/>
  <c r="C25" i="51"/>
  <c r="C24" i="51"/>
  <c r="C23" i="51"/>
  <c r="C20" i="51"/>
  <c r="C19" i="51"/>
  <c r="C13" i="51"/>
  <c r="C12" i="51"/>
  <c r="C38" i="16"/>
  <c r="C37" i="16"/>
  <c r="C35" i="16"/>
  <c r="C33" i="16"/>
  <c r="C32" i="16"/>
  <c r="C30" i="16"/>
  <c r="C29" i="16"/>
  <c r="C28" i="16"/>
  <c r="C27" i="16"/>
  <c r="C26" i="16"/>
  <c r="C25" i="16"/>
  <c r="C24" i="16"/>
  <c r="C23" i="16"/>
  <c r="C20" i="16"/>
  <c r="C19" i="16"/>
  <c r="C13" i="16"/>
  <c r="C12" i="16"/>
  <c r="G29" i="1"/>
  <c r="G27" i="1"/>
  <c r="G25" i="1"/>
  <c r="G23" i="1"/>
  <c r="B38" i="1"/>
  <c r="B37" i="1"/>
  <c r="B19" i="1"/>
  <c r="C60" i="1"/>
  <c r="C55" i="1"/>
  <c r="C91" i="1"/>
  <c r="C90" i="1"/>
  <c r="C89" i="1"/>
  <c r="C88" i="1"/>
  <c r="C87" i="1"/>
  <c r="C86" i="1"/>
  <c r="C85" i="1"/>
  <c r="C83" i="1"/>
  <c r="C82" i="1"/>
  <c r="C75" i="1"/>
  <c r="C64" i="1"/>
  <c r="C51" i="1"/>
  <c r="C50" i="1"/>
  <c r="C48" i="1"/>
  <c r="C47" i="1"/>
  <c r="C46" i="1"/>
  <c r="C39" i="1"/>
  <c r="C38" i="1"/>
  <c r="C37" i="1"/>
  <c r="C43" i="1"/>
  <c r="C42" i="1"/>
  <c r="C30" i="1"/>
  <c r="C29" i="1"/>
  <c r="C28" i="1"/>
  <c r="C27" i="1"/>
  <c r="C26" i="1"/>
  <c r="C25" i="1"/>
  <c r="C24" i="1"/>
  <c r="C23" i="1"/>
  <c r="F54" i="17" l="1"/>
  <c r="AO54" i="17"/>
  <c r="AY58" i="17" s="1"/>
  <c r="G54" i="17"/>
  <c r="AO68" i="17"/>
  <c r="AY72" i="17" s="1"/>
  <c r="B14" i="1" l="1"/>
  <c r="B10" i="1"/>
  <c r="B13" i="1"/>
  <c r="B12" i="1"/>
  <c r="B11" i="1"/>
  <c r="B29" i="1"/>
  <c r="B27" i="1"/>
  <c r="B25" i="1"/>
  <c r="B23" i="1"/>
  <c r="AB52" i="17" l="1"/>
  <c r="C3" i="47"/>
  <c r="D3" i="47"/>
  <c r="C4" i="47"/>
  <c r="D4" i="47"/>
  <c r="C5" i="47"/>
  <c r="D5" i="47"/>
  <c r="C6" i="47"/>
  <c r="D6" i="47"/>
  <c r="C7" i="47"/>
  <c r="D7" i="47"/>
  <c r="C8" i="47"/>
  <c r="D8" i="47"/>
  <c r="C9" i="47"/>
  <c r="D9" i="47"/>
  <c r="C10" i="47"/>
  <c r="D10" i="47"/>
  <c r="C11" i="47"/>
  <c r="D11" i="47"/>
  <c r="D2" i="47"/>
  <c r="C2" i="47"/>
  <c r="E48" i="1"/>
  <c r="AB54" i="17" s="1"/>
  <c r="D48" i="1"/>
  <c r="AA54" i="17" s="1"/>
  <c r="I61" i="47"/>
  <c r="I41" i="47"/>
  <c r="I21" i="47"/>
  <c r="C55" i="45"/>
  <c r="G55" i="45"/>
  <c r="F55" i="45"/>
  <c r="G43" i="45"/>
  <c r="F43" i="45"/>
  <c r="D55" i="45"/>
  <c r="D43" i="45"/>
  <c r="C43" i="45"/>
  <c r="E54" i="17" l="1"/>
  <c r="AN68" i="17" s="1"/>
  <c r="AY66" i="17" s="1"/>
  <c r="D54" i="17"/>
  <c r="AN54" i="17" s="1"/>
  <c r="AY52" i="17" s="1"/>
  <c r="E52" i="17"/>
  <c r="AN66" i="17" s="1"/>
  <c r="AW65" i="17" s="1"/>
  <c r="AH28" i="41"/>
  <c r="AG28" i="41"/>
  <c r="AF28" i="41"/>
  <c r="AE28" i="41"/>
  <c r="AH27" i="41"/>
  <c r="AG27" i="41"/>
  <c r="AF27" i="41"/>
  <c r="AE27" i="41"/>
  <c r="AH25" i="41"/>
  <c r="AH24" i="41"/>
  <c r="AG25" i="41"/>
  <c r="AG24" i="41"/>
  <c r="AF25" i="41"/>
  <c r="AF24" i="41"/>
  <c r="AE25" i="41"/>
  <c r="AE24" i="41"/>
  <c r="E115" i="51"/>
  <c r="AG61" i="17" s="1"/>
  <c r="D115" i="51"/>
  <c r="AF61" i="17" s="1"/>
  <c r="E112" i="51"/>
  <c r="AG60" i="17" s="1"/>
  <c r="D112" i="51"/>
  <c r="C50" i="51"/>
  <c r="C44" i="51"/>
  <c r="D156" i="16"/>
  <c r="O23" i="38" a="1"/>
  <c r="O23" i="38" s="1"/>
  <c r="D116" i="51" l="1"/>
  <c r="D125" i="51" s="1"/>
  <c r="D182" i="51" s="1"/>
  <c r="AF60" i="17"/>
  <c r="AO74" i="17"/>
  <c r="G60" i="17"/>
  <c r="F61" i="17"/>
  <c r="AO61" i="17"/>
  <c r="AW61" i="17" s="1"/>
  <c r="AO75" i="17"/>
  <c r="AW75" i="17" s="1"/>
  <c r="G61" i="17"/>
  <c r="AF57" i="17"/>
  <c r="AF56" i="17"/>
  <c r="D178" i="51"/>
  <c r="D147" i="51"/>
  <c r="F7" i="17" s="1"/>
  <c r="D89" i="51"/>
  <c r="D123" i="51" s="1"/>
  <c r="E156" i="16"/>
  <c r="E116" i="51"/>
  <c r="E125" i="51" s="1"/>
  <c r="B28" i="38"/>
  <c r="D34" i="51"/>
  <c r="D35" i="51"/>
  <c r="D151" i="51" l="1"/>
  <c r="F11" i="17" s="1"/>
  <c r="AC11" i="17" s="1"/>
  <c r="AC7" i="17"/>
  <c r="AO56" i="17"/>
  <c r="BA59" i="17" s="1"/>
  <c r="F56" i="17"/>
  <c r="AO57" i="17"/>
  <c r="BB59" i="17" s="1"/>
  <c r="F57" i="17"/>
  <c r="AV75" i="17"/>
  <c r="AW69" i="17"/>
  <c r="F60" i="17"/>
  <c r="AO60" i="17"/>
  <c r="E182" i="51"/>
  <c r="E151" i="51"/>
  <c r="G11" i="17" s="1"/>
  <c r="D180" i="51"/>
  <c r="D149" i="51"/>
  <c r="F9" i="17" s="1"/>
  <c r="AC9" i="17" s="1"/>
  <c r="E178" i="51"/>
  <c r="E147" i="51"/>
  <c r="G7" i="17" s="1"/>
  <c r="E50" i="51"/>
  <c r="D50" i="51"/>
  <c r="D51" i="51" s="1"/>
  <c r="E115" i="16"/>
  <c r="AD61" i="17" s="1"/>
  <c r="D115" i="16"/>
  <c r="AC61" i="17" s="1"/>
  <c r="E112" i="16"/>
  <c r="D112" i="16"/>
  <c r="AC60" i="17" s="1"/>
  <c r="D68" i="51" l="1"/>
  <c r="D69" i="51" s="1"/>
  <c r="E116" i="16"/>
  <c r="E125" i="16" s="1"/>
  <c r="E160" i="16" s="1"/>
  <c r="AD60" i="17"/>
  <c r="AF53" i="17"/>
  <c r="AK7" i="17"/>
  <c r="AK11" i="17"/>
  <c r="AD7" i="17"/>
  <c r="AV61" i="17"/>
  <c r="AW55" i="17"/>
  <c r="AD11" i="17"/>
  <c r="AK9" i="17"/>
  <c r="E51" i="51"/>
  <c r="D116" i="16"/>
  <c r="D125" i="16" s="1"/>
  <c r="D160" i="16" s="1"/>
  <c r="E68" i="51" l="1"/>
  <c r="AG53" i="17"/>
  <c r="AO53" i="17"/>
  <c r="AX58" i="17" s="1"/>
  <c r="F53" i="17"/>
  <c r="D76" i="51"/>
  <c r="D122" i="51" s="1"/>
  <c r="D179" i="51" s="1"/>
  <c r="AL7" i="17"/>
  <c r="AL11" i="17"/>
  <c r="R4" i="47"/>
  <c r="R3" i="47"/>
  <c r="K72" i="47"/>
  <c r="J72" i="47"/>
  <c r="K52" i="47"/>
  <c r="J52" i="47"/>
  <c r="K156" i="40"/>
  <c r="K157" i="40" s="1"/>
  <c r="K158" i="40" s="1"/>
  <c r="K126" i="40"/>
  <c r="K127" i="40" s="1"/>
  <c r="K128" i="40" s="1"/>
  <c r="K123" i="40"/>
  <c r="K124" i="40" s="1"/>
  <c r="K125" i="40" s="1"/>
  <c r="K121" i="40"/>
  <c r="K122" i="40" s="1"/>
  <c r="K120" i="40"/>
  <c r="K114" i="40"/>
  <c r="K115" i="40" s="1"/>
  <c r="K116" i="40" s="1"/>
  <c r="K117" i="40" s="1"/>
  <c r="K118" i="40" s="1"/>
  <c r="K119" i="40" s="1"/>
  <c r="K113" i="40"/>
  <c r="K112" i="40"/>
  <c r="K111" i="40"/>
  <c r="K108" i="40"/>
  <c r="K109" i="40" s="1"/>
  <c r="K110" i="40" s="1"/>
  <c r="K105" i="40"/>
  <c r="K106" i="40" s="1"/>
  <c r="K107" i="40" s="1"/>
  <c r="K104" i="40"/>
  <c r="K103" i="40"/>
  <c r="K102" i="40"/>
  <c r="K99" i="40"/>
  <c r="K100" i="40" s="1"/>
  <c r="K101" i="40" s="1"/>
  <c r="K97" i="40"/>
  <c r="K98" i="40" s="1"/>
  <c r="K96" i="40"/>
  <c r="K93" i="40"/>
  <c r="K94" i="40" s="1"/>
  <c r="K95" i="40" s="1"/>
  <c r="K90" i="40"/>
  <c r="K91" i="40" s="1"/>
  <c r="K92" i="40" s="1"/>
  <c r="K89" i="40"/>
  <c r="K88" i="40"/>
  <c r="K87" i="40"/>
  <c r="K84" i="40"/>
  <c r="K85" i="40" s="1"/>
  <c r="K86" i="40" s="1"/>
  <c r="K81" i="40"/>
  <c r="K82" i="40" s="1"/>
  <c r="K83" i="40" s="1"/>
  <c r="K80" i="40"/>
  <c r="K79" i="40"/>
  <c r="K78" i="40"/>
  <c r="K45" i="40"/>
  <c r="K46" i="40" s="1"/>
  <c r="K47" i="40" s="1"/>
  <c r="K4" i="40"/>
  <c r="K5" i="40" s="1"/>
  <c r="K3" i="40"/>
  <c r="D148" i="51" l="1"/>
  <c r="F8" i="17" s="1"/>
  <c r="AC8" i="17" s="1"/>
  <c r="AO67" i="17"/>
  <c r="AX72" i="17" s="1"/>
  <c r="G53" i="17"/>
  <c r="E69" i="51"/>
  <c r="E76" i="51"/>
  <c r="E122" i="51" s="1"/>
  <c r="C35" i="49"/>
  <c r="D35" i="49"/>
  <c r="E35" i="49"/>
  <c r="C36" i="49"/>
  <c r="D36" i="49"/>
  <c r="E36" i="49"/>
  <c r="C37" i="49"/>
  <c r="D37" i="49"/>
  <c r="E37" i="49"/>
  <c r="C38" i="49"/>
  <c r="D38" i="49"/>
  <c r="E38" i="49"/>
  <c r="C40" i="49"/>
  <c r="D40" i="49"/>
  <c r="E40" i="49"/>
  <c r="C41" i="49"/>
  <c r="C42" i="49" s="1"/>
  <c r="D41" i="49"/>
  <c r="D42" i="49" s="1"/>
  <c r="E41" i="49"/>
  <c r="E42" i="49" s="1"/>
  <c r="K6" i="49"/>
  <c r="D39" i="49" s="1"/>
  <c r="J18" i="49"/>
  <c r="I18" i="49"/>
  <c r="K20" i="49"/>
  <c r="E90" i="1"/>
  <c r="D90" i="1"/>
  <c r="E87" i="1"/>
  <c r="AB60" i="17" s="1"/>
  <c r="D87" i="1"/>
  <c r="AA60" i="17" s="1"/>
  <c r="L8" i="49"/>
  <c r="K8" i="49"/>
  <c r="J8" i="49"/>
  <c r="J9" i="49"/>
  <c r="K9" i="49"/>
  <c r="L9" i="49"/>
  <c r="J10" i="49"/>
  <c r="K10" i="49"/>
  <c r="L10" i="49"/>
  <c r="F192" i="49"/>
  <c r="F191" i="49"/>
  <c r="B191" i="49"/>
  <c r="B192" i="49" s="1"/>
  <c r="B190" i="49"/>
  <c r="F189" i="49"/>
  <c r="B189" i="49"/>
  <c r="B188" i="49"/>
  <c r="F187" i="49"/>
  <c r="B187" i="49"/>
  <c r="B186" i="49"/>
  <c r="F185" i="49"/>
  <c r="B185" i="49"/>
  <c r="F182" i="49"/>
  <c r="F181" i="49"/>
  <c r="F180" i="49"/>
  <c r="F178" i="49"/>
  <c r="F177" i="49"/>
  <c r="F174" i="49"/>
  <c r="F173" i="49"/>
  <c r="F167" i="49"/>
  <c r="F166" i="49"/>
  <c r="F164" i="49"/>
  <c r="F163" i="49"/>
  <c r="F162" i="49"/>
  <c r="F142" i="49"/>
  <c r="F141" i="49"/>
  <c r="B141" i="49"/>
  <c r="B142" i="49" s="1"/>
  <c r="B140" i="49"/>
  <c r="F139" i="49"/>
  <c r="B139" i="49"/>
  <c r="B138" i="49"/>
  <c r="F137" i="49"/>
  <c r="B137" i="49"/>
  <c r="B136" i="49"/>
  <c r="F135" i="49"/>
  <c r="B135" i="49"/>
  <c r="F132" i="49"/>
  <c r="F131" i="49"/>
  <c r="F130" i="49"/>
  <c r="F128" i="49"/>
  <c r="F127" i="49"/>
  <c r="F124" i="49"/>
  <c r="F123" i="49"/>
  <c r="F117" i="49"/>
  <c r="F116" i="49"/>
  <c r="F114" i="49"/>
  <c r="F113" i="49"/>
  <c r="F112" i="49"/>
  <c r="F92" i="49"/>
  <c r="F91" i="49"/>
  <c r="B91" i="49"/>
  <c r="B93" i="49" s="1"/>
  <c r="B90" i="49"/>
  <c r="F89" i="49"/>
  <c r="B89" i="49"/>
  <c r="B88" i="49"/>
  <c r="F87" i="49"/>
  <c r="B87" i="49"/>
  <c r="B86" i="49"/>
  <c r="F85" i="49"/>
  <c r="B85" i="49"/>
  <c r="F82" i="49"/>
  <c r="F81" i="49"/>
  <c r="F80" i="49"/>
  <c r="F78" i="49"/>
  <c r="F77" i="49"/>
  <c r="F74" i="49"/>
  <c r="F73" i="49"/>
  <c r="F67" i="49"/>
  <c r="F66" i="49"/>
  <c r="F64" i="49"/>
  <c r="F63" i="49"/>
  <c r="F62" i="49"/>
  <c r="D60" i="17" l="1"/>
  <c r="AN60" i="17" s="1"/>
  <c r="AV55" i="17" s="1"/>
  <c r="E60" i="17"/>
  <c r="AN74" i="17" s="1"/>
  <c r="AV69" i="17" s="1"/>
  <c r="AA61" i="17"/>
  <c r="AB61" i="17"/>
  <c r="B195" i="49"/>
  <c r="E179" i="51"/>
  <c r="E148" i="51"/>
  <c r="G8" i="17" s="1"/>
  <c r="AD8" i="17" s="1"/>
  <c r="AL8" i="17" s="1"/>
  <c r="AK8" i="17"/>
  <c r="D91" i="1"/>
  <c r="D100" i="1" s="1"/>
  <c r="D11" i="17" s="1"/>
  <c r="B143" i="49"/>
  <c r="B146" i="49" s="1"/>
  <c r="B193" i="49"/>
  <c r="B196" i="49" s="1"/>
  <c r="B145" i="49"/>
  <c r="E43" i="49"/>
  <c r="E46" i="49" s="1"/>
  <c r="D45" i="49"/>
  <c r="D43" i="49"/>
  <c r="D46" i="49" s="1"/>
  <c r="C43" i="49"/>
  <c r="C46" i="49" s="1"/>
  <c r="B96" i="49"/>
  <c r="B92" i="49"/>
  <c r="B95" i="49" s="1"/>
  <c r="B41" i="49"/>
  <c r="F41" i="49"/>
  <c r="F42" i="49"/>
  <c r="F39" i="49"/>
  <c r="F37" i="49"/>
  <c r="F35" i="49"/>
  <c r="F32" i="49"/>
  <c r="F31" i="49"/>
  <c r="F30" i="49"/>
  <c r="F27" i="49"/>
  <c r="F28" i="49"/>
  <c r="F24" i="49"/>
  <c r="F23" i="49"/>
  <c r="F17" i="49"/>
  <c r="F16" i="49"/>
  <c r="F14" i="49"/>
  <c r="F13" i="49"/>
  <c r="F12" i="49"/>
  <c r="F6" i="49"/>
  <c r="B36" i="49"/>
  <c r="B35" i="49"/>
  <c r="B37" i="49"/>
  <c r="B38" i="49"/>
  <c r="B40" i="49"/>
  <c r="B39" i="49"/>
  <c r="K18" i="49"/>
  <c r="L18" i="49"/>
  <c r="I8" i="49"/>
  <c r="I9" i="49"/>
  <c r="AP17" i="49"/>
  <c r="I10" i="49" s="1"/>
  <c r="J6" i="49"/>
  <c r="C39" i="49" s="1"/>
  <c r="C45" i="49" s="1"/>
  <c r="L6" i="49"/>
  <c r="E39" i="49" s="1"/>
  <c r="E45" i="49" s="1"/>
  <c r="AF45" i="49"/>
  <c r="AF42" i="49"/>
  <c r="AF41" i="49"/>
  <c r="AE41" i="49"/>
  <c r="AD41" i="49"/>
  <c r="AC41" i="49"/>
  <c r="AB41" i="49"/>
  <c r="AB42" i="49" s="1"/>
  <c r="AF39" i="49"/>
  <c r="AB38" i="49"/>
  <c r="AF37" i="49"/>
  <c r="AB37" i="49"/>
  <c r="AE36" i="49"/>
  <c r="AD36" i="49"/>
  <c r="AC36" i="49"/>
  <c r="AB36" i="49"/>
  <c r="AF35" i="49"/>
  <c r="AE35" i="49"/>
  <c r="AD35" i="49"/>
  <c r="AC35" i="49"/>
  <c r="AB35" i="49"/>
  <c r="M17" i="49"/>
  <c r="AF31" i="49"/>
  <c r="M16" i="49"/>
  <c r="AF30" i="49"/>
  <c r="M15" i="49"/>
  <c r="AF29" i="49"/>
  <c r="M14" i="49"/>
  <c r="AF26" i="49"/>
  <c r="AF24" i="49"/>
  <c r="AF20" i="49"/>
  <c r="AP16" i="49"/>
  <c r="AF16" i="49"/>
  <c r="AP15" i="49"/>
  <c r="AF15" i="49"/>
  <c r="AP14" i="49"/>
  <c r="AF14" i="49"/>
  <c r="AP13" i="49"/>
  <c r="AF13" i="49"/>
  <c r="AP12" i="49"/>
  <c r="AF12" i="49"/>
  <c r="AP11" i="49"/>
  <c r="AF11" i="49"/>
  <c r="AE11" i="49"/>
  <c r="AE40" i="49" s="1"/>
  <c r="AD11" i="49"/>
  <c r="AD39" i="49" s="1"/>
  <c r="AC11" i="49"/>
  <c r="AC40" i="49" s="1"/>
  <c r="AB11" i="49"/>
  <c r="AB39" i="49" s="1"/>
  <c r="AE7" i="49"/>
  <c r="AD7" i="49"/>
  <c r="AC7" i="49"/>
  <c r="AB7" i="49"/>
  <c r="AE6" i="49"/>
  <c r="AD6" i="49"/>
  <c r="AC6" i="49"/>
  <c r="AB6" i="49"/>
  <c r="E61" i="17" l="1"/>
  <c r="AN75" i="17" s="1"/>
  <c r="D61" i="17"/>
  <c r="AN61" i="17" s="1"/>
  <c r="D135" i="1"/>
  <c r="B42" i="49"/>
  <c r="B45" i="49" s="1"/>
  <c r="B43" i="49"/>
  <c r="B46" i="49" s="1"/>
  <c r="AE43" i="49"/>
  <c r="AE46" i="49" s="1"/>
  <c r="AE39" i="49"/>
  <c r="AD40" i="49"/>
  <c r="AC43" i="49"/>
  <c r="AC46" i="49" s="1"/>
  <c r="AD43" i="49"/>
  <c r="AB45" i="49"/>
  <c r="AC39" i="49"/>
  <c r="AB40" i="49"/>
  <c r="AC42" i="49"/>
  <c r="AD42" i="49"/>
  <c r="AD45" i="49" s="1"/>
  <c r="AE42" i="49"/>
  <c r="AB43" i="49"/>
  <c r="X41" i="41"/>
  <c r="X39" i="41"/>
  <c r="X40" i="41"/>
  <c r="AA11" i="17" l="1"/>
  <c r="D43" i="17"/>
  <c r="AD46" i="49"/>
  <c r="AE45" i="49"/>
  <c r="AC45" i="49"/>
  <c r="AB46" i="49"/>
  <c r="K61" i="47"/>
  <c r="K41" i="47"/>
  <c r="AI11" i="17" l="1"/>
  <c r="AF11" i="17"/>
  <c r="AM11" i="17" s="1"/>
  <c r="C35" i="1"/>
  <c r="C33" i="1"/>
  <c r="C32" i="1"/>
  <c r="C20" i="1"/>
  <c r="C19" i="1"/>
  <c r="C13" i="1"/>
  <c r="C12" i="1"/>
  <c r="B79" i="1" l="1"/>
  <c r="J27" i="9"/>
  <c r="J28" i="9"/>
  <c r="W23" i="38" a="1"/>
  <c r="W23" i="38" s="1"/>
  <c r="S23" i="38" a="1"/>
  <c r="S23" i="38" s="1"/>
  <c r="O22" i="38" a="1"/>
  <c r="O22" i="38" s="1"/>
  <c r="AE21" i="41"/>
  <c r="AE20" i="41"/>
  <c r="AH21" i="41"/>
  <c r="AH20" i="41"/>
  <c r="AH22" i="41"/>
  <c r="AG21" i="41"/>
  <c r="AF21" i="41"/>
  <c r="AG20" i="41"/>
  <c r="AF20" i="41"/>
  <c r="E131" i="1" l="1"/>
  <c r="N16" i="31"/>
  <c r="O16" i="31" s="1"/>
  <c r="N13" i="31"/>
  <c r="O13" i="31" s="1"/>
  <c r="N15" i="31"/>
  <c r="O15" i="31" s="1"/>
  <c r="N14" i="31"/>
  <c r="O14" i="31" s="1"/>
  <c r="AB7" i="17" l="1"/>
  <c r="E39" i="17"/>
  <c r="G39" i="17"/>
  <c r="D131" i="1"/>
  <c r="F131" i="1" s="1"/>
  <c r="E99" i="51"/>
  <c r="E100" i="51" s="1"/>
  <c r="AG58" i="17" s="1"/>
  <c r="C79" i="1"/>
  <c r="C74" i="1"/>
  <c r="C71" i="1"/>
  <c r="C63" i="1"/>
  <c r="C58" i="1"/>
  <c r="C45" i="9"/>
  <c r="D6" i="9"/>
  <c r="E9" i="9"/>
  <c r="P6" i="9"/>
  <c r="E7" i="9" s="1"/>
  <c r="P8" i="9"/>
  <c r="P7" i="9"/>
  <c r="E10" i="9" s="1"/>
  <c r="AE16" i="38"/>
  <c r="AE15" i="38"/>
  <c r="AE14" i="38"/>
  <c r="AE13" i="38"/>
  <c r="AE12" i="38"/>
  <c r="AE11" i="38"/>
  <c r="AE8" i="38"/>
  <c r="AE7" i="38"/>
  <c r="AE6" i="38"/>
  <c r="AE5" i="38"/>
  <c r="AE4" i="38"/>
  <c r="AE3" i="38"/>
  <c r="AJ7" i="17" l="1"/>
  <c r="AG7" i="17"/>
  <c r="AN7" i="17" s="1"/>
  <c r="D39" i="17"/>
  <c r="E108" i="51"/>
  <c r="E124" i="51" s="1"/>
  <c r="E181" i="51" s="1"/>
  <c r="E6" i="9"/>
  <c r="E8" i="9"/>
  <c r="C44" i="16"/>
  <c r="F24" i="38"/>
  <c r="Y14" i="41"/>
  <c r="I20" i="40"/>
  <c r="I18" i="40" s="1"/>
  <c r="H20" i="40"/>
  <c r="H18" i="40" s="1"/>
  <c r="F20" i="40"/>
  <c r="F18" i="40" s="1"/>
  <c r="E20" i="40"/>
  <c r="E18" i="40" s="1"/>
  <c r="I17" i="40"/>
  <c r="H17" i="40"/>
  <c r="I15" i="40"/>
  <c r="H15" i="40"/>
  <c r="H16" i="40"/>
  <c r="AI7" i="17" l="1"/>
  <c r="AF7" i="17"/>
  <c r="AM7" i="17" s="1"/>
  <c r="E80" i="16"/>
  <c r="E80" i="51"/>
  <c r="E55" i="1"/>
  <c r="E85" i="51"/>
  <c r="AG57" i="17" s="1"/>
  <c r="E60" i="1"/>
  <c r="E85" i="16"/>
  <c r="E150" i="51"/>
  <c r="G10" i="17" s="1"/>
  <c r="AD10" i="17" s="1"/>
  <c r="G58" i="17"/>
  <c r="AO72" i="17"/>
  <c r="BC74" i="17" s="1"/>
  <c r="Y22" i="41"/>
  <c r="Y15" i="41"/>
  <c r="Y23" i="41"/>
  <c r="AF1" i="41"/>
  <c r="P22" i="38"/>
  <c r="AC3" i="38"/>
  <c r="AI1" i="41"/>
  <c r="Y19" i="41"/>
  <c r="Y16" i="41"/>
  <c r="Y17" i="41"/>
  <c r="Y20" i="41"/>
  <c r="AB3" i="38"/>
  <c r="AA15" i="38"/>
  <c r="AB5" i="38"/>
  <c r="AC4" i="38"/>
  <c r="AC9" i="38"/>
  <c r="AC13" i="38"/>
  <c r="AD3" i="38"/>
  <c r="AA8" i="38"/>
  <c r="AA6" i="38"/>
  <c r="AA7" i="38"/>
  <c r="AD16" i="38"/>
  <c r="AB4" i="38"/>
  <c r="AB15" i="38"/>
  <c r="AA5" i="38"/>
  <c r="AD4" i="38"/>
  <c r="AD9" i="38"/>
  <c r="AD13" i="38"/>
  <c r="AA11" i="38"/>
  <c r="AD12" i="38"/>
  <c r="AB8" i="38"/>
  <c r="AA16" i="38"/>
  <c r="AB10" i="38"/>
  <c r="AC5" i="38"/>
  <c r="AC10" i="38"/>
  <c r="AC14" i="38"/>
  <c r="AA3" i="38"/>
  <c r="AB14" i="38"/>
  <c r="AB11" i="38"/>
  <c r="AB16" i="38"/>
  <c r="AB9" i="38"/>
  <c r="AD5" i="38"/>
  <c r="AD10" i="38"/>
  <c r="AD14" i="38"/>
  <c r="AC12" i="38"/>
  <c r="AB6" i="38"/>
  <c r="AA13" i="38"/>
  <c r="AB12" i="38"/>
  <c r="AA10" i="38"/>
  <c r="AC7" i="38"/>
  <c r="AC11" i="38"/>
  <c r="AC15" i="38"/>
  <c r="AD6" i="38"/>
  <c r="AC8" i="38"/>
  <c r="AC6" i="38"/>
  <c r="AB13" i="38"/>
  <c r="AA12" i="38"/>
  <c r="AA9" i="38"/>
  <c r="AD7" i="38"/>
  <c r="AD11" i="38"/>
  <c r="AD15" i="38"/>
  <c r="AA4" i="38"/>
  <c r="AA14" i="38"/>
  <c r="AC16" i="38"/>
  <c r="AD8" i="38"/>
  <c r="AB7" i="38"/>
  <c r="G25" i="38"/>
  <c r="P2" i="38"/>
  <c r="AA2" i="38"/>
  <c r="AB2" i="38"/>
  <c r="F19" i="38"/>
  <c r="T22" i="38"/>
  <c r="C19" i="38"/>
  <c r="I19" i="38"/>
  <c r="T2" i="38"/>
  <c r="X2" i="38"/>
  <c r="X22" i="38"/>
  <c r="I16" i="40"/>
  <c r="E89" i="51" l="1"/>
  <c r="E123" i="51" s="1"/>
  <c r="AG56" i="17"/>
  <c r="G57" i="17"/>
  <c r="AO71" i="17"/>
  <c r="BB73" i="17" s="1"/>
  <c r="AL10" i="17"/>
  <c r="J15" i="49"/>
  <c r="J21" i="49" s="1"/>
  <c r="K15" i="49"/>
  <c r="K21" i="49" s="1"/>
  <c r="L15" i="49"/>
  <c r="L21" i="49" s="1"/>
  <c r="I15" i="49"/>
  <c r="I21" i="49" s="1"/>
  <c r="K14" i="49"/>
  <c r="J14" i="49"/>
  <c r="J20" i="49" s="1"/>
  <c r="I14" i="49"/>
  <c r="I20" i="49" s="1"/>
  <c r="L14" i="49"/>
  <c r="L20" i="49" s="1"/>
  <c r="H41" i="47"/>
  <c r="H61" i="47"/>
  <c r="H21" i="47"/>
  <c r="C1" i="47"/>
  <c r="Q3" i="47"/>
  <c r="D1" i="47"/>
  <c r="Q4" i="47"/>
  <c r="AE1" i="41"/>
  <c r="C41" i="47"/>
  <c r="C61" i="47"/>
  <c r="C21" i="47"/>
  <c r="J41" i="47"/>
  <c r="J61" i="47"/>
  <c r="N1" i="47"/>
  <c r="AH1" i="41"/>
  <c r="D41" i="47"/>
  <c r="D21" i="47"/>
  <c r="D61" i="47"/>
  <c r="E21" i="47"/>
  <c r="E41" i="47"/>
  <c r="E61" i="47"/>
  <c r="AE16" i="41"/>
  <c r="AF16" i="41"/>
  <c r="AH16" i="41"/>
  <c r="AI16" i="41"/>
  <c r="A38" i="40"/>
  <c r="A39" i="40"/>
  <c r="A40" i="40"/>
  <c r="A41" i="40"/>
  <c r="A34" i="40"/>
  <c r="A35" i="40"/>
  <c r="A36" i="40"/>
  <c r="A37" i="40"/>
  <c r="A30" i="40"/>
  <c r="A31" i="40"/>
  <c r="A32" i="40"/>
  <c r="A33" i="40"/>
  <c r="A15" i="40"/>
  <c r="A16" i="40"/>
  <c r="A17" i="40"/>
  <c r="A159" i="40"/>
  <c r="A160" i="40"/>
  <c r="A161" i="40"/>
  <c r="A4" i="40"/>
  <c r="A5" i="40"/>
  <c r="A6" i="40"/>
  <c r="A7" i="40"/>
  <c r="A8" i="40"/>
  <c r="A9" i="40"/>
  <c r="A10" i="40"/>
  <c r="A11" i="40"/>
  <c r="A12" i="40"/>
  <c r="A13" i="40"/>
  <c r="A14" i="40"/>
  <c r="A18" i="40"/>
  <c r="A19" i="40"/>
  <c r="A20" i="40"/>
  <c r="A21" i="40"/>
  <c r="A22" i="40"/>
  <c r="A23" i="40"/>
  <c r="A24" i="40"/>
  <c r="A25" i="40"/>
  <c r="A26" i="40"/>
  <c r="A27" i="40"/>
  <c r="A28" i="40"/>
  <c r="A29" i="40"/>
  <c r="A42" i="40"/>
  <c r="A43" i="40"/>
  <c r="A44" i="40"/>
  <c r="A45" i="40"/>
  <c r="A46" i="40"/>
  <c r="A47" i="40"/>
  <c r="A48" i="40"/>
  <c r="A49" i="40"/>
  <c r="A50" i="40"/>
  <c r="A51" i="40"/>
  <c r="A52" i="40"/>
  <c r="A53" i="40"/>
  <c r="A54" i="40"/>
  <c r="A55" i="40"/>
  <c r="A56" i="40"/>
  <c r="A57" i="40"/>
  <c r="A58" i="40"/>
  <c r="A59" i="40"/>
  <c r="A60" i="40"/>
  <c r="A61" i="40"/>
  <c r="A62" i="40"/>
  <c r="A63" i="40"/>
  <c r="A64" i="40"/>
  <c r="A65" i="40"/>
  <c r="A66" i="40"/>
  <c r="A67" i="40"/>
  <c r="A68" i="40"/>
  <c r="A69" i="40"/>
  <c r="A70" i="40"/>
  <c r="A71" i="40"/>
  <c r="A72" i="40"/>
  <c r="A73" i="40"/>
  <c r="A74" i="40"/>
  <c r="A75" i="40"/>
  <c r="A76" i="40"/>
  <c r="A77" i="40"/>
  <c r="A78" i="40"/>
  <c r="A79" i="40"/>
  <c r="A80" i="40"/>
  <c r="A81" i="40"/>
  <c r="A82" i="40"/>
  <c r="A83" i="40"/>
  <c r="A84" i="40"/>
  <c r="A85" i="40"/>
  <c r="A86" i="40"/>
  <c r="A87" i="40"/>
  <c r="A88" i="40"/>
  <c r="A89" i="40"/>
  <c r="A90" i="40"/>
  <c r="A91" i="40"/>
  <c r="A92" i="40"/>
  <c r="A93" i="40"/>
  <c r="A94" i="40"/>
  <c r="A95" i="40"/>
  <c r="A96" i="40"/>
  <c r="A97" i="40"/>
  <c r="A98" i="40"/>
  <c r="A99" i="40"/>
  <c r="A100" i="40"/>
  <c r="A101" i="40"/>
  <c r="A102" i="40"/>
  <c r="A103" i="40"/>
  <c r="A104" i="40"/>
  <c r="A105" i="40"/>
  <c r="A106" i="40"/>
  <c r="A107" i="40"/>
  <c r="A108" i="40"/>
  <c r="A109" i="40"/>
  <c r="A110" i="40"/>
  <c r="A111" i="40"/>
  <c r="A112" i="40"/>
  <c r="A113" i="40"/>
  <c r="A114" i="40"/>
  <c r="A115" i="40"/>
  <c r="A116" i="40"/>
  <c r="A117" i="40"/>
  <c r="A118" i="40"/>
  <c r="A119" i="40"/>
  <c r="A120" i="40"/>
  <c r="A121" i="40"/>
  <c r="A122" i="40"/>
  <c r="A123" i="40"/>
  <c r="A124" i="40"/>
  <c r="A125" i="40"/>
  <c r="A126" i="40"/>
  <c r="A127" i="40"/>
  <c r="A128" i="40"/>
  <c r="A129" i="40"/>
  <c r="A130" i="40"/>
  <c r="A131" i="40"/>
  <c r="A132" i="40"/>
  <c r="A133" i="40"/>
  <c r="A134" i="40"/>
  <c r="A135" i="40"/>
  <c r="A136" i="40"/>
  <c r="A137" i="40"/>
  <c r="A138" i="40"/>
  <c r="A139" i="40"/>
  <c r="A140" i="40"/>
  <c r="A141" i="40"/>
  <c r="A142" i="40"/>
  <c r="A143" i="40"/>
  <c r="A147" i="40"/>
  <c r="A148" i="40"/>
  <c r="A149" i="40"/>
  <c r="A150" i="40"/>
  <c r="A151" i="40"/>
  <c r="A152" i="40"/>
  <c r="A144" i="40"/>
  <c r="A145" i="40"/>
  <c r="A146" i="40"/>
  <c r="A153" i="40"/>
  <c r="A154" i="40"/>
  <c r="A155" i="40"/>
  <c r="A156" i="40"/>
  <c r="A157" i="40"/>
  <c r="A158" i="40"/>
  <c r="A162" i="40"/>
  <c r="A163" i="40"/>
  <c r="A164" i="40"/>
  <c r="A165" i="40"/>
  <c r="A166" i="40"/>
  <c r="A167" i="40"/>
  <c r="A168" i="40"/>
  <c r="A169" i="40"/>
  <c r="A170" i="40"/>
  <c r="A3" i="40"/>
  <c r="AF7" i="41" s="1"/>
  <c r="J27" i="49" l="1"/>
  <c r="AH4" i="41"/>
  <c r="AI7" i="41"/>
  <c r="AI8" i="41"/>
  <c r="AE3" i="41"/>
  <c r="AE12" i="41"/>
  <c r="AE13" i="41"/>
  <c r="AF13" i="41"/>
  <c r="I24" i="49"/>
  <c r="AH6" i="41"/>
  <c r="AH13" i="41"/>
  <c r="AI9" i="41"/>
  <c r="AE6" i="41"/>
  <c r="AE14" i="41"/>
  <c r="AE9" i="41"/>
  <c r="I27" i="49"/>
  <c r="AI4" i="41"/>
  <c r="AH9" i="41"/>
  <c r="AI13" i="41"/>
  <c r="AF3" i="41"/>
  <c r="AE7" i="41"/>
  <c r="AE11" i="41"/>
  <c r="AH5" i="41"/>
  <c r="AE10" i="41"/>
  <c r="L27" i="49"/>
  <c r="AH3" i="41"/>
  <c r="AH11" i="41"/>
  <c r="AH8" i="41"/>
  <c r="AE4" i="41"/>
  <c r="AF10" i="41"/>
  <c r="AE8" i="41"/>
  <c r="AH12" i="41"/>
  <c r="AF5" i="41"/>
  <c r="L24" i="49"/>
  <c r="AI6" i="41"/>
  <c r="AH10" i="41"/>
  <c r="AI10" i="41"/>
  <c r="AF6" i="41"/>
  <c r="AF11" i="41"/>
  <c r="AF9" i="41"/>
  <c r="J24" i="49"/>
  <c r="AH14" i="41"/>
  <c r="K27" i="49"/>
  <c r="AI3" i="41"/>
  <c r="AI11" i="41"/>
  <c r="AI12" i="41"/>
  <c r="AE5" i="41"/>
  <c r="AF14" i="41"/>
  <c r="AF12" i="41"/>
  <c r="K24" i="49"/>
  <c r="AI5" i="41"/>
  <c r="AH7" i="41"/>
  <c r="AI14" i="41"/>
  <c r="AF4" i="41"/>
  <c r="AF8" i="41"/>
  <c r="E149" i="51"/>
  <c r="G9" i="17" s="1"/>
  <c r="E180" i="51"/>
  <c r="G56" i="17"/>
  <c r="AO70" i="17"/>
  <c r="BA73" i="17" s="1"/>
  <c r="D42" i="1"/>
  <c r="E42" i="1"/>
  <c r="S22" i="38" a="1"/>
  <c r="S22" i="38" s="1"/>
  <c r="AG14" i="41" l="1"/>
  <c r="D29" i="1"/>
  <c r="E27" i="51"/>
  <c r="D23" i="51"/>
  <c r="AJ11" i="41"/>
  <c r="E29" i="51"/>
  <c r="AJ13" i="41"/>
  <c r="D25" i="51"/>
  <c r="E25" i="51"/>
  <c r="E29" i="16"/>
  <c r="E27" i="16"/>
  <c r="D23" i="1"/>
  <c r="E29" i="1"/>
  <c r="D29" i="16"/>
  <c r="E27" i="1"/>
  <c r="D27" i="1"/>
  <c r="AJ14" i="41"/>
  <c r="AG12" i="41"/>
  <c r="AG13" i="41"/>
  <c r="AJ12" i="41"/>
  <c r="D29" i="51"/>
  <c r="D27" i="16"/>
  <c r="E23" i="51"/>
  <c r="AG11" i="41"/>
  <c r="D27" i="51"/>
  <c r="E188" i="51"/>
  <c r="E185" i="51"/>
  <c r="E186" i="51"/>
  <c r="E187" i="51"/>
  <c r="E189" i="51"/>
  <c r="AD9" i="17"/>
  <c r="G12" i="17"/>
  <c r="D25" i="1"/>
  <c r="E25" i="1"/>
  <c r="E23" i="1"/>
  <c r="D23" i="16"/>
  <c r="D25" i="16"/>
  <c r="E25" i="16"/>
  <c r="E23" i="16"/>
  <c r="AJ10" i="41"/>
  <c r="AJ6" i="41"/>
  <c r="AJ4" i="41"/>
  <c r="AJ7" i="41"/>
  <c r="AJ9" i="41"/>
  <c r="AJ3" i="41"/>
  <c r="AJ5" i="41"/>
  <c r="AJ8" i="41"/>
  <c r="AG7" i="41"/>
  <c r="AG8" i="41"/>
  <c r="AG10" i="41"/>
  <c r="AG9" i="41"/>
  <c r="AG3" i="41"/>
  <c r="AG4" i="41"/>
  <c r="AG6" i="41"/>
  <c r="AG5" i="41"/>
  <c r="B21" i="1"/>
  <c r="B20" i="1"/>
  <c r="AL9" i="17" l="1"/>
  <c r="AD21" i="17" s="1"/>
  <c r="AD17" i="17" s="1"/>
  <c r="AD12" i="17"/>
  <c r="D64" i="1"/>
  <c r="AA56" i="17"/>
  <c r="D56" i="17" s="1"/>
  <c r="AA57" i="17"/>
  <c r="D57" i="17" s="1"/>
  <c r="AC56" i="17"/>
  <c r="AC57" i="17"/>
  <c r="AD57" i="17"/>
  <c r="AN71" i="17" s="1"/>
  <c r="BB67" i="17" s="1"/>
  <c r="D89" i="16"/>
  <c r="D123" i="16" s="1"/>
  <c r="D158" i="16" s="1"/>
  <c r="AD56" i="17"/>
  <c r="AN70" i="17" s="1"/>
  <c r="BA67" i="17" s="1"/>
  <c r="E89" i="16"/>
  <c r="E123" i="16" s="1"/>
  <c r="E158" i="16" s="1"/>
  <c r="D75" i="1"/>
  <c r="E64" i="1"/>
  <c r="E98" i="1" s="1"/>
  <c r="E9" i="17" s="1"/>
  <c r="B27" i="38"/>
  <c r="E50" i="16"/>
  <c r="E75" i="1"/>
  <c r="AB58" i="17" s="1"/>
  <c r="E58" i="17" s="1"/>
  <c r="AD58" i="17"/>
  <c r="F39" i="17"/>
  <c r="E44" i="1"/>
  <c r="D44" i="1"/>
  <c r="AN57" i="17" l="1"/>
  <c r="BB53" i="17" s="1"/>
  <c r="AN56" i="17"/>
  <c r="BA53" i="17" s="1"/>
  <c r="AA58" i="17"/>
  <c r="D58" i="17" s="1"/>
  <c r="AD16" i="17"/>
  <c r="AD19" i="17"/>
  <c r="AD18" i="17"/>
  <c r="AD15" i="17"/>
  <c r="E51" i="1"/>
  <c r="E97" i="1" s="1"/>
  <c r="AB53" i="17"/>
  <c r="E53" i="17" s="1"/>
  <c r="D51" i="1"/>
  <c r="D97" i="1" s="1"/>
  <c r="AA53" i="17"/>
  <c r="D53" i="17" s="1"/>
  <c r="E83" i="1"/>
  <c r="E99" i="1" s="1"/>
  <c r="AN72" i="17"/>
  <c r="BC68" i="17" s="1"/>
  <c r="E108" i="16"/>
  <c r="E124" i="16" s="1"/>
  <c r="E159" i="16" s="1"/>
  <c r="E133" i="1"/>
  <c r="D50" i="16"/>
  <c r="D51" i="16" s="1"/>
  <c r="E132" i="1" l="1"/>
  <c r="E8" i="17"/>
  <c r="AB8" i="17" s="1"/>
  <c r="D132" i="1"/>
  <c r="D8" i="17"/>
  <c r="AA8" i="17" s="1"/>
  <c r="E134" i="1"/>
  <c r="E10" i="17"/>
  <c r="G42" i="17" s="1"/>
  <c r="D68" i="16"/>
  <c r="D69" i="16" s="1"/>
  <c r="AC53" i="17"/>
  <c r="AN53" i="17" s="1"/>
  <c r="AX52" i="17" s="1"/>
  <c r="AB9" i="17"/>
  <c r="G41" i="17"/>
  <c r="E41" i="17"/>
  <c r="E51" i="16"/>
  <c r="B26" i="38"/>
  <c r="W22" i="38" a="1"/>
  <c r="W22" i="38" s="1"/>
  <c r="I15" i="38"/>
  <c r="I14" i="38"/>
  <c r="H18" i="38" s="1" a="1"/>
  <c r="H18" i="38" s="1"/>
  <c r="H20" i="38" s="1"/>
  <c r="F15" i="38"/>
  <c r="F14" i="38"/>
  <c r="E18" i="38" s="1" a="1"/>
  <c r="E18" i="38" s="1"/>
  <c r="C15" i="38"/>
  <c r="C14" i="38"/>
  <c r="B18" i="38" s="1" a="1"/>
  <c r="B18" i="38" s="1"/>
  <c r="B20" i="38" s="1"/>
  <c r="F132" i="1" l="1"/>
  <c r="E40" i="17"/>
  <c r="G40" i="17"/>
  <c r="D40" i="17"/>
  <c r="E42" i="17"/>
  <c r="AB10" i="17"/>
  <c r="AG10" i="17" s="1"/>
  <c r="AN10" i="17" s="1"/>
  <c r="E68" i="16"/>
  <c r="E69" i="16" s="1"/>
  <c r="AD53" i="17"/>
  <c r="AN67" i="17" s="1"/>
  <c r="AX66" i="17" s="1"/>
  <c r="AJ9" i="17"/>
  <c r="AG9" i="17"/>
  <c r="AN9" i="17" s="1"/>
  <c r="AJ8" i="17"/>
  <c r="AG8" i="17"/>
  <c r="AI8" i="17"/>
  <c r="AF8" i="17"/>
  <c r="AM8" i="17" s="1"/>
  <c r="H19" i="38"/>
  <c r="H27" i="38" s="1"/>
  <c r="H28" i="38"/>
  <c r="E19" i="38"/>
  <c r="G28" i="38"/>
  <c r="B19" i="38"/>
  <c r="F27" i="38" s="1"/>
  <c r="F28" i="38"/>
  <c r="E76" i="16" l="1"/>
  <c r="E122" i="16" s="1"/>
  <c r="E157" i="16" s="1"/>
  <c r="E163" i="16" s="1"/>
  <c r="AJ10" i="17"/>
  <c r="AN8" i="17"/>
  <c r="G27" i="38"/>
  <c r="D76" i="16" s="1"/>
  <c r="E165" i="16" l="1"/>
  <c r="E166" i="16"/>
  <c r="E164" i="16"/>
  <c r="E167" i="16"/>
  <c r="F40" i="17"/>
  <c r="D122" i="16"/>
  <c r="D157" i="16" s="1"/>
  <c r="F43" i="17" l="1"/>
  <c r="E91" i="1"/>
  <c r="E100" i="1" s="1"/>
  <c r="E11" i="17" s="1"/>
  <c r="E135" i="1" l="1"/>
  <c r="F135" i="1" s="1"/>
  <c r="E138" i="1" l="1"/>
  <c r="E139" i="1"/>
  <c r="E141" i="1"/>
  <c r="E142" i="1"/>
  <c r="E140" i="1"/>
  <c r="AB11" i="17"/>
  <c r="E43" i="17"/>
  <c r="E44" i="17" s="1"/>
  <c r="G43" i="17"/>
  <c r="E12" i="17"/>
  <c r="G44" i="17" s="1"/>
  <c r="AJ11" i="17" l="1"/>
  <c r="AB21" i="17" s="1"/>
  <c r="AB19" i="17" s="1"/>
  <c r="AG11" i="17"/>
  <c r="AB12" i="17"/>
  <c r="AJ12" i="17" s="1"/>
  <c r="C21" i="31"/>
  <c r="C19" i="31"/>
  <c r="C25" i="31"/>
  <c r="C24" i="31"/>
  <c r="C23" i="31"/>
  <c r="C22" i="31"/>
  <c r="C20" i="31"/>
  <c r="C14" i="31"/>
  <c r="C13" i="31"/>
  <c r="C12" i="31"/>
  <c r="C11" i="31"/>
  <c r="C9" i="31"/>
  <c r="C7" i="31"/>
  <c r="C6" i="31"/>
  <c r="C5" i="31"/>
  <c r="AN11" i="17" l="1"/>
  <c r="AG12" i="17"/>
  <c r="AB16" i="17"/>
  <c r="AB17" i="17"/>
  <c r="AB15" i="17"/>
  <c r="AB18" i="17"/>
  <c r="D99" i="51"/>
  <c r="D100" i="51" s="1"/>
  <c r="AF58" i="17" s="1"/>
  <c r="AC58" i="17"/>
  <c r="AN58" i="17" s="1"/>
  <c r="BC54" i="17" s="1"/>
  <c r="D83" i="1"/>
  <c r="C8" i="31"/>
  <c r="C17" i="31"/>
  <c r="C10" i="31"/>
  <c r="C15" i="31"/>
  <c r="C16" i="31"/>
  <c r="D108" i="16" l="1"/>
  <c r="D124" i="16" s="1"/>
  <c r="D159" i="16" s="1"/>
  <c r="D163" i="16" s="1"/>
  <c r="F58" i="17"/>
  <c r="AO58" i="17"/>
  <c r="BC60" i="17" s="1"/>
  <c r="D108" i="51"/>
  <c r="D99" i="1"/>
  <c r="D10" i="17" s="1"/>
  <c r="D167" i="16" l="1"/>
  <c r="D165" i="16"/>
  <c r="D166" i="16"/>
  <c r="D164" i="16"/>
  <c r="D134" i="1"/>
  <c r="F134" i="1" s="1"/>
  <c r="AA10" i="17"/>
  <c r="AI10" i="17" s="1"/>
  <c r="D124" i="51"/>
  <c r="D35" i="1"/>
  <c r="D181" i="51" l="1"/>
  <c r="D188" i="51" s="1"/>
  <c r="D150" i="51"/>
  <c r="F10" i="17" s="1"/>
  <c r="F42" i="17" s="1"/>
  <c r="C29" i="9"/>
  <c r="C30" i="9"/>
  <c r="C31" i="9"/>
  <c r="C32" i="9"/>
  <c r="C33" i="9"/>
  <c r="C34" i="9"/>
  <c r="C35" i="9"/>
  <c r="C36" i="9"/>
  <c r="C37" i="9"/>
  <c r="C38" i="9"/>
  <c r="C39" i="9"/>
  <c r="C40" i="9"/>
  <c r="C41" i="9"/>
  <c r="C42" i="9"/>
  <c r="C43" i="9"/>
  <c r="C44" i="9"/>
  <c r="C28" i="9"/>
  <c r="D7" i="9"/>
  <c r="D8" i="9"/>
  <c r="D9" i="9"/>
  <c r="D10" i="9"/>
  <c r="D186" i="51" l="1"/>
  <c r="D185" i="51"/>
  <c r="D189" i="51"/>
  <c r="D187" i="51"/>
  <c r="AC10" i="17"/>
  <c r="D42" i="17"/>
  <c r="D35" i="16"/>
  <c r="AF10" i="17" l="1"/>
  <c r="AM10" i="17" s="1"/>
  <c r="AK10" i="17"/>
  <c r="AC21" i="17" s="1"/>
  <c r="AC12" i="17"/>
  <c r="D98" i="1"/>
  <c r="D9" i="17" s="1"/>
  <c r="C2" i="17"/>
  <c r="AC15" i="17" l="1"/>
  <c r="AC19" i="17"/>
  <c r="AC17" i="17"/>
  <c r="AC16" i="17"/>
  <c r="AC18" i="17"/>
  <c r="D133" i="1"/>
  <c r="F133" i="1" s="1"/>
  <c r="D140" i="1" l="1"/>
  <c r="D141" i="1"/>
  <c r="D138" i="1"/>
  <c r="D142" i="1"/>
  <c r="D139" i="1"/>
  <c r="AA9" i="17"/>
  <c r="D41" i="17"/>
  <c r="F41" i="17"/>
  <c r="AF9" i="17" l="1"/>
  <c r="AI9" i="17"/>
  <c r="AA21" i="17" s="1"/>
  <c r="AA12" i="17"/>
  <c r="AA15" i="17" l="1"/>
  <c r="AA18" i="17"/>
  <c r="AA16" i="17"/>
  <c r="AA19" i="17"/>
  <c r="AA17" i="17"/>
  <c r="AI12" i="17"/>
  <c r="AM9" i="17"/>
  <c r="AF12" i="17"/>
  <c r="D34" i="16" l="1"/>
  <c r="F12" i="17" l="1"/>
  <c r="C19" i="9" l="1"/>
  <c r="D19" i="9" s="1"/>
  <c r="C18" i="9"/>
  <c r="D18" i="9" s="1"/>
  <c r="C17" i="9"/>
  <c r="D17" i="9" s="1"/>
  <c r="C16" i="9"/>
  <c r="D16" i="9" s="1"/>
  <c r="D12" i="17" l="1"/>
  <c r="F44" i="17" s="1"/>
  <c r="D4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tc={D8307675-87A9-463D-905B-E54749DC9A19}</author>
    <author>tc={86EB79F8-E4CF-43A6-BA3E-7A0474948D55}</author>
    <author>tc={DF0A0CF9-50F9-4AAD-A560-A52BEA4E05E7}</author>
    <author>tc={C778093C-C8D5-430C-967C-372026A8E142}</author>
    <author>tc={1D382CB6-ABCB-4E69-BB5A-73F147436431}</author>
    <author>tc={C074F532-9E7F-412B-90FF-8F7C85D84F46}</author>
    <author>tc={36D19EBF-51F7-490A-BED0-26847110795A}</author>
    <author>tc={9AAC69AD-0EFC-456D-BCC9-6B8321FF78A2}</author>
    <author>tc={B76907B7-A95F-44AE-921C-4D2FAC72F920}</author>
    <author>tc={89AF1850-3729-4907-8B69-0595B7E3925A}</author>
  </authors>
  <commentList>
    <comment ref="I42" authorId="0" shapeId="0" xr:uid="{D8307675-87A9-463D-905B-E54749DC9A19}">
      <text>
        <t>[Threaded comment]
Your version of Excel allows you to read this threaded comment; however, any edits to it will get removed if the file is opened in a newer version of Excel. Learn more: https://go.microsoft.com/fwlink/?linkid=870924
Comment:
    https://deepblue.lib.umich.edu/bitstream/handle/2027.42/154985/London%20Michael%20Thesis.pdf?sequence=1</t>
      </text>
    </comment>
    <comment ref="C43" authorId="1" shapeId="0" xr:uid="{86EB79F8-E4CF-43A6-BA3E-7A0474948D55}">
      <text>
        <t>[Threaded comment]
Your version of Excel allows you to read this threaded comment; however, any edits to it will get removed if the file is opened in a newer version of Excel. Learn more: https://go.microsoft.com/fwlink/?linkid=870924
Comment:
    Only raw material EE</t>
      </text>
    </comment>
    <comment ref="D43" authorId="2" shapeId="0" xr:uid="{DF0A0CF9-50F9-4AAD-A560-A52BEA4E05E7}">
      <text>
        <t>[Threaded comment]
Your version of Excel allows you to read this threaded comment; however, any edits to it will get removed if the file is opened in a newer version of Excel. Learn more: https://go.microsoft.com/fwlink/?linkid=870924
Comment:
    Includes both raw material and production of a specific tool</t>
      </text>
    </comment>
    <comment ref="F43" authorId="3" shapeId="0" xr:uid="{C778093C-C8D5-430C-967C-372026A8E142}">
      <text>
        <t>[Threaded comment]
Your version of Excel allows you to read this threaded comment; however, any edits to it will get removed if the file is opened in a newer version of Excel. Learn more: https://go.microsoft.com/fwlink/?linkid=870924
Comment:
    Only raw material EC</t>
      </text>
    </comment>
    <comment ref="G43" authorId="4" shapeId="0" xr:uid="{1D382CB6-ABCB-4E69-BB5A-73F147436431}">
      <text>
        <t>[Threaded comment]
Your version of Excel allows you to read this threaded comment; however, any edits to it will get removed if the file is opened in a newer version of Excel. Learn more: https://go.microsoft.com/fwlink/?linkid=870924
Comment:
    Includes both raw material and production of a specific tool</t>
      </text>
    </comment>
    <comment ref="I43" authorId="5" shapeId="0" xr:uid="{C074F532-9E7F-412B-90FF-8F7C85D84F46}">
      <text>
        <t>[Threaded comment]
Your version of Excel allows you to read this threaded comment; however, any edits to it will get removed if the file is opened in a newer version of Excel. Learn more: https://go.microsoft.com/fwlink/?linkid=870924
Comment:
    https://pdf.sciencedirectassets.com/282173/1-s2.0-S2212827122X00024/1-s2.0-S2212827122001251/main.pdf?X-Amz-Security-Token=IQoJb3JpZ2luX2VjEJn%2F%2F%2F%2F%2F%2F%2F%2F%2F%2FwEaCXVzLWVhc3QtMSJHMEUCIAtpoH%2Bc7jkfRCNzcxwGk6qyFdqj61gu3%2F7d8QQ6FiWMAiEA1wFxfdk%2Fjbja4eeMjXUtXlxAfuN9ed6icO3MJDXHwtAqzAQIYhAFGgwwNTkwMDM1NDY4NjUiDHcsF4MIVuwf4HQAyCqpBNCL79fAhNOSB3PrZv3NolSLhS7Z11nxtkzWBvpO3ehqCArX5KSftxBtKHt%2FVy7Hw0AoWMQt3i3VW8t1EsUt4cviB6ThYiUnTt8XoV59S%2FrNU6HPCyfnJQ2bwraBdvhTlfrEKxNrrOEEZdf0X8de4COd912WpmTSyjlfV1OdCJaobDKpunNfrT2oql57NWzOANrt6Ur5oomUPkztNZqZlp6t3rHXgggIjpuWLqecfMGr9c1%2FBkAoRgLWvsrcTbxMp%2BITfjHwMVnSlGwF5w37ldD1ehI7jUA%2FHg0GyX4%2BD2Jj8vkACUlfOBtecDxc5nzbn0C7rZlRZd0BqfOGwogt8hNZqSKnrhf3bkbapt%2FUhmHQbjbnuSqEShtGUpSCjzcvX5Qum3kddvA1%2BPKRE3%2FOWndhCDfXbG5cjOi%2FpwTxpsMt5cv4lslin0kwYz43sfRTWab8p7T%2FwqnuwOKndXgXApb7NPUeAzAJ%2FehLVqa%2F8UGYulxFaDiujthbpRWFcnX5PuRrh%2B%2BeJUJO6YOkgAmJUh%2Fck%2BuNM%2FYQwB%2Bw45tq3l9F9cG1Vnm6%2B5tvjUAVsUVO%2FUpO%2BoULLEyg8jVe%2BwKXKpHLnKorCStnpYn4gyU%2BT%2ByESK%2B5Y3X2iJ26PW7T0AwRX8jasRQ%2BlXtUuZff9c5jwYRbVsftOHnGEKhl1saUEkyWY9j1jQ54th3mWdN5QHFZhlHhujbcLcZv7nQFjvaMcMtoVdA%2Bt3cGamUwiqGRmgY6qQFxFkrZfXiDDdQtnWlVlJcFrr%2B%2B9Fy1cnhIsgG71aL2A57hNnNmuqixNxWJr8zeudnQlvDK9Kaz3a4PYCbMI9O7PjMpzkPLVxyvWe2LwRe47ofd2P0XfYo%2FNmTTG6ocwWTyw0hAW%2Bd33JjCr9Qlb03n3tp6VQrKO9dse8TcQFqNILhYY6AaX%2F8GIeMjp9%2B23NaDtJy0BH6DhP4%2BADIjV4UrCXKh9%2F925VYT&amp;X-Amz-Algorithm=AWS4-HMAC-SHA256&amp;X-Amz-Date=20221010T171352Z&amp;X-Amz-SignedHeaders=host&amp;X-Amz-Expires=300&amp;X-Amz-Credential=ASIAQ3PHCVTYV4VW3D5J%2F20221010%2Fus-east-1%2Fs3%2Faws4_request&amp;X-Amz-Signature=eaadd8e850aff04d5f300e1994e5e5cb7623cea9b1f63b080929501db7db15b7&amp;hash=371aa8c860d265301cf89fc6157dfe0384ea15f0da60b0c6cd84a00a187f6c3b&amp;host=68042c943591013ac2b2430a89b270f6af2c76d8dfd086a07176afe7c76c2c61&amp;pii=S2212827122001251&amp;tid=spdf-f71bbbb0-9c08-4c22-a610-c454f587e19f&amp;sid=78b4334b5628d14b0f688c70c38ad655f739gxrqa&amp;type=client&amp;ua=515756560905525e5201&amp;rr=7580fd300b1d6fbf</t>
      </text>
    </comment>
    <comment ref="I46" authorId="6" shapeId="0" xr:uid="{36D19EBF-51F7-490A-BED0-26847110795A}">
      <text>
        <t>[Threaded comment]
Your version of Excel allows you to read this threaded comment; however, any edits to it will get removed if the file is opened in a newer version of Excel. Learn more: https://go.microsoft.com/fwlink/?linkid=870924
Comment:
    https://doi.org/10.1016/j.jclepro.2018.10.272
Fig 2</t>
      </text>
    </comment>
    <comment ref="I49" authorId="7" shapeId="0" xr:uid="{9AAC69AD-0EFC-456D-BCC9-6B8321FF78A2}">
      <text>
        <t>[Threaded comment]
Your version of Excel allows you to read this threaded comment; however, any edits to it will get removed if the file is opened in a newer version of Excel. Learn more: https://go.microsoft.com/fwlink/?linkid=870924
Comment:
    silicon carbide production | silicon carbide | APOS, U RoW</t>
      </text>
    </comment>
    <comment ref="I50" authorId="8" shapeId="0" xr:uid="{B76907B7-A95F-44AE-921C-4D2FAC72F920}">
      <text>
        <t>[Threaded comment]
Your version of Excel allows you to read this threaded comment; however, any edits to it will get removed if the file is opened in a newer version of Excel. Learn more: https://go.microsoft.com/fwlink/?linkid=870924
Comment:
    boron carbide production | boron carbide | APOS, U GLO</t>
      </text>
    </comment>
    <comment ref="I55" authorId="9" shapeId="0" xr:uid="{89AF1850-3729-4907-8B69-0595B7E3925A}">
      <text>
        <t>[Threaded comment]
Your version of Excel allows you to read this threaded comment; however, any edits to it will get removed if the file is opened in a newer version of Excel. Learn more: https://go.microsoft.com/fwlink/?linkid=870924
Comment:
    petroleum refinery operation | light fuel oil | APOS, U RoW</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Sachin U. Nimbalkar (ORNL)</author>
  </authors>
  <commentList>
    <comment ref="B45" authorId="0" shapeId="0" xr:uid="{00000000-0006-0000-0B00-000001000000}">
      <text>
        <r>
          <rPr>
            <b/>
            <sz val="9"/>
            <color indexed="81"/>
            <rFont val="Tahoma"/>
            <family val="2"/>
          </rPr>
          <t>MJ/kg</t>
        </r>
      </text>
    </comment>
    <comment ref="C45" authorId="0" shapeId="0" xr:uid="{00000000-0006-0000-0B00-000002000000}">
      <text>
        <r>
          <rPr>
            <b/>
            <sz val="9"/>
            <color indexed="81"/>
            <rFont val="Tahoma"/>
            <family val="2"/>
          </rPr>
          <t>Btu/lb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Sachin U. Nimbalkar (ORNL)</author>
  </authors>
  <commentList>
    <comment ref="B25" authorId="0" shapeId="0" xr:uid="{00000000-0006-0000-0F00-000001000000}">
      <text>
        <r>
          <rPr>
            <b/>
            <sz val="9"/>
            <color indexed="81"/>
            <rFont val="Tahoma"/>
            <family val="2"/>
          </rPr>
          <t>MJ/kg</t>
        </r>
      </text>
    </comment>
    <comment ref="C25" authorId="0" shapeId="0" xr:uid="{00000000-0006-0000-0F00-000002000000}">
      <text>
        <r>
          <rPr>
            <b/>
            <sz val="9"/>
            <color indexed="81"/>
            <rFont val="Tahoma"/>
            <family val="2"/>
          </rPr>
          <t>Btu/lb</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tc={D47DC411-DB3A-4AF4-B8CB-B050FF88E899}</author>
    <author>tc={6A0F69EF-58BA-4152-B5BF-1A15416D4AA7}</author>
    <author>tc={C6707502-8801-430E-B24C-10B36F9407D4}</author>
    <author>tc={DEF150E3-55A7-411E-BA52-651FB55E1C37}</author>
  </authors>
  <commentList>
    <comment ref="A4" authorId="0" shapeId="0" xr:uid="{D47DC411-DB3A-4AF4-B8CB-B050FF88E899}">
      <text>
        <t>[Threaded comment]
Your version of Excel allows you to read this threaded comment; however, any edits to it will get removed if the file is opened in a newer version of Excel. Learn more: https://go.microsoft.com/fwlink/?linkid=870924
Comment:
    process-specific burdens production, inert material landfill | process-specific burdens, inert material landfill | APOS, U RoW</t>
      </text>
    </comment>
    <comment ref="A5" authorId="1" shapeId="0" xr:uid="{6A0F69EF-58BA-4152-B5BF-1A15416D4AA7}">
      <text>
        <t>[Threaded comment]
Your version of Excel allows you to read this threaded comment; however, any edits to it will get removed if the file is opened in a newer version of Excel. Learn more: https://go.microsoft.com/fwlink/?linkid=870924
Comment:
    process-specific burdens, slag landfill | process-specific burdens, slag landfill | APOS, U RoW</t>
      </text>
    </comment>
    <comment ref="A6" authorId="2" shapeId="0" xr:uid="{C6707502-8801-430E-B24C-10B36F9407D4}">
      <text>
        <t>[Threaded comment]
Your version of Excel allows you to read this threaded comment; however, any edits to it will get removed if the file is opened in a newer version of Excel. Learn more: https://go.microsoft.com/fwlink/?linkid=870924
Comment:
    process-specific burden, sanitary landfill | process-specific burden, sanitary landfill | APOS, U RoW</t>
      </text>
    </comment>
    <comment ref="A7" authorId="3" shapeId="0" xr:uid="{DEF150E3-55A7-411E-BA52-651FB55E1C37}">
      <text>
        <t>[Threaded comment]
Your version of Excel allows you to read this threaded comment; however, any edits to it will get removed if the file is opened in a newer version of Excel. Learn more: https://go.microsoft.com/fwlink/?linkid=870924
Comment:
    process-specific burdens, residual material landfill | process-specific burdens, residual material landfill | APOS, U RoW</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tc={F328A2B2-CF7D-4F43-9ABD-49414E09A8D9}</author>
  </authors>
  <commentList>
    <comment ref="B20" authorId="0" shapeId="0" xr:uid="{F328A2B2-CF7D-4F43-9ABD-49414E09A8D9}">
      <text>
        <t>[Threaded comment]
Your version of Excel allows you to read this threaded comment; however, any edits to it will get removed if the file is opened in a newer version of Excel. Learn more: https://go.microsoft.com/fwlink/?linkid=870924
Comment:
    884 lb/MWh --&gt; MWh/1000kWh * kg/2.2lb</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tc={5806FDBA-7ACA-4083-8319-AB72DFCC446A}</author>
    <author>tc={9EF1583A-8604-4A09-BDC5-950BB2CB0ABD}</author>
    <author>tc={EDD9B06F-6A73-4EC8-97FF-4A4FB74E8674}</author>
    <author>tc={7DBF373B-80D1-47DA-92A5-7826F3F7B2A0}</author>
  </authors>
  <commentList>
    <comment ref="R14" authorId="0" shapeId="0" xr:uid="{5806FDBA-7ACA-4083-8319-AB72DFCC446A}">
      <text>
        <t>[Threaded comment]
Your version of Excel allows you to read this threaded comment; however, any edits to it will get removed if the file is opened in a newer version of Excel. Learn more: https://go.microsoft.com/fwlink/?linkid=870924
Comment:
    process-specific burdens production, inert material landfill | process-specific burdens, inert material landfill | APOS, U RoW</t>
      </text>
    </comment>
    <comment ref="R15" authorId="1" shapeId="0" xr:uid="{9EF1583A-8604-4A09-BDC5-950BB2CB0ABD}">
      <text>
        <t>[Threaded comment]
Your version of Excel allows you to read this threaded comment; however, any edits to it will get removed if the file is opened in a newer version of Excel. Learn more: https://go.microsoft.com/fwlink/?linkid=870924
Comment:
    process-specific burdens, slag landfill | process-specific burdens, slag landfill | APOS, U RoW</t>
      </text>
    </comment>
    <comment ref="R16" authorId="2" shapeId="0" xr:uid="{EDD9B06F-6A73-4EC8-97FF-4A4FB74E8674}">
      <text>
        <t>[Threaded comment]
Your version of Excel allows you to read this threaded comment; however, any edits to it will get removed if the file is opened in a newer version of Excel. Learn more: https://go.microsoft.com/fwlink/?linkid=870924
Comment:
    process-specific burden, sanitary landfill | process-specific burden, sanitary landfill | APOS, U RoW</t>
      </text>
    </comment>
    <comment ref="R17" authorId="3" shapeId="0" xr:uid="{7DBF373B-80D1-47DA-92A5-7826F3F7B2A0}">
      <text>
        <t>[Threaded comment]
Your version of Excel allows you to read this threaded comment; however, any edits to it will get removed if the file is opened in a newer version of Excel. Learn more: https://go.microsoft.com/fwlink/?linkid=870924
Comment:
    process-specific burdens, residual material landfill | process-specific burdens, residual material landfill | APOS, U RoW</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<sst xmlns="http://schemas.openxmlformats.org/spreadsheetml/2006/main" count="3485" uniqueCount="1014">
  <si>
    <t>Part name</t>
  </si>
  <si>
    <t>Part description</t>
  </si>
  <si>
    <t>Unit</t>
  </si>
  <si>
    <t>kg</t>
  </si>
  <si>
    <t>Value</t>
  </si>
  <si>
    <t>%</t>
  </si>
  <si>
    <t>m</t>
  </si>
  <si>
    <t>lb</t>
  </si>
  <si>
    <t>1 MJ</t>
  </si>
  <si>
    <t>Cobalt-chromium alloys</t>
  </si>
  <si>
    <t>Silver</t>
  </si>
  <si>
    <t>Polyamide (nylon)</t>
  </si>
  <si>
    <t>Polystyrene</t>
  </si>
  <si>
    <t>Polypropylene</t>
  </si>
  <si>
    <t>Select</t>
  </si>
  <si>
    <t>Source</t>
  </si>
  <si>
    <t>Magnesium Alloys</t>
  </si>
  <si>
    <t>Glass molding</t>
  </si>
  <si>
    <t>Machining - Heavy</t>
  </si>
  <si>
    <t>Machining - Finishing (light)</t>
  </si>
  <si>
    <t>Machining - Grinding</t>
  </si>
  <si>
    <t>Machining - Water jet, EDM, Laser</t>
  </si>
  <si>
    <t>Joining - Gas welding</t>
  </si>
  <si>
    <t>Joining - Electric welding</t>
  </si>
  <si>
    <t>Joining - Fasteners, small</t>
  </si>
  <si>
    <t>Joining - Fasteners, large</t>
  </si>
  <si>
    <t>Joining - Adhesives, cold</t>
  </si>
  <si>
    <t>Joining - Adhesives, heat-curing</t>
  </si>
  <si>
    <t>Painting - Painting</t>
  </si>
  <si>
    <t>Painting - Baked coatings</t>
  </si>
  <si>
    <t>Painting - Powder coating</t>
  </si>
  <si>
    <t>Electroplating</t>
  </si>
  <si>
    <t>Other Secondary Process</t>
  </si>
  <si>
    <t>Ratio</t>
  </si>
  <si>
    <t>Zinc</t>
  </si>
  <si>
    <t>1 MJ/kg</t>
  </si>
  <si>
    <t>Cargo Emissions</t>
  </si>
  <si>
    <t>Energy Consumption</t>
  </si>
  <si>
    <t>Fuel Consumption</t>
  </si>
  <si>
    <t>MJ/kg/km</t>
  </si>
  <si>
    <t>gal/kg/km</t>
  </si>
  <si>
    <t>Local Truck</t>
  </si>
  <si>
    <t>OECD 1997</t>
  </si>
  <si>
    <t>Long-Distance Truck</t>
  </si>
  <si>
    <t>Facanha 2007</t>
  </si>
  <si>
    <t>Ship</t>
  </si>
  <si>
    <t>Train</t>
  </si>
  <si>
    <t>Airplane</t>
  </si>
  <si>
    <t>Facanha, C., and Horvath, A. (2007). "Evaluation of life-cycle air emission factors of freight transportation." Environmental Science &amp; Technology, 41(20), 7138-7144.</t>
  </si>
  <si>
    <t xml:space="preserve">More Cargo Emission </t>
  </si>
  <si>
    <t>Energy Intensity</t>
  </si>
  <si>
    <t>Strogen, 2012 (for shipping liquid fuels or feedstocks)</t>
  </si>
  <si>
    <t>kJ/t-km</t>
  </si>
  <si>
    <t>Train 100-unit</t>
  </si>
  <si>
    <t>Truck, Long-Haul Tanker</t>
  </si>
  <si>
    <t>Truck, Short-Haul Tanker</t>
  </si>
  <si>
    <t>Truck, Short-Haul Flatbed</t>
  </si>
  <si>
    <t>Strogen and Horvath. 2012. Greenhouse Gas Emissions from the Construction, Manufacturing, Operation and
Maintenance of US Distribution Infrastructure for Petroleum and Biofuels</t>
  </si>
  <si>
    <t>Life Cycle Phases</t>
  </si>
  <si>
    <t>Manufacturing Embodied Energy Estimation:</t>
  </si>
  <si>
    <t>Material</t>
  </si>
  <si>
    <t>Method</t>
  </si>
  <si>
    <t>Simple</t>
  </si>
  <si>
    <t>Intermediate</t>
  </si>
  <si>
    <t>Transportation</t>
  </si>
  <si>
    <t>Disposal</t>
  </si>
  <si>
    <t>Landfill</t>
  </si>
  <si>
    <t>Combustion</t>
  </si>
  <si>
    <t>Open-loop Recycling</t>
  </si>
  <si>
    <t>Closed-loop Recycling</t>
  </si>
  <si>
    <t>Years</t>
  </si>
  <si>
    <t>Term</t>
  </si>
  <si>
    <t>Life Cycle Analysis</t>
  </si>
  <si>
    <t>Primary Energy</t>
  </si>
  <si>
    <t>Material Phase</t>
  </si>
  <si>
    <t>Manufacturing Phase</t>
  </si>
  <si>
    <t>Use Phase</t>
  </si>
  <si>
    <t xml:space="preserve">This phase includes Filling/Packaging/Distribution - Processes that prepare the final product for shipment and that transport the products to retail outlets. </t>
  </si>
  <si>
    <t>Source: Life-Cycle Assessment, Inventory Guidelines and Principles, B. W. Vigon et. al.</t>
  </si>
  <si>
    <t>Analysis Level</t>
  </si>
  <si>
    <t>Transportation Type</t>
  </si>
  <si>
    <t>Ocean shipping - Diesel</t>
  </si>
  <si>
    <t>Coastal shipping - Diesel</t>
  </si>
  <si>
    <t>Barge - Diesel</t>
  </si>
  <si>
    <t>Rail - Diesel</t>
  </si>
  <si>
    <t>Articulated HGV (up to 55 metric tons) - Diesel</t>
  </si>
  <si>
    <t>40 metric ton truck - Diesel</t>
  </si>
  <si>
    <t>32 metric ton truck - Diesel</t>
  </si>
  <si>
    <t>14 metric ton truck - Diesel</t>
  </si>
  <si>
    <t>Light goods vehicle - Diesel</t>
  </si>
  <si>
    <t>Family car - Diesel</t>
  </si>
  <si>
    <t>Family car - Gasoline</t>
  </si>
  <si>
    <t>Family car - LPG</t>
  </si>
  <si>
    <t>Family car - Hybrid gasoline-electric</t>
  </si>
  <si>
    <t>Super sports car and SUV - Gasoline</t>
  </si>
  <si>
    <t>Long haul aircraft - Kerosene</t>
  </si>
  <si>
    <t>Short haul aircraft - Kerosene</t>
  </si>
  <si>
    <t>Helicopter (Eurocopter AS 350) - Kerosene</t>
  </si>
  <si>
    <t>Energy (MJ/kg. Km)</t>
  </si>
  <si>
    <t>Other (Re-engineering/Reuse)</t>
  </si>
  <si>
    <t>Industry</t>
  </si>
  <si>
    <t>Yes</t>
  </si>
  <si>
    <t>No</t>
  </si>
  <si>
    <t>Distance travelled per day</t>
  </si>
  <si>
    <t>Usage</t>
  </si>
  <si>
    <t>Electric to Thermal</t>
  </si>
  <si>
    <t>Fossil fuel to Thermal</t>
  </si>
  <si>
    <t>hr/day</t>
  </si>
  <si>
    <t>Gold</t>
  </si>
  <si>
    <t>Epoxy</t>
  </si>
  <si>
    <t>Alumina</t>
  </si>
  <si>
    <t>Notes/Assumptions</t>
  </si>
  <si>
    <t>Input Parameter</t>
  </si>
  <si>
    <t>Name</t>
  </si>
  <si>
    <t>Enter product life in terms of # of cycles, years, months, or days.</t>
  </si>
  <si>
    <t>LCA Phase</t>
  </si>
  <si>
    <t>Description</t>
  </si>
  <si>
    <t>Part Information</t>
  </si>
  <si>
    <t>Use</t>
  </si>
  <si>
    <t>Weight reduction</t>
  </si>
  <si>
    <t>original material</t>
  </si>
  <si>
    <t>AM material</t>
  </si>
  <si>
    <t>Other</t>
  </si>
  <si>
    <t>Reference</t>
  </si>
  <si>
    <t>Aerospace</t>
  </si>
  <si>
    <t>Monitor Arm</t>
  </si>
  <si>
    <t>Al</t>
  </si>
  <si>
    <t>ORNL</t>
  </si>
  <si>
    <t>50-80%</t>
  </si>
  <si>
    <t>Ti64</t>
  </si>
  <si>
    <t>Seat Buckles</t>
  </si>
  <si>
    <t>Steel</t>
  </si>
  <si>
    <t>SAVING project</t>
  </si>
  <si>
    <t>~60%</t>
  </si>
  <si>
    <t>EOS</t>
  </si>
  <si>
    <t>Hinge Arm Support Fitting</t>
  </si>
  <si>
    <t>Support Fitting</t>
  </si>
  <si>
    <t>Door Guide Roller</t>
  </si>
  <si>
    <t>Latch Housing</t>
  </si>
  <si>
    <t>Engine cover door hinge</t>
  </si>
  <si>
    <t>EADS, EOS</t>
  </si>
  <si>
    <t>Fuel Injection &amp; Swirlers</t>
  </si>
  <si>
    <t>Morris Technologies, EOS</t>
  </si>
  <si>
    <t>Automotive</t>
  </si>
  <si>
    <t>Pump housing</t>
  </si>
  <si>
    <t>80%, 43%</t>
  </si>
  <si>
    <t>Al, ss316l</t>
  </si>
  <si>
    <t>Wheel suspension</t>
  </si>
  <si>
    <t>22% front, 35% rear</t>
  </si>
  <si>
    <t>Rennteam, Within, EOS</t>
  </si>
  <si>
    <t>Compact stacking of batteries</t>
  </si>
  <si>
    <t>PA12</t>
  </si>
  <si>
    <t>GPR, EOS</t>
  </si>
  <si>
    <t>Lattice structure break disk</t>
  </si>
  <si>
    <t>Cobait Chrome</t>
  </si>
  <si>
    <t>KA RACING, EOS</t>
  </si>
  <si>
    <t>Drive shaft</t>
  </si>
  <si>
    <t>carbon-Ti</t>
  </si>
  <si>
    <t>U of Warwick, EOS</t>
  </si>
  <si>
    <t>Gripper handling adapter</t>
  </si>
  <si>
    <t>Diode clamps</t>
  </si>
  <si>
    <t>Hydraulic block/manifold</t>
  </si>
  <si>
    <t>Maraging steel</t>
  </si>
  <si>
    <t>3T, Within, EOS</t>
  </si>
  <si>
    <t>Heat exchanger</t>
  </si>
  <si>
    <t>Within, 3T, EOS</t>
  </si>
  <si>
    <t>Tooling</t>
  </si>
  <si>
    <t>Cycle time reduction</t>
  </si>
  <si>
    <t>orginal time</t>
  </si>
  <si>
    <t>optimized time</t>
  </si>
  <si>
    <t>Injection moulding</t>
  </si>
  <si>
    <t>30-50%</t>
  </si>
  <si>
    <t>24s</t>
  </si>
  <si>
    <t>13.8s</t>
  </si>
  <si>
    <t>Polymold BKL</t>
  </si>
  <si>
    <t>90s</t>
  </si>
  <si>
    <t>40s</t>
  </si>
  <si>
    <t>lbc</t>
  </si>
  <si>
    <t>Die casting</t>
  </si>
  <si>
    <t>Lbc</t>
  </si>
  <si>
    <t>7s</t>
  </si>
  <si>
    <t>Medical</t>
  </si>
  <si>
    <t>Implants</t>
  </si>
  <si>
    <t>Optimized patient match, Improved functionality, and reudced cost</t>
  </si>
  <si>
    <t>Reduce time spent in hospita, minimize follow-up problems, reduce health care costs, and improve quality of life of patients</t>
  </si>
  <si>
    <t>Y stet for artery branches</t>
  </si>
  <si>
    <t>Post processing eliminates sharp edges. Anatomic situation of blood vessels can be reproduced in stent design</t>
  </si>
  <si>
    <t>Washing rotor</t>
  </si>
  <si>
    <t>Customized products and series manufacturing</t>
  </si>
  <si>
    <t>Hettich, EOS</t>
  </si>
  <si>
    <t>Surgical instruments</t>
  </si>
  <si>
    <t>Lightweight, design for functionality</t>
  </si>
  <si>
    <t>L FHC Inc, DePuy Spine, EOS</t>
  </si>
  <si>
    <t>Dental coping s and Bridges</t>
  </si>
  <si>
    <t>Desing &amp; Lifestyle</t>
  </si>
  <si>
    <t>Personlization</t>
  </si>
  <si>
    <t>Lamp</t>
  </si>
  <si>
    <t>Rings &amp; jewelry</t>
  </si>
  <si>
    <t>Consumer products</t>
  </si>
  <si>
    <t>Footwear &amp; Sports</t>
  </si>
  <si>
    <t>Potential Case Studies</t>
  </si>
  <si>
    <t>Ti6Al4V Brackets</t>
  </si>
  <si>
    <t>Freight and Distribution</t>
  </si>
  <si>
    <t>Summary Results:</t>
  </si>
  <si>
    <t>Total Energy Use per Part</t>
  </si>
  <si>
    <t>Final part mass</t>
  </si>
  <si>
    <t>Manufacturing</t>
  </si>
  <si>
    <t>Total Energy Savings per Part</t>
  </si>
  <si>
    <t>None</t>
  </si>
  <si>
    <t>NA</t>
  </si>
  <si>
    <t>Enter part/product name.</t>
  </si>
  <si>
    <t>Provide brief description of the part and its application, etc.</t>
  </si>
  <si>
    <t>Part XYZ</t>
  </si>
  <si>
    <t>Brief Explanation</t>
  </si>
  <si>
    <t>Boundary of the product systems</t>
  </si>
  <si>
    <t>Carbon tool steels</t>
  </si>
  <si>
    <t xml:space="preserve">Dimensions, </t>
  </si>
  <si>
    <t>Additive manufacturing process details,</t>
  </si>
  <si>
    <t>Project Information</t>
  </si>
  <si>
    <t>Reference Number / Project Number</t>
  </si>
  <si>
    <t>Date</t>
  </si>
  <si>
    <t>Enter reference number or project number</t>
  </si>
  <si>
    <t>Enter project submission date</t>
  </si>
  <si>
    <t>Provide PI name</t>
  </si>
  <si>
    <t xml:space="preserve">Name </t>
  </si>
  <si>
    <t>mm/dd/yyyy</t>
  </si>
  <si>
    <t>Number</t>
  </si>
  <si>
    <t>Output</t>
  </si>
  <si>
    <t>User Notes and Assumptions</t>
  </si>
  <si>
    <t>Tool Guidance</t>
  </si>
  <si>
    <t>Product/Part Details:</t>
  </si>
  <si>
    <t>Brief description</t>
  </si>
  <si>
    <t>Part/Product Drawing or Picture:</t>
  </si>
  <si>
    <t>The total manufacturing energy use per part – the second bar of the bar chart.</t>
  </si>
  <si>
    <t>Select freight and distribution primary mode.</t>
  </si>
  <si>
    <t>The total freight and distribution energy use per part – the third bar of the bar chart.</t>
  </si>
  <si>
    <t>Select transportation or mobility mode.</t>
  </si>
  <si>
    <t xml:space="preserve"> Select Yes/No</t>
  </si>
  <si>
    <t>The total use phase energy use per part – the fourth bar of the bar chart.</t>
  </si>
  <si>
    <t xml:space="preserve">As calculated above. </t>
  </si>
  <si>
    <t xml:space="preserve">This is obtained by adding build energy consumption intensity and post-additive manufacturing processes energy intensities. </t>
  </si>
  <si>
    <t>The approximate energy of transportation  (primary mode) – pulled from “Freight or Transportation” Tab.</t>
  </si>
  <si>
    <t>Select freight and distribution secondary mode.</t>
  </si>
  <si>
    <t>The approximate energy of transportation (secondary mode)  – pulled from “Freight or Transportation” Tab.</t>
  </si>
  <si>
    <t xml:space="preserve">Calculated value. </t>
  </si>
  <si>
    <t>Materials</t>
  </si>
  <si>
    <t>kW</t>
  </si>
  <si>
    <t>Scenario #</t>
  </si>
  <si>
    <t>Scenario Details</t>
  </si>
  <si>
    <t>Approach</t>
  </si>
  <si>
    <t>Additive manufacturing process with different part geometries</t>
  </si>
  <si>
    <t>Select scenario for analysis:</t>
  </si>
  <si>
    <t>Spacecraft</t>
  </si>
  <si>
    <t>No. flights per year</t>
  </si>
  <si>
    <t xml:space="preserve">Number of shuttle flights per year. </t>
  </si>
  <si>
    <t xml:space="preserve">AM Energy Impacts Assessment Tool can be used to run the following four scenarios:
</t>
  </si>
  <si>
    <t>Directed Energy Deposition</t>
  </si>
  <si>
    <t>Disclaimer</t>
  </si>
  <si>
    <t>Life cycle analysis (LCA) is a method of determining the real energy used over the lifetime of a product, from cradle to grave. The Additive Manufacturing (AM) process and the products manufactured using the AM process have potential of reducing energy consumption in all life-cycle phases of the product. And hence, there is a need to have a consistent methodology to calculate life cycle energy consumption and savings for RD&amp;D projects in AM that AMO supports to capture the impact of the program investments as well as additive manufacturing as a foundational technology.</t>
  </si>
  <si>
    <t>Life cycle energy consumption in various phases should be quoted in Primary Energy rather than delivered energy (or end use) units. The primary energy includes generation, transmission, and distribution losses. The primary energy (potential energy) contained in a block of coal used to fire a power station will be many times (e.g. 3.1) greater than the delivered electrical energy at a premises due to heat losses at the power plant and transmission losses in the electricity grid.</t>
  </si>
  <si>
    <t xml:space="preserve">This phase includes materials processing and product fabrication. Materials Preparation/Processing - The energy required to process a raw material into a form that can be used to fabricate a particular product. For example - producing metal blocks (ingots) or sheets from molten metal or producing extruded wires from polymer material. Transport of intermediate materials is also included. Product Fabrication - The energy required for fabricating a product (using subtractive or additive process) from raw or manufactured materials. Filling/Packaging - Processes that prepare the final product for shipment and that transport the products to retail outlets. </t>
  </si>
  <si>
    <t>Begins after the distribution of products or materials for intended use and includes any activity in which the product or package may be reconditioned, maintained, or serviced to extend its useful life. For example - parts used on the aircrafts, components mounted on vehicles, etc.</t>
  </si>
  <si>
    <t xml:space="preserve">Begins after the part has served its intended purpose and either will enter a new system through recycling or will enter the environment through the waste management system. </t>
  </si>
  <si>
    <t xml:space="preserve">The boundary of the product system can be categorized into two primary and secondary categories. The primary, or zero-order, sequence of activities directly contributes to making, using, or disposing of the product or material. The secondary category includes auxiliary materials or processes that contribute to making or doing something that in turn is in the primary activity sequence. The current version of the tool focuses on the primary activities. </t>
  </si>
  <si>
    <t>Part manufactured by conventional vs. additive manufacturing</t>
  </si>
  <si>
    <t>Additive manufacturing process A vs. process B</t>
  </si>
  <si>
    <t>Additive manufacturing process with improved efficiency (efficiency 1 vs. 2)</t>
  </si>
  <si>
    <t>Conventional manufacturing process details,</t>
  </si>
  <si>
    <t>Product drawings and process block diagrams in this space …</t>
  </si>
  <si>
    <t>Enter part/product name manufactured by the conventional manufacturing process.</t>
  </si>
  <si>
    <t>Enter part/product name manufactured by the additive manufacturing process under consideration.</t>
  </si>
  <si>
    <t xml:space="preserve">Select analysis level - Simple or Intermediate. Depending upon analysis level, user gets more granularity in terms of freight and distribution modes and associated energy intensities. </t>
  </si>
  <si>
    <t>1 MJ/kg = 429.923 Btu/lb</t>
  </si>
  <si>
    <t>Btu/lb/mile</t>
  </si>
  <si>
    <t xml:space="preserve">1 km = 0.62137 mi </t>
  </si>
  <si>
    <t>1 MJ/kg/km = 691.8953 Btu/lb/mile</t>
  </si>
  <si>
    <t>Natural Gas</t>
  </si>
  <si>
    <t>Diesel</t>
  </si>
  <si>
    <t>Electricity</t>
  </si>
  <si>
    <t>Abandon in Place</t>
  </si>
  <si>
    <t>Disposal (End of Life)</t>
  </si>
  <si>
    <t>Disposal (End of Life) Phase</t>
  </si>
  <si>
    <t>Scenarios for AM Tool</t>
  </si>
  <si>
    <t>ULTEM 9085 - Pellets</t>
  </si>
  <si>
    <t>Total input material initial mass</t>
  </si>
  <si>
    <t>The weight ratio between initial input material used for a component and the weight of the final component itself.</t>
  </si>
  <si>
    <t>days/year</t>
  </si>
  <si>
    <t>Enter usage pattern</t>
  </si>
  <si>
    <t xml:space="preserve">* Negative energy use per part in disposal phase means that the manufacturing process using the recycled material shows lower burdens than for using virgin materials. Any additional material recycled is also credited to the product to reflect the good end-of-life performance of product under consideration. </t>
  </si>
  <si>
    <t>All the energy required to process a material (or multiple materials) into a form that can be used to fabricate a particular product. This energy consumption is also called the embodied energy of the material.</t>
  </si>
  <si>
    <t>Energy (Btu/lb.mile)</t>
  </si>
  <si>
    <t>Articulated truck</t>
  </si>
  <si>
    <t>Electric vehicles</t>
  </si>
  <si>
    <t>hr/build</t>
  </si>
  <si>
    <t>Aluminum</t>
  </si>
  <si>
    <t>Aluminum alloys</t>
  </si>
  <si>
    <t>Steel, low carbon</t>
  </si>
  <si>
    <t>Steel, low alloy</t>
  </si>
  <si>
    <t>Stainless steel</t>
  </si>
  <si>
    <t>Cast iron, ductile</t>
  </si>
  <si>
    <t>Lead alloys</t>
  </si>
  <si>
    <t>Zinc die-casting alloys</t>
  </si>
  <si>
    <t>Nickel-chromium alloys</t>
  </si>
  <si>
    <t>Nickel-based super alloys</t>
  </si>
  <si>
    <t>Polyethylene (PE)</t>
  </si>
  <si>
    <t>Phenolics</t>
  </si>
  <si>
    <t>Rubber, natural</t>
  </si>
  <si>
    <t>Glass, soda-lime</t>
  </si>
  <si>
    <t>Glass, borosilicate (Pyrex)</t>
  </si>
  <si>
    <t>Glass fiber</t>
  </si>
  <si>
    <t>Material Embodied Energy (MJ/kg)
(Primary or Virgin)</t>
  </si>
  <si>
    <t>1,4,5</t>
  </si>
  <si>
    <t>Details</t>
  </si>
  <si>
    <t>REFERENCES</t>
  </si>
  <si>
    <t>The Atkins – Rapid Manufacturing a Low Carbon Footprint, http://www.atkins-project.com</t>
  </si>
  <si>
    <t>Components for Energy Efficiency in Transport by Additive Manufacturing (CEEAM2012), http://www2.le.ac.uk/departments/physics/research/src/res/additive.</t>
  </si>
  <si>
    <t>Material and the Environment - Eco-Informed Material Choice, Second Edition, Michael F. Ashby.</t>
  </si>
  <si>
    <t>DOE AMO</t>
  </si>
  <si>
    <t>SAVING 2009</t>
  </si>
  <si>
    <t>CEEAM 2012</t>
  </si>
  <si>
    <t>MIT 2004</t>
  </si>
  <si>
    <t>IJAMT 2013</t>
  </si>
  <si>
    <t>BAUMERS 2013</t>
  </si>
  <si>
    <t>BAUMERS 2011</t>
  </si>
  <si>
    <t>M. ASHBY</t>
  </si>
  <si>
    <t>STRATASYS 2010</t>
  </si>
  <si>
    <t>BERGSMA 2013</t>
  </si>
  <si>
    <t>VIGON 1992</t>
  </si>
  <si>
    <t>Note - The methodology for the tool is derived from the work of Michael Ashby [M. ASHBY], B. W. Vigon [VIGON 1992], Martin Baumers [BAUMERS 2013], Geert Bergsma [BERGSMA 2013] and some other important references listed in the References tab.</t>
  </si>
  <si>
    <t>Approximate Usage (days per year)</t>
  </si>
  <si>
    <t>Approximate Usage (hours per day)</t>
  </si>
  <si>
    <t xml:space="preserve">Enter usage pattern - Take into consideration and adjust for full load, partial load, and standby modes while calculating the usage pattern. </t>
  </si>
  <si>
    <t>Output from Calculations</t>
  </si>
  <si>
    <t>AMERICAN AIRLINES 2007</t>
  </si>
  <si>
    <t>"Committed to Preserving the Wonders of Our World," American Airlines, Prepared by AMR, 2007. Available: http://www.aa.com/content/images/amrcorp/amrerr.pdf.</t>
  </si>
  <si>
    <t>ATKINS 2011</t>
  </si>
  <si>
    <t>AZOM</t>
  </si>
  <si>
    <t>AZoM.com. An Original Source of AZOM data is Granta Design Limited - www.grantadesign.com and Ceram Research Limited - www.ceram.co.uk.</t>
  </si>
  <si>
    <t xml:space="preserve">“Energy Inputs to Additive Manufacturing: Does Capacity Utilization Matters?” M. Baumers, C. Tuck, R. Wildman, I. Ashcroft, R. Hague Loughborough University, August 2011. </t>
  </si>
  <si>
    <t xml:space="preserve">“Transparency Build-in, Energy Consumption and Cost Estimation for Additive Manufacturing,” Martin Baumers, Chris Tuck, et.al., Journal of Industrial Ecology, Volume 17, Issue, 3, pages 418-431, June 2013. </t>
  </si>
  <si>
    <t>“End-of-life Best Approach for Allocating Recycling Benefits in LCAs of Metal Packaging,” Geert Bergsma Maartje Sevenster, February 2013.</t>
  </si>
  <si>
    <t>BOURHIS 2013</t>
  </si>
  <si>
    <t>“Sustainable Manufacturing: Evaluation and Modeling of Environmental Impacts in Additive Manufacturing,” Florent Bourhis, et.al., International Journal for Advanced Manufacturing Technologies, June 2013.</t>
  </si>
  <si>
    <t>DAHMUS 2004</t>
  </si>
  <si>
    <t>“An Environmental Analysis of Machining,” Jeffrey B. Dahmus and Timothy G. Gutowski, 2004 ASME International Mechanical Engineering Congress and RD&amp;D Expo, November 13-19, 2004, Anaheim, California USA.</t>
  </si>
  <si>
    <t xml:space="preserve">U.S. Department of Energy’s Advanced Manufacturing Office, http://www1.eere.energy.gov/manufacturing </t>
  </si>
  <si>
    <t>FACANHA &amp; HORVATH 2007</t>
  </si>
  <si>
    <t>"Evaluation of life-cycle air emission factors of freight transportation," Facanha, C., and Horvath, A., Environmental Science &amp; Technology, 41(20), Pp 7138-7144, 2007.</t>
  </si>
  <si>
    <t>GEYER 2012</t>
  </si>
  <si>
    <t xml:space="preserve">“User Guide for Version 3 of the WorldAutoSteel Energy and GHG Model,” Roland Geyer, University of California at Santa Barbara, CA, On Behalf of WorldAutoSteel – World Steel Association January 6, 2012. </t>
  </si>
  <si>
    <t>GHENAI 2012</t>
  </si>
  <si>
    <t>“Sustainable Engineering and Eco Design,” Chaouki Ghenai, Chapter in book: Sustainable Development - Energy, Engineering and Technologies - Manufacturing and Environment, 2012.</t>
  </si>
  <si>
    <t>HAMMOND &amp; JONES 2011</t>
  </si>
  <si>
    <t>“Inventory of Carbon &amp; Energy (ICE),” Geoff Hammond and Craig Jones, Sustainable Energy Research Team (SERT), University of Bath, UK, 2011. http://web.mit.edu/2.813/www/readings/ICEv2.pdf.old</t>
  </si>
  <si>
    <t>HELMS &amp; LAMBRECHT 2006</t>
  </si>
  <si>
    <t>"The potential contribution of light-weighting to reduce transport energy consumption," Helms, H., and U. Lambrecht, The International Journal of Life Cycle Assessment, 2006.</t>
  </si>
  <si>
    <t xml:space="preserve">“Sustainable Manufacturing: Evaluation and Modeling of Environmental Impacts in Additive Manufacturing,” Florent Bourhis, et.al., International Journal for Advanced Manufacturing Technologies, June 2013. </t>
  </si>
  <si>
    <t>KEOUGH 2011</t>
  </si>
  <si>
    <t>“Austempered Ductile Iron (ADI) – A Green Alternative,” J. R. Keough, the American Foundry Society, Schaumburg, Illinois, USA (www.afsinc.org), 2011.</t>
  </si>
  <si>
    <t>LUFTHANSA 2011</t>
  </si>
  <si>
    <t>"Fuel efficiency at the Lufthansa Group - Cutting costs and protecting the environment," Lufthansa Group, 2011. Available: http://www.lufthansagroup.com/fileadmin/downloads/en/LH-fuel-efficiency-0612.pdf.</t>
  </si>
  <si>
    <t>“An Environmental Analysis of Machining,” Jeffrey Dahmus and Timothy Gutowski, Massachusetts Institute of Technology 2004 ASME International Mechanical Engineering Congress and RD&amp;D Expo November 13-19, 2004, Anaheim, California USA.</t>
  </si>
  <si>
    <t xml:space="preserve">“The Environmental Effects of Freight”, Table 9, Truck Air Pollution Emission Factors, in grams/tonne-km. Available at  http://www.oecd.org/trade/envtrade/2386636.pdf </t>
  </si>
  <si>
    <t>PENN STATE</t>
  </si>
  <si>
    <t xml:space="preserve">Polymer Properties: http://engr.bd.psu.edu/rxm61/METBD470/Lectures/PolymerProperties%20from%20CES.pdf    </t>
  </si>
  <si>
    <t xml:space="preserve">The SAVING project (Sustainable product development via design optimization and AdditiVe manufacturING), http://www.manufacturingthefuture.co.uk.  </t>
  </si>
  <si>
    <t>“The Sustainability of Fused Deposition Modeling - Establishing the Green Credentials,” Stratasys White Paper, 2010.</t>
  </si>
  <si>
    <t>STROGEN &amp; HORVATH 2013</t>
  </si>
  <si>
    <t xml:space="preserve">“Greenhouse Gas Emissions from the Construction, Manufacturing, Operation and Maintenance of US Distribution Infrastructure for Petroleum and Biofuels,” Bret Strogen and Arpad Horvath, Journal of Infrastructure Systems, Volume 19, Issue 4, Pp 371-383, December 2013. </t>
  </si>
  <si>
    <t>STODOLSKY &amp; VYAS 1995</t>
  </si>
  <si>
    <t>“Life-Cycle Energy Savings Potential from Aluminum-Intensive Vehicles,” F. Stodolsky, A. Vyas, R. Cuenca, and L. Gaines, Transportation Technology R&amp;D Center, Argonne National Laboratory, 1995. http://www.transportation.anl.gov/pdfs/TA/106.pdf</t>
  </si>
  <si>
    <t>UT AUSTIN 2010</t>
  </si>
  <si>
    <t>“Assessing Energy Requirements and Material Flows of Selective Laser Sintering of Nylon Parts,” Telenko, C. and Seepersad, C., Solid Freeform Fabrication Proceedings; Pp 289-297, 2010.</t>
  </si>
  <si>
    <t>VICTORIA</t>
  </si>
  <si>
    <t>Embodied Energy Coefficients - Victoria University of Wellington, New Zealand. 
http://www.victoria.ac.nz/architecture/centres/cbpr/resources/pdfs/ee-coefficients.pdf</t>
  </si>
  <si>
    <t>Life-Cycle Assessment – Inventory Guidelines and Principles, B. W. Vigon, et.al., November 1992.</t>
  </si>
  <si>
    <r>
      <t>1.</t>
    </r>
    <r>
      <rPr>
        <sz val="7"/>
        <color theme="1"/>
        <rFont val="Times New Roman"/>
        <family val="1"/>
      </rPr>
      <t xml:space="preserve">      </t>
    </r>
    <r>
      <rPr>
        <sz val="11"/>
        <color theme="1"/>
        <rFont val="Calibri"/>
        <family val="2"/>
        <scheme val="minor"/>
      </rPr>
      <t>[HELMS &amp; LAMBRECHT 2006]</t>
    </r>
  </si>
  <si>
    <r>
      <t>2.</t>
    </r>
    <r>
      <rPr>
        <sz val="7"/>
        <color theme="1"/>
        <rFont val="Times New Roman"/>
        <family val="1"/>
      </rPr>
      <t xml:space="preserve">      </t>
    </r>
    <r>
      <rPr>
        <sz val="11"/>
        <color theme="1"/>
        <rFont val="Calibri"/>
        <family val="2"/>
        <scheme val="minor"/>
      </rPr>
      <t>[M. ASHBY]</t>
    </r>
  </si>
  <si>
    <r>
      <t>3.</t>
    </r>
    <r>
      <rPr>
        <sz val="7"/>
        <color theme="1"/>
        <rFont val="Times New Roman"/>
        <family val="1"/>
      </rPr>
      <t xml:space="preserve">      </t>
    </r>
    <r>
      <rPr>
        <sz val="11"/>
        <color theme="1"/>
        <rFont val="Calibri"/>
        <family val="2"/>
        <scheme val="minor"/>
      </rPr>
      <t>[GEYER 2012]</t>
    </r>
  </si>
  <si>
    <r>
      <t>4.</t>
    </r>
    <r>
      <rPr>
        <sz val="7"/>
        <color theme="1"/>
        <rFont val="Times New Roman"/>
        <family val="1"/>
      </rPr>
      <t xml:space="preserve">      </t>
    </r>
    <r>
      <rPr>
        <sz val="11"/>
        <color theme="1"/>
        <rFont val="Calibri"/>
        <family val="2"/>
        <scheme val="minor"/>
      </rPr>
      <t>[AMERICAN AIRLINES 2007]</t>
    </r>
  </si>
  <si>
    <r>
      <t>5.</t>
    </r>
    <r>
      <rPr>
        <sz val="7"/>
        <color theme="1"/>
        <rFont val="Times New Roman"/>
        <family val="1"/>
      </rPr>
      <t xml:space="preserve">      </t>
    </r>
    <r>
      <rPr>
        <sz val="11"/>
        <color theme="1"/>
        <rFont val="Calibri"/>
        <family val="2"/>
        <scheme val="minor"/>
      </rPr>
      <t>[LUFTHANSA 2011]</t>
    </r>
  </si>
  <si>
    <t>Sources: see the reference tab for more details.</t>
  </si>
  <si>
    <r>
      <t>1.</t>
    </r>
    <r>
      <rPr>
        <sz val="7"/>
        <color theme="1"/>
        <rFont val="Times New Roman"/>
        <family val="1"/>
      </rPr>
      <t xml:space="preserve">      </t>
    </r>
    <r>
      <rPr>
        <sz val="11"/>
        <color theme="1"/>
        <rFont val="Calibri"/>
        <family val="2"/>
        <scheme val="minor"/>
      </rPr>
      <t>[STROGEN &amp; HORVATH 2013]</t>
    </r>
  </si>
  <si>
    <r>
      <rPr>
        <b/>
        <sz val="11"/>
        <color theme="1"/>
        <rFont val="Calibri"/>
        <family val="2"/>
        <scheme val="minor"/>
      </rPr>
      <t>Note:</t>
    </r>
    <r>
      <rPr>
        <sz val="11"/>
        <color theme="1"/>
        <rFont val="Calibri"/>
        <family val="2"/>
        <scheme val="minor"/>
      </rPr>
      <t xml:space="preserve"> NASA's space shuttle fires its engines for around 8.5 minutes, consuming 1,000 tons of solid propellant (containing 16% aluminium) and an additional 2,000,000 litres of liquid propellant (106,261 kg of liquid hydrogen) to lift the 100,000 kg vehicle (including the 25,000 kg payload) to an altitude of 111 km and an orbital velocity of 30,000 km/h. With a specific energy of 31MJ/kg for aluminum and 143 MJ/kg for liquid hydrogen, the vehicle consumes around 5 TJ of solid propellant and 15 TJ of hydrogen fuel.</t>
    </r>
  </si>
  <si>
    <t>Source: [M. ASHBY]</t>
  </si>
  <si>
    <t>Metal</t>
  </si>
  <si>
    <t>Fiber</t>
  </si>
  <si>
    <t>Ceramic</t>
  </si>
  <si>
    <t>Casting</t>
  </si>
  <si>
    <t>Rough rolling, forging</t>
  </si>
  <si>
    <t>Extrusion, foil rolling</t>
  </si>
  <si>
    <t>Wire drawing</t>
  </si>
  <si>
    <t>Metal powder forming</t>
  </si>
  <si>
    <t>Vapor phase methods</t>
  </si>
  <si>
    <t>Extrusion</t>
  </si>
  <si>
    <t>Powder</t>
  </si>
  <si>
    <t>Polymer</t>
  </si>
  <si>
    <t>Compression molding</t>
  </si>
  <si>
    <t>Spray/Lay up</t>
  </si>
  <si>
    <t>Filament winding</t>
  </si>
  <si>
    <t>Autoclave molding</t>
  </si>
  <si>
    <t>Pellets</t>
  </si>
  <si>
    <t>Ingot</t>
  </si>
  <si>
    <t>Material #1 Type</t>
  </si>
  <si>
    <t>Material #2 Type</t>
  </si>
  <si>
    <t>Primary</t>
  </si>
  <si>
    <t>Energy</t>
  </si>
  <si>
    <t>Power (kW)</t>
  </si>
  <si>
    <t>Time (min)</t>
  </si>
  <si>
    <t>kWh/part</t>
  </si>
  <si>
    <t>Machining Tool 1</t>
  </si>
  <si>
    <t>Machining Tool 2</t>
  </si>
  <si>
    <t>Machining Tool 3</t>
  </si>
  <si>
    <t>Machining Tool 4</t>
  </si>
  <si>
    <t>Machining Tool 5</t>
  </si>
  <si>
    <t>Joining</t>
  </si>
  <si>
    <t>Painting</t>
  </si>
  <si>
    <t># Large Fasteners</t>
  </si>
  <si>
    <t># Small Fasteners</t>
  </si>
  <si>
    <t>Check</t>
  </si>
  <si>
    <t>Unit Changed</t>
  </si>
  <si>
    <t>Mass Removed</t>
  </si>
  <si>
    <t>AM - alternate</t>
  </si>
  <si>
    <t>CM - baseline</t>
  </si>
  <si>
    <t>AM - baseline</t>
  </si>
  <si>
    <t>Total Energy</t>
  </si>
  <si>
    <t>Heat Treatment</t>
  </si>
  <si>
    <t>Stress Release</t>
  </si>
  <si>
    <t>Other Heat Treatment</t>
  </si>
  <si>
    <t>Heat Treatment 1</t>
  </si>
  <si>
    <t>Heat Treatment 2</t>
  </si>
  <si>
    <t>Heat Treatment 3</t>
  </si>
  <si>
    <t>lb removed</t>
  </si>
  <si>
    <t>ft</t>
  </si>
  <si>
    <t>n</t>
  </si>
  <si>
    <t>ft2</t>
  </si>
  <si>
    <t>Material #1</t>
  </si>
  <si>
    <t>Material #2</t>
  </si>
  <si>
    <t>Min</t>
  </si>
  <si>
    <t>Max</t>
  </si>
  <si>
    <t>Acrylonitrile Butadiene Styrene (ABS)</t>
  </si>
  <si>
    <t>Carbon fiber</t>
  </si>
  <si>
    <t>Copper alloys - ingots</t>
  </si>
  <si>
    <t>Polycarbonate (PC)</t>
  </si>
  <si>
    <t>Polyesters</t>
  </si>
  <si>
    <t>Polyethylene Terephthalate (PET)</t>
  </si>
  <si>
    <t>Polyhydroxyalkanoates (PHA,PHB)</t>
  </si>
  <si>
    <t>Polylactic Acid (PLA)</t>
  </si>
  <si>
    <t>Polybutylene succinate (PBS)</t>
  </si>
  <si>
    <t>Polyphenylsulfone (PPSU or PPSF)</t>
  </si>
  <si>
    <t>Polystyrene, high impact</t>
  </si>
  <si>
    <t>Polyvinylchloride</t>
  </si>
  <si>
    <t>Rubber, butyl</t>
  </si>
  <si>
    <t>Titanium alloys</t>
  </si>
  <si>
    <t>Material Embodied Carbon (kg/kg)
(Primary or Virgin)</t>
  </si>
  <si>
    <t>Recycle fraction</t>
  </si>
  <si>
    <t>Loose</t>
  </si>
  <si>
    <t>Prepreg-thermoset</t>
  </si>
  <si>
    <t>Prepreg-thermoplastic</t>
  </si>
  <si>
    <t>Woven</t>
  </si>
  <si>
    <t>Dry Knit</t>
  </si>
  <si>
    <t>SMC</t>
  </si>
  <si>
    <t>Chopped</t>
  </si>
  <si>
    <t>Fillament</t>
  </si>
  <si>
    <t>Wire</t>
  </si>
  <si>
    <t>Cast</t>
  </si>
  <si>
    <t>Bio-fiber (softwood)</t>
  </si>
  <si>
    <t>Wood Flour</t>
  </si>
  <si>
    <t>Material_Ceramic</t>
  </si>
  <si>
    <t>Material_Fiber</t>
  </si>
  <si>
    <t>Material_Metal</t>
  </si>
  <si>
    <t>Material_Polymer</t>
  </si>
  <si>
    <t>Form_Ceramic</t>
  </si>
  <si>
    <t>Form_Fiber</t>
  </si>
  <si>
    <t>Form_Metal</t>
  </si>
  <si>
    <t>Form_Polymer</t>
  </si>
  <si>
    <t>Material_Select</t>
  </si>
  <si>
    <t>Material_None</t>
  </si>
  <si>
    <t>Form_Select</t>
  </si>
  <si>
    <t>Form_None</t>
  </si>
  <si>
    <t>Ceramic Powder</t>
  </si>
  <si>
    <t>Fiber Loose</t>
  </si>
  <si>
    <t>Fiber Prepreg-thermoset</t>
  </si>
  <si>
    <t>Fiber Prepreg-thermoplastic</t>
  </si>
  <si>
    <t>Fiber Woven</t>
  </si>
  <si>
    <t>Fiber Dry Knit</t>
  </si>
  <si>
    <t>Fiber SMC</t>
  </si>
  <si>
    <t>Fiber Chopped</t>
  </si>
  <si>
    <t>Metal Ingot</t>
  </si>
  <si>
    <t>Metal Wire</t>
  </si>
  <si>
    <t>Metal Powder</t>
  </si>
  <si>
    <t>Metal Cast</t>
  </si>
  <si>
    <t>Polymer Pellets</t>
  </si>
  <si>
    <t>Polymer Fillament</t>
  </si>
  <si>
    <t>Polymer Powder</t>
  </si>
  <si>
    <t>Secondary</t>
  </si>
  <si>
    <t>Market Mix</t>
  </si>
  <si>
    <t>Lookup Name</t>
  </si>
  <si>
    <t>Material type</t>
  </si>
  <si>
    <t>AM_Ceramic</t>
  </si>
  <si>
    <t>AM_Fiber</t>
  </si>
  <si>
    <t>AM_Metal</t>
  </si>
  <si>
    <t>AM_Polymer</t>
  </si>
  <si>
    <t>AM_Select</t>
  </si>
  <si>
    <t>Second_Polymer</t>
  </si>
  <si>
    <t>Second_Fiber</t>
  </si>
  <si>
    <t>Second_Select</t>
  </si>
  <si>
    <t>Select First Material</t>
  </si>
  <si>
    <t>Second_Metal</t>
  </si>
  <si>
    <t>CM Mat 1</t>
  </si>
  <si>
    <t>CM Mat 1 R</t>
  </si>
  <si>
    <t>CM Mat 2</t>
  </si>
  <si>
    <t>CM Mat 2 R</t>
  </si>
  <si>
    <t>AM1 Mat 1</t>
  </si>
  <si>
    <t>AM1 Mat 1 R</t>
  </si>
  <si>
    <t>AM1 Mat 2 R</t>
  </si>
  <si>
    <t>AM1 Mat 2</t>
  </si>
  <si>
    <t>AM2 Mat 1</t>
  </si>
  <si>
    <t>AM2 Mat 1 R</t>
  </si>
  <si>
    <t>AM2 Mat 2</t>
  </si>
  <si>
    <t>AM2 Mat 2R</t>
  </si>
  <si>
    <t xml:space="preserve">Calculated percent of total engineered scrap recovered and recycled on-site. This is different from the recycled material after end of life. </t>
  </si>
  <si>
    <t>Energy contribution per part for Material #1</t>
  </si>
  <si>
    <t>Energy contribution per part for Material #2</t>
  </si>
  <si>
    <t>US unit</t>
  </si>
  <si>
    <t>Use the dropdown menus to select the type of material that used for Material #1.</t>
  </si>
  <si>
    <t>Select the source of Material #1 (primary, recycled, market mix)</t>
  </si>
  <si>
    <t>Use the dropdown menus to select the type of material that used for Material #2. This is limited by the choice for Material #1.</t>
  </si>
  <si>
    <t>Select the source of Material #2 (primary, recycled, market mix)</t>
  </si>
  <si>
    <t>Provide the mass of Material #2 consumed per part</t>
  </si>
  <si>
    <t>Provide the mass of Material #2 within the part</t>
  </si>
  <si>
    <t>Provide the fraction of scrap of Material #2 that is recycled in-house for use in the part</t>
  </si>
  <si>
    <t>Citations</t>
  </si>
  <si>
    <t>Layer Height</t>
  </si>
  <si>
    <t>hr/layer</t>
  </si>
  <si>
    <t>in</t>
  </si>
  <si>
    <t>in/layer</t>
  </si>
  <si>
    <t>in/sec</t>
  </si>
  <si>
    <t>Height of printed part</t>
  </si>
  <si>
    <t>Ashby 2012</t>
  </si>
  <si>
    <t>https://international-aluminium.org/resource/aluminium-recycling-fact-sheet/</t>
  </si>
  <si>
    <t>Ecoinvent 3.5</t>
  </si>
  <si>
    <t>Bortoli et al 2019</t>
  </si>
  <si>
    <t xml:space="preserve">Ethylene-vinyl acetate </t>
  </si>
  <si>
    <t>Inconel 625</t>
  </si>
  <si>
    <t>Nijssen et al. 2021</t>
  </si>
  <si>
    <t>Tecchio et al. 2016, Moussa et al. 2012</t>
  </si>
  <si>
    <t>Polyether ether ketone (PEEK)</t>
  </si>
  <si>
    <t>Ecoinvent 3.5, assuming broad polysulfone EE and CO2</t>
  </si>
  <si>
    <t>Titanium, commerically pure</t>
  </si>
  <si>
    <t>Bortoli et al 2019, Ashby 2012</t>
  </si>
  <si>
    <t>Titanium (Ti6Al4V)</t>
  </si>
  <si>
    <t>Tungsten carbide</t>
  </si>
  <si>
    <t>Zirconia</t>
  </si>
  <si>
    <t>Bortoli et al. 2019</t>
  </si>
  <si>
    <t>Custom</t>
  </si>
  <si>
    <t>CO2</t>
  </si>
  <si>
    <t>kg/kg</t>
  </si>
  <si>
    <t>Deng et al. 2022; CO2 assumed from thermoplastic values</t>
  </si>
  <si>
    <t>Koc &amp; Cincik 2010 for EE, CO2 assumed as 0.85lbs/kWh</t>
  </si>
  <si>
    <t>Dai et al. 2015 for EE, CO2 assumed as 0.85lbs/kWh</t>
  </si>
  <si>
    <t>Gao et al. 2021 for EE, Ashby 2012,Faludi &amp; Sice 2020 for CO2</t>
  </si>
  <si>
    <t>Cerdas et al. 2017, CO2 assumed as 0.85lbs/kWh</t>
  </si>
  <si>
    <t>Telenko &amp; Seepersad 2010, CO2 assumed as 0.85lbs/kWh</t>
  </si>
  <si>
    <t>Values from literature confirmed or assumed to be pellets</t>
  </si>
  <si>
    <t>Values from literature confirmed or assumed to be ingots</t>
  </si>
  <si>
    <t>Values from literature are for loose fiber</t>
  </si>
  <si>
    <t>CM_Ceramic</t>
  </si>
  <si>
    <t>CM_Fiber</t>
  </si>
  <si>
    <t>CM_Metal</t>
  </si>
  <si>
    <t>CM_Polymer</t>
  </si>
  <si>
    <t>CM_Select</t>
  </si>
  <si>
    <t>Injection molding</t>
  </si>
  <si>
    <t>Citation</t>
  </si>
  <si>
    <t>Preliminary ORNL Analysis</t>
  </si>
  <si>
    <t>Ghosh et al, 2021; Das 2017</t>
  </si>
  <si>
    <t>MID</t>
  </si>
  <si>
    <t>CM Form</t>
  </si>
  <si>
    <t>Select unit preference:</t>
  </si>
  <si>
    <t>Units</t>
  </si>
  <si>
    <t xml:space="preserve">units: </t>
  </si>
  <si>
    <t>Post-Processing</t>
  </si>
  <si>
    <t>kg removed</t>
  </si>
  <si>
    <t>m2</t>
  </si>
  <si>
    <t>Default-Min</t>
  </si>
  <si>
    <t>Default-Max</t>
  </si>
  <si>
    <t>Metric Unit</t>
  </si>
  <si>
    <t>Number of parts per build</t>
  </si>
  <si>
    <t>parts/build</t>
  </si>
  <si>
    <t>Average Deposition Rate</t>
  </si>
  <si>
    <t>Time in Standby</t>
  </si>
  <si>
    <t>Time Printing</t>
  </si>
  <si>
    <t>Time spent warming the bed, prepping the machine, while the machine is on, but not printing</t>
  </si>
  <si>
    <t>Average Power Draw while in Standby</t>
  </si>
  <si>
    <t>Analysis Levels: Simple (Deposition Rate is known), Intermediate (Print time is known) &amp; Advanced</t>
  </si>
  <si>
    <t>Print Fixed Time (Time in Standby)</t>
  </si>
  <si>
    <t>Maximum part height</t>
  </si>
  <si>
    <t>Scan / Print head rate</t>
  </si>
  <si>
    <t>Average Power draw while moving</t>
  </si>
  <si>
    <t>Number of layers</t>
  </si>
  <si>
    <t>Time per Layer</t>
  </si>
  <si>
    <t>Total Time for Print</t>
  </si>
  <si>
    <t>Total Energy for Build</t>
  </si>
  <si>
    <t>Total Energy per Part</t>
  </si>
  <si>
    <t>Time per Layer Spent Scanning</t>
  </si>
  <si>
    <t>s/layer</t>
  </si>
  <si>
    <t>Metric-&gt;US convert</t>
  </si>
  <si>
    <t>Average Power Draw while Printing</t>
  </si>
  <si>
    <t>GHG kg/unit</t>
  </si>
  <si>
    <t>GHG kg/part</t>
  </si>
  <si>
    <t>GHG Emissions (kg/kg-km)</t>
  </si>
  <si>
    <t>GHG emission</t>
  </si>
  <si>
    <t>kg/kg/km</t>
  </si>
  <si>
    <t>Emission Factors</t>
  </si>
  <si>
    <t>Fuel</t>
  </si>
  <si>
    <t>kg/gal</t>
  </si>
  <si>
    <t>Motor Gasoline</t>
  </si>
  <si>
    <t>kg/mmbtu</t>
  </si>
  <si>
    <t>CH4</t>
  </si>
  <si>
    <t>N2O</t>
  </si>
  <si>
    <t>g/gal</t>
  </si>
  <si>
    <t>g/mmbtu</t>
  </si>
  <si>
    <t>kg eq/gal</t>
  </si>
  <si>
    <t>Kerosene (jet fuel)</t>
  </si>
  <si>
    <t xml:space="preserve"> Take into consideration full load, partial load, and standby mode power usage while calculating AVERAGE power drawn by the system. </t>
  </si>
  <si>
    <t>Airplanes (average)</t>
  </si>
  <si>
    <t>Note</t>
  </si>
  <si>
    <t>The approximate energy of transportation - Use Phase (1)</t>
  </si>
  <si>
    <t>Note: 
(1) In principle, average energy use by mobility type in the use phase should be different from the freight and distribution phase. Use phase energy numbers should be just the additional energy use associated with an increase in mass, whereas freight energy use should include not only the energy use associated with additional mass, but also a share of the baseline energy use needed to move the vehicle even if it were not carrying any weight. 
(2) If separate average energy use by mobility type in the use are not available, we are using average energy use from the freight and destribution phase. Those are highlighted in pink color. 
(3) The numbers from these sources are all in savings per aircraft (or fleets of aircraft), rather than per km traveled.  We converted to savings per km using an estimate of average miles traveled per aircraft based on Bureau of Transportation Statistics data on total aircraft miles flown in year and number of aircraft in fleet.
(4) NASA's space shuttle consumes around 5 TJ of solid propellant and 15 TJ of hydrogen fuel to lift the 100,000 kg vehicle (including the 25,000 kg payload) to an altitude of 111 km. Additionally, this value is in MJ/kg (or Btu/lb)</t>
  </si>
  <si>
    <t>Energy (MJ/kg. Km) (2)</t>
  </si>
  <si>
    <t>kg/MJ</t>
  </si>
  <si>
    <t>LPG</t>
  </si>
  <si>
    <t>CM Mat1</t>
  </si>
  <si>
    <t>Form</t>
  </si>
  <si>
    <t>Type</t>
  </si>
  <si>
    <t>Dropdown Menu</t>
  </si>
  <si>
    <t>Free-form User Input</t>
  </si>
  <si>
    <t>kg/part</t>
  </si>
  <si>
    <t>GHG</t>
  </si>
  <si>
    <t>Average energy use and carbon emissions per weight per distance – pulled from “Use Phase” Tab.</t>
  </si>
  <si>
    <t>1 1/kgkm</t>
  </si>
  <si>
    <t>1/lb-mi</t>
  </si>
  <si>
    <t>Btu</t>
  </si>
  <si>
    <t>Disposal Method</t>
  </si>
  <si>
    <t>Energy 
(MJ/kg)</t>
  </si>
  <si>
    <t>GHG Emissions (kg/kg)</t>
  </si>
  <si>
    <t>Inert landfill</t>
  </si>
  <si>
    <t>landfill for inert, insoluble, largely unpolluted, mostly mineral wastes like bricks, concrete, excavation material with carbon content below 5%.</t>
  </si>
  <si>
    <t>Slag landfill</t>
  </si>
  <si>
    <t>slag compartment for bottom ash from municipal solid waste incinerator.</t>
  </si>
  <si>
    <t>Sanitary landfill</t>
  </si>
  <si>
    <t>landfill for untreated municipal solid waste.</t>
  </si>
  <si>
    <t>Residual material landfill</t>
  </si>
  <si>
    <t>inorganic landfill for polluted inorganic wastes like with carbon content below 5%</t>
  </si>
  <si>
    <t>Notes</t>
  </si>
  <si>
    <t>HHV</t>
  </si>
  <si>
    <t/>
  </si>
  <si>
    <t>Material#1</t>
  </si>
  <si>
    <t>EoL#1</t>
  </si>
  <si>
    <t>EoL#2</t>
  </si>
  <si>
    <t>Material#2</t>
  </si>
  <si>
    <t>MatRecoveryNone</t>
  </si>
  <si>
    <t>MatRecoveryOther</t>
  </si>
  <si>
    <t>MatRecoveryOriginal</t>
  </si>
  <si>
    <t>Material Recovered</t>
  </si>
  <si>
    <t>Embodied Energy</t>
  </si>
  <si>
    <t>Embodied Carbon</t>
  </si>
  <si>
    <t>EOL Option</t>
  </si>
  <si>
    <t>Energy Generated</t>
  </si>
  <si>
    <t>Thermal Eff</t>
  </si>
  <si>
    <t>Electricial Eff</t>
  </si>
  <si>
    <t>Fraction Disposed</t>
  </si>
  <si>
    <t>Carbon Offset</t>
  </si>
  <si>
    <t>Mass Material</t>
  </si>
  <si>
    <t>Recovered Energy</t>
  </si>
  <si>
    <t>Recovered Carbon</t>
  </si>
  <si>
    <t>Energy Used</t>
  </si>
  <si>
    <t>Carbon Emission</t>
  </si>
  <si>
    <t>If Landfill</t>
  </si>
  <si>
    <t>If Recycle</t>
  </si>
  <si>
    <t>Energy Offset Electricity</t>
  </si>
  <si>
    <t>Energy Offset Fuel</t>
  </si>
  <si>
    <t>Stage Calculations</t>
  </si>
  <si>
    <t>Energy Generated2</t>
  </si>
  <si>
    <t>Material Processed</t>
  </si>
  <si>
    <t>Energy Offset None</t>
  </si>
  <si>
    <t>Citations - Embodied Energy &amp; Carbon &amp; Recycle Fraction</t>
  </si>
  <si>
    <t>Estimated from Alves, Goncalves, Brito &amp; Monteiro</t>
  </si>
  <si>
    <t>EPA, WARM</t>
  </si>
  <si>
    <t>%C</t>
  </si>
  <si>
    <t>EPA, WARM - assumed to be pet</t>
  </si>
  <si>
    <t>Energy Process</t>
  </si>
  <si>
    <t>Carbon Process</t>
  </si>
  <si>
    <t>Total Carbon Emission</t>
  </si>
  <si>
    <t>Add. Mat Energy</t>
  </si>
  <si>
    <t>Add. Mat Carbon</t>
  </si>
  <si>
    <t>Add Mat</t>
  </si>
  <si>
    <t>Additional Energy</t>
  </si>
  <si>
    <t>Additional Carbon</t>
  </si>
  <si>
    <t>Material Combusted</t>
  </si>
  <si>
    <t>AddMatCheck</t>
  </si>
  <si>
    <t>CM Tooling</t>
  </si>
  <si>
    <t>Material 1</t>
  </si>
  <si>
    <t>Material 2</t>
  </si>
  <si>
    <t>Material 3</t>
  </si>
  <si>
    <t>Material 4</t>
  </si>
  <si>
    <t>Material 5</t>
  </si>
  <si>
    <t>Material 6</t>
  </si>
  <si>
    <t>Material 7</t>
  </si>
  <si>
    <t>Material 8</t>
  </si>
  <si>
    <t>Material 9</t>
  </si>
  <si>
    <t>Material 10</t>
  </si>
  <si>
    <t>Mass</t>
  </si>
  <si>
    <t>Count</t>
  </si>
  <si>
    <t>Last</t>
  </si>
  <si>
    <t>Energy/part</t>
  </si>
  <si>
    <t>Carbon/part</t>
  </si>
  <si>
    <t>Mass/part</t>
  </si>
  <si>
    <t xml:space="preserve"> Btu/lb</t>
  </si>
  <si>
    <t xml:space="preserve">1 km = </t>
  </si>
  <si>
    <t xml:space="preserve"> mi </t>
  </si>
  <si>
    <t xml:space="preserve">1 MJ/kg/km = </t>
  </si>
  <si>
    <t xml:space="preserve"> Btu/lb/mile</t>
  </si>
  <si>
    <t>1 kg/kg</t>
  </si>
  <si>
    <t>kg/lb</t>
  </si>
  <si>
    <t>Active</t>
  </si>
  <si>
    <t>Active Calcs</t>
  </si>
  <si>
    <t>EOL</t>
  </si>
  <si>
    <t>Current Data</t>
  </si>
  <si>
    <t>Orig. Embodied Energy</t>
  </si>
  <si>
    <t>Orig. Embodied Carbon</t>
  </si>
  <si>
    <t>Energy Process Default</t>
  </si>
  <si>
    <t>Carbon Process Default</t>
  </si>
  <si>
    <t>Recycling Energy Defaults</t>
  </si>
  <si>
    <t>HHV Default</t>
  </si>
  <si>
    <t>Carbon Emission Default</t>
  </si>
  <si>
    <t>Generation Eff</t>
  </si>
  <si>
    <t>Recovered EE</t>
  </si>
  <si>
    <t>Recovered EC</t>
  </si>
  <si>
    <t>U.S.</t>
  </si>
  <si>
    <t>CM BL</t>
  </si>
  <si>
    <t>AM BL</t>
  </si>
  <si>
    <t>AM Alt</t>
  </si>
  <si>
    <t>Material Lookup</t>
  </si>
  <si>
    <t>Material Category</t>
  </si>
  <si>
    <t>Additive Manufacturing (Alternate)</t>
  </si>
  <si>
    <t>Stage Result</t>
  </si>
  <si>
    <t>Min Max?</t>
  </si>
  <si>
    <t xml:space="preserve">Energy </t>
  </si>
  <si>
    <t>(MJ/kg)</t>
  </si>
  <si>
    <t>Carbon</t>
  </si>
  <si>
    <t>London 2020</t>
  </si>
  <si>
    <t>Catalano et al. 2020</t>
  </si>
  <si>
    <t>Furberg et al. 2019</t>
  </si>
  <si>
    <t xml:space="preserve">Ecoinvent 3.5 </t>
  </si>
  <si>
    <t>Alswat &amp; Mativenga 2022</t>
  </si>
  <si>
    <t>Assumed to be mineral oil like in Winter et al. 2013, 2015, from ecoinvent as light fuel oil</t>
  </si>
  <si>
    <t>based on plate mold production for P20 tool steel</t>
  </si>
  <si>
    <t>embodied carbon was assumed to be that of tungsten carbon due to lack of data</t>
  </si>
  <si>
    <t>8% mineral oil based emulsion , assumed in water</t>
  </si>
  <si>
    <t>Carbon Tool Steels</t>
  </si>
  <si>
    <t>High Speed Steels</t>
  </si>
  <si>
    <t>Cast Cobalt Alloys</t>
  </si>
  <si>
    <t>Cemented Carbide</t>
  </si>
  <si>
    <t>Silicon Nitride</t>
  </si>
  <si>
    <t>Silicon Carbide</t>
  </si>
  <si>
    <t>Boron Carbide</t>
  </si>
  <si>
    <t>Cubic Boron Nitride</t>
  </si>
  <si>
    <t>Tungsten Carbide</t>
  </si>
  <si>
    <t>Titanium Carbide</t>
  </si>
  <si>
    <t>Zirconium Dioxide</t>
  </si>
  <si>
    <t>Cutting Fluid</t>
  </si>
  <si>
    <t>Mineral Oil</t>
  </si>
  <si>
    <t>Water, Deionized</t>
  </si>
  <si>
    <t>AM alt Tooling</t>
  </si>
  <si>
    <t>AM BL Tooling</t>
  </si>
  <si>
    <t>Primary Transportation Mode</t>
  </si>
  <si>
    <t>Transportation Impact</t>
  </si>
  <si>
    <t>Freight and Distribution Impact per part</t>
  </si>
  <si>
    <t>Product Life-time</t>
  </si>
  <si>
    <t>Secondary Transportation Mode</t>
  </si>
  <si>
    <t>Transportation mode</t>
  </si>
  <si>
    <t xml:space="preserve">Product life-span in years. If you know the product life-span in days/months/# cycles, convert it into number of years. </t>
  </si>
  <si>
    <t xml:space="preserve">Select the starting form that Material #1 took. </t>
  </si>
  <si>
    <t>Provide the mass of Material #1 within the final part</t>
  </si>
  <si>
    <t xml:space="preserve">Select the starting form that Material #2 took. </t>
  </si>
  <si>
    <t>Calculated final part mass</t>
  </si>
  <si>
    <t>Calculated total mass of materials used to produce part</t>
  </si>
  <si>
    <t>Calculated total scrap generated on site. This is the difference between total input material initial mass and final part mass.</t>
  </si>
  <si>
    <t>Ratio between initial material used and the weight of the final product - Conventional Manufacturing Process</t>
  </si>
  <si>
    <t>Total engineered scrap or waste generated onsite while producing final part</t>
  </si>
  <si>
    <t>Percent of engineered scrap recovered and recycled onsite for this product</t>
  </si>
  <si>
    <t>Material Phase Impact per Part</t>
  </si>
  <si>
    <t>Primary Shaping Process</t>
  </si>
  <si>
    <t>The energy use and carbon emissions of creating tooling for post-processing is often included in an energy analysis. The calculator can help estimate the impact per part.</t>
  </si>
  <si>
    <t>Select primary mode of material processing. If material moves directly to machining, then select none.</t>
  </si>
  <si>
    <t>Impact intensity per mass of initial material for the primary shaping process.</t>
  </si>
  <si>
    <t>Total Shaping Energy and Carbon per part</t>
  </si>
  <si>
    <t>Total Post Processing Energy and Carbon per part</t>
  </si>
  <si>
    <t>The total material impact per part – the first bar of the bar chart.</t>
  </si>
  <si>
    <t>Additive Manufacturing Process/Technique</t>
  </si>
  <si>
    <t>Does this product effect the energy use of the system it is in?</t>
  </si>
  <si>
    <t>Please select energy conversion type</t>
  </si>
  <si>
    <t>Total Primary Shaping Energy</t>
  </si>
  <si>
    <t>Primary Shaping Process Primary Impact Range</t>
  </si>
  <si>
    <t>Primary Shaping Process Impact Intensity</t>
  </si>
  <si>
    <t>Estimate Post-processing impact - Operation 1</t>
  </si>
  <si>
    <t>Post-processing energy can be estimated either with time &amp; power (Operation #1 Calculator) or with specific energy (Operation #2 Calculator) for a variety of different post-processing steps.  The estimates from these two tools will be combined, do not estimate a single post-processing step with both.</t>
  </si>
  <si>
    <t xml:space="preserve">The total disposal energy use per part for Material # 1. </t>
  </si>
  <si>
    <t xml:space="preserve">The total disposal energy use per part for Material # 2. </t>
  </si>
  <si>
    <t xml:space="preserve">The total disposal energy use per part – the fifth bar of the bar chart. </t>
  </si>
  <si>
    <t xml:space="preserve">The approximate specific impact of transportation  (primary mode) – pulled from “Freight or Transportation” Tab. </t>
  </si>
  <si>
    <t xml:space="preserve">The approximate specific impact of transportation  (secondary mode) – pulled from “Freight or Transportation” Tab. </t>
  </si>
  <si>
    <t xml:space="preserve">Provide average distance travelled by the product using the primary mode of transportation from the manufacturing site to point of use or sale. </t>
  </si>
  <si>
    <t xml:space="preserve">Select freight and distribution primary mode. This could represent the international part of the freight. </t>
  </si>
  <si>
    <t xml:space="preserve">Provide average distance travelled by the product using the secondary mode of transportation from the manufacturing site to point of use or sale. </t>
  </si>
  <si>
    <t xml:space="preserve">Select freight and distribution secondary mode. This could represent the domestic part of the freight. </t>
  </si>
  <si>
    <t>Select how energy in converted by the system containing the product</t>
  </si>
  <si>
    <t>Provide an embodied energy and carbon for Material #1.</t>
  </si>
  <si>
    <t xml:space="preserve">Provide an embodied energy and carbon for recycled scrap of Material #1. </t>
  </si>
  <si>
    <t xml:space="preserve">Provide an embodied energy and carbon for Material #2. </t>
  </si>
  <si>
    <t xml:space="preserve">Provide an embodied energy and carbon for recycled scrap of Material #2. </t>
  </si>
  <si>
    <t>Select Yes if which to include Mobile Use Phase Impact</t>
  </si>
  <si>
    <t>Use phase life time energy use per unit mass</t>
  </si>
  <si>
    <t>Additive Manufacturing Process Steps (Step A): Primary manufacturing / shaping processes done in house</t>
  </si>
  <si>
    <t>Height of one print layer</t>
  </si>
  <si>
    <t>Calculated number of layers</t>
  </si>
  <si>
    <t>Calculated total time spent scanning</t>
  </si>
  <si>
    <t>Calculated total time per layer</t>
  </si>
  <si>
    <t>Calculated total time for print</t>
  </si>
  <si>
    <t>Impact per build</t>
  </si>
  <si>
    <t>Amount of material is being added to a part over a set time</t>
  </si>
  <si>
    <t>Select type of AM process, based on ASTM definitions of AM techniques. This does not change any calculations, it is just for accounting.</t>
  </si>
  <si>
    <t xml:space="preserve">The number of parts created per print build. </t>
  </si>
  <si>
    <t>Calculated print time from deposition rate</t>
  </si>
  <si>
    <t>Total time for printing a part (excluding standby time)</t>
  </si>
  <si>
    <t>Total energy and carbon impacts per build</t>
  </si>
  <si>
    <t>Total energy and carbon impacts per part</t>
  </si>
  <si>
    <t>Rate at which layer profile is scanned or deposited</t>
  </si>
  <si>
    <t>min/build</t>
  </si>
  <si>
    <t>Linear distance required to scan one layer. The total linear distance the print head needs to travel to complete one layer, calculated as surface area divided by scan or bead width</t>
  </si>
  <si>
    <t xml:space="preserve">     </t>
  </si>
  <si>
    <t>Typical life-span of the product manufactured using the Baseline Additive Manufacturing Process</t>
  </si>
  <si>
    <t>Typical life-span of the product manufactured using the Baseline Conventional Manufacturing Process</t>
  </si>
  <si>
    <t>Results</t>
  </si>
  <si>
    <t>CHART DATA - HIDE</t>
  </si>
  <si>
    <t>Include in Graph</t>
  </si>
  <si>
    <t>Graph Settings</t>
  </si>
  <si>
    <t>Big #</t>
  </si>
  <si>
    <t>Small #</t>
  </si>
  <si>
    <t>Energy Units</t>
  </si>
  <si>
    <t>Emissions Units</t>
  </si>
  <si>
    <t>Average Specific Impact</t>
  </si>
  <si>
    <t>Carbon fiber Primary</t>
  </si>
  <si>
    <t>kg/MWh</t>
  </si>
  <si>
    <t>Use phase life time impact per unit mass</t>
  </si>
  <si>
    <t>lb/MWh</t>
  </si>
  <si>
    <t>Impact per Baseline Product Lifetime</t>
  </si>
  <si>
    <t>Lifetime</t>
  </si>
  <si>
    <t>Baseline</t>
  </si>
  <si>
    <t>Alternate</t>
  </si>
  <si>
    <t>% Reduction in material Initial mass</t>
  </si>
  <si>
    <t>% Reduction in Final part mass</t>
  </si>
  <si>
    <t>Graph Settings (set from Baseline)</t>
  </si>
  <si>
    <t>Include in Graphs?</t>
  </si>
  <si>
    <t>If Log Scale</t>
  </si>
  <si>
    <t>TOTAL</t>
  </si>
  <si>
    <t>BL</t>
  </si>
  <si>
    <t>Alt</t>
  </si>
  <si>
    <t>Manufactruing</t>
  </si>
  <si>
    <t>Stage 1</t>
  </si>
  <si>
    <t>Stage 2</t>
  </si>
  <si>
    <t>Mobile</t>
  </si>
  <si>
    <t>Stationary</t>
  </si>
  <si>
    <t>T/F</t>
  </si>
  <si>
    <t xml:space="preserve">CM </t>
  </si>
  <si>
    <t>Phase</t>
  </si>
  <si>
    <t>Component</t>
  </si>
  <si>
    <t>PHASE</t>
  </si>
  <si>
    <t xml:space="preserve">Material </t>
  </si>
  <si>
    <t>Energy Savings</t>
  </si>
  <si>
    <t>Carbon Savings</t>
  </si>
  <si>
    <t>Energy and Carbon Summary</t>
  </si>
  <si>
    <t>Detailed Energy &amp; Carbon Summary</t>
  </si>
  <si>
    <t>Energy &amp; Carbon Savings Summary</t>
  </si>
  <si>
    <t xml:space="preserve">Approximate Usage (hours per day) </t>
  </si>
  <si>
    <t xml:space="preserve">Approximate Usage (days per year) </t>
  </si>
  <si>
    <t>Intermediate Result</t>
  </si>
  <si>
    <t>ORNL (Last Updated - 12/05/2022)</t>
  </si>
  <si>
    <t>Additive Manufacturing Process - Baseline</t>
  </si>
  <si>
    <t>Conventional Manufacturing Process - Baseline</t>
  </si>
  <si>
    <t>Calculate Relative to Product Lifetimes?</t>
  </si>
  <si>
    <t>Typical life-span of the product manufactured using the Alternate Additive Manufacturing Process</t>
  </si>
  <si>
    <t>Citation - HHV</t>
  </si>
  <si>
    <t>Primary Forming</t>
  </si>
  <si>
    <t>Assuming cobalt cr alloy</t>
  </si>
  <si>
    <t>Process</t>
  </si>
  <si>
    <t>Distance traveled using primary transportation mode</t>
  </si>
  <si>
    <t>Distance traveled using secondary transportation mode</t>
  </si>
  <si>
    <t>Is this part part of or carried by a transportation system?</t>
  </si>
  <si>
    <t>Number of flights per year</t>
  </si>
  <si>
    <t xml:space="preserve">Average power use when printing (motors, actuators, scanners, lasers, etc.). This may be available in printer documentation or measured with a power meter. </t>
  </si>
  <si>
    <t xml:space="preserve">Average power use when on, but not printing (bed heating, displays, etc.).  This may be available in printer documentation or measured with a power meter. </t>
  </si>
  <si>
    <t>Layer Fixed Time (Time Scanning/Print head moving)</t>
  </si>
  <si>
    <t>Linear scanning distance</t>
  </si>
  <si>
    <t>Average Power while scanning/extruding</t>
  </si>
  <si>
    <t xml:space="preserve">Average power use when scanning (scanners, lasers, etc.). This may be available in printer documentation or measured with a power meter. </t>
  </si>
  <si>
    <t xml:space="preserve">Average power use between layers (motors, actuators moving the print head). This may be available in printer documentation or measured with a power meter. </t>
  </si>
  <si>
    <t>Additive Manufacturing Process - Alternative</t>
  </si>
  <si>
    <t>Btu/lb          kg/lb</t>
  </si>
  <si>
    <t>Btu/part          kg/part</t>
  </si>
  <si>
    <t>Impact per part</t>
  </si>
  <si>
    <t>Impact per Part</t>
  </si>
  <si>
    <t>Additive Manufacturing process embodied energy use &amp; carbon emissions</t>
  </si>
  <si>
    <t>Estimate Post-processing impact - Operation 2</t>
  </si>
  <si>
    <t>Total Post-processing process impact</t>
  </si>
  <si>
    <t>Tooling Impact per part</t>
  </si>
  <si>
    <t>Manufacturing impact use per part</t>
  </si>
  <si>
    <t>Stationary use phase impact</t>
  </si>
  <si>
    <t>Mobile use phase Impact</t>
  </si>
  <si>
    <t>Use phase impact per part</t>
  </si>
  <si>
    <t>Primary disposal impact per part - Material # 1</t>
  </si>
  <si>
    <t>Secondary disposal impact per part - Material # 1</t>
  </si>
  <si>
    <t>Disposal (End of Life) impact per part - Material # 1</t>
  </si>
  <si>
    <t>Primary disposal impact per part - Material # 2</t>
  </si>
  <si>
    <t>Secondary disposal impact per part - Material # 2</t>
  </si>
  <si>
    <t>Disposal (End of Life) impact per part - Material # 2</t>
  </si>
  <si>
    <t>Disposal (End of Life) impact per part</t>
  </si>
  <si>
    <t xml:space="preserve">Select the specific material used for Material #2. This changes the impact ranges in rows 27 and 29. This will not change the impacts values set in Rows 28 and 30. </t>
  </si>
  <si>
    <t>Second_Ceramic</t>
  </si>
  <si>
    <t>Select Primary</t>
  </si>
  <si>
    <t>Please contact Joe Cresko (E-mail: joe.cresko@ee.doe.gov) for any programmatic questions. Please contact Kristina Armstrong (Email: armstrongko@ornl.gov) for technical question, comments, and suggestions. Your cooperation and support is greatly appreciated.</t>
  </si>
  <si>
    <t>AM Energy and Carbon Impacts Assessment Tool</t>
  </si>
  <si>
    <t>Development Team</t>
  </si>
  <si>
    <t>Sachin Nimbalkar, ORNL</t>
  </si>
  <si>
    <t>Kristina Armstrong, ORNL</t>
  </si>
  <si>
    <t>Advising and Outreach</t>
  </si>
  <si>
    <t>Sponsor</t>
  </si>
  <si>
    <t>Joe Cresko, DOE</t>
  </si>
  <si>
    <t>Dipti Kamath, ORNL</t>
  </si>
  <si>
    <t>Chris Price, ORNL</t>
  </si>
  <si>
    <t>Prashant Nagapurkar, ORNL</t>
  </si>
  <si>
    <t>Industrial Energy and Decarbonization Office, Department of Energy</t>
  </si>
  <si>
    <t>Chins Chinnasamy, ORNL</t>
  </si>
  <si>
    <t>Mike Kirka, ORNL</t>
  </si>
  <si>
    <t>Matt Korey, ORNL</t>
  </si>
  <si>
    <t>Additive Manufacturing Overview</t>
  </si>
  <si>
    <t>AM Energy &amp; Carbon Impacts Assessment Tool Scope</t>
  </si>
  <si>
    <t>LCA includes total five phases: 1. Material, 2. Manufacturing, 3 Transportation, 4. Use, and 5. End of Life.</t>
  </si>
  <si>
    <t>Transportation Phase</t>
  </si>
  <si>
    <t>Tool Calculation Flow</t>
  </si>
  <si>
    <t>CM/AM</t>
  </si>
  <si>
    <t>AM/AM</t>
  </si>
  <si>
    <t>Process Energy (MJ/kg)
(Primary or Virgin)</t>
  </si>
  <si>
    <t>Process Carbon (kg/kg)
(Primary or Virgin)</t>
  </si>
  <si>
    <r>
      <t xml:space="preserve">OECD. 1997. </t>
    </r>
    <r>
      <rPr>
        <u/>
        <sz val="10"/>
        <rFont val="Arial"/>
        <family val="2"/>
      </rPr>
      <t>The Environmental Effects of Freight</t>
    </r>
    <r>
      <rPr>
        <sz val="10"/>
        <color theme="1"/>
        <rFont val="Calibri"/>
        <family val="2"/>
        <scheme val="minor"/>
      </rPr>
      <t>. Table 9. Truck Air Pollution Emission Factors, in grams/tonne-km  Available at  http://www1.oecd.org/ech/pub/TRANSP4.PDF (2003)</t>
    </r>
  </si>
  <si>
    <t>GHG Emissions
(kg/kg-km)</t>
  </si>
  <si>
    <t>AM Energy and Carbon 
Impacts Assessment Tool</t>
  </si>
  <si>
    <t xml:space="preserve">This tool was prepared as an account of work sponsored by an agency of the United States Government. Neither the United States Government nor any agency thereof, nor any of their employees, makes any warranty, express or implied, or assumes any legal liability or responsibility for the accuracy, completeness, or usefulness of any information, apparatus, product, or process disclosed, or represents that its use would not infringe privately owned rights. Reference herein to any specific commercial product, process, or service by trade name, trademark, manufacturer, or otherwise, does not necessarily constitute or imply its endorsement, recommendation, or favoring by the United States Government or any agency thereof. The views and opinions of authors expressed herein do not necessarily state or reflect those of the United States Government or any agency thereof.
 As this tool is currently in Beta version, additional peer review and comments from experts will be sought over the next 12 months (from the Beta version release date) as the tool is further developed for a full release version. </t>
  </si>
  <si>
    <t>Uses tabs - 
CM Calculator (BL) and AM Calculator (Alt)</t>
  </si>
  <si>
    <t>Uses tabs - 
AM Calculator (BL) and AM Calculator (Alt)</t>
  </si>
  <si>
    <t>Ti6Al4V Aerospace Bracket</t>
  </si>
  <si>
    <t>Airplane Bracket</t>
  </si>
  <si>
    <t>Titanium (Ti6Al4V) Primary</t>
  </si>
  <si>
    <t>GRAPH HERE. ZOOM IN IF CANNOT SEE</t>
  </si>
  <si>
    <t>GRAPH HERE. ZOOM IN OR SCROLL IF CANNOT SEE</t>
  </si>
  <si>
    <t>Multi-Purpose Airplane Bracket used to support various airplane functions such as jet engine, cabinet,…</t>
  </si>
  <si>
    <r>
      <rPr>
        <b/>
        <sz val="12"/>
        <color theme="1"/>
        <rFont val="Tahoma"/>
        <family val="2"/>
      </rPr>
      <t>Note:</t>
    </r>
    <r>
      <rPr>
        <sz val="12"/>
        <color theme="1"/>
        <rFont val="Tahoma"/>
        <family val="2"/>
      </rPr>
      <t xml:space="preserve"> Please note that this tool is a BETA VERSION. It might not yet have all the functionality you would expect. Contact Kristina Armstrong (E-mail: armstrongko@ornl.gov) for all comments and suggestions.</t>
    </r>
  </si>
  <si>
    <r>
      <t xml:space="preserve">Material Selection Steps (Step A): </t>
    </r>
    <r>
      <rPr>
        <sz val="14"/>
        <color theme="1"/>
        <rFont val="Tahoma"/>
        <family val="2"/>
      </rPr>
      <t>Material selection from a series of dropdowns and data regarding material mass</t>
    </r>
  </si>
  <si>
    <r>
      <t xml:space="preserve">Select the specific material used for Material #1. This changes the impact ranges in rows 23 and 25. </t>
    </r>
    <r>
      <rPr>
        <b/>
        <sz val="12"/>
        <color theme="1"/>
        <rFont val="Tahoma"/>
        <family val="2"/>
      </rPr>
      <t>This will not change the impacts values set in Rows 24 and 26</t>
    </r>
    <r>
      <rPr>
        <sz val="12"/>
        <color theme="1"/>
        <rFont val="Tahoma"/>
        <family val="2"/>
      </rPr>
      <t xml:space="preserve">. </t>
    </r>
  </si>
  <si>
    <r>
      <t xml:space="preserve">Provide the mass of Material #1 consumed to create the final part. This may </t>
    </r>
    <r>
      <rPr>
        <b/>
        <sz val="12"/>
        <color theme="1"/>
        <rFont val="Tahoma"/>
        <family val="2"/>
      </rPr>
      <t xml:space="preserve">not be </t>
    </r>
    <r>
      <rPr>
        <sz val="12"/>
        <color theme="1"/>
        <rFont val="Tahoma"/>
        <family val="2"/>
      </rPr>
      <t>the final part mass (if material is removed during production)</t>
    </r>
  </si>
  <si>
    <r>
      <t xml:space="preserve">Provide the fraction of scrap of Material #1 that is recycled in-house for use in the part. </t>
    </r>
    <r>
      <rPr>
        <b/>
        <sz val="12"/>
        <color theme="1"/>
        <rFont val="Tahoma"/>
        <family val="2"/>
      </rPr>
      <t>In-house</t>
    </r>
    <r>
      <rPr>
        <sz val="12"/>
        <color theme="1"/>
        <rFont val="Tahoma"/>
        <family val="2"/>
      </rPr>
      <t xml:space="preserve"> recycling of scrap reduces the total impact of the material</t>
    </r>
  </si>
  <si>
    <r>
      <t xml:space="preserve">Material Selection Steps (Step B): </t>
    </r>
    <r>
      <rPr>
        <sz val="14"/>
        <color theme="1"/>
        <rFont val="Tahoma"/>
        <family val="2"/>
      </rPr>
      <t xml:space="preserve">Embodied specific energy and carbon of materials. </t>
    </r>
    <r>
      <rPr>
        <u/>
        <sz val="14"/>
        <color theme="1"/>
        <rFont val="Tahoma"/>
        <family val="2"/>
      </rPr>
      <t>Use the "+" and "-" buttons</t>
    </r>
    <r>
      <rPr>
        <sz val="14"/>
        <color theme="1"/>
        <rFont val="Tahoma"/>
        <family val="2"/>
      </rPr>
      <t xml:space="preserve"> to automatically set value from provided range</t>
    </r>
  </si>
  <si>
    <r>
      <t xml:space="preserve">Material Selection Summary (Step C): </t>
    </r>
    <r>
      <rPr>
        <sz val="14"/>
        <color theme="1"/>
        <rFont val="Tahoma"/>
        <family val="2"/>
      </rPr>
      <t xml:space="preserve">Review Material Selection Results </t>
    </r>
  </si>
  <si>
    <r>
      <t xml:space="preserve">Conventional Manufacturing Process Steps (Step A): </t>
    </r>
    <r>
      <rPr>
        <sz val="14"/>
        <color theme="1"/>
        <rFont val="Tahoma"/>
        <family val="2"/>
      </rPr>
      <t>Primary manufacturing / shaping processes done in house</t>
    </r>
  </si>
  <si>
    <r>
      <t>Conventional Manufacturing post-processing process or processes (Step B): S</t>
    </r>
    <r>
      <rPr>
        <sz val="14"/>
        <color theme="1"/>
        <rFont val="Tahoma"/>
        <family val="2"/>
      </rPr>
      <t>econdary, and tertiary shaping and finishing</t>
    </r>
  </si>
  <si>
    <r>
      <t xml:space="preserve">Conventional Manufacturing Tooling and Machine Tools (Step C): </t>
    </r>
    <r>
      <rPr>
        <sz val="14"/>
        <color theme="1"/>
        <rFont val="Tahoma"/>
        <family val="2"/>
      </rPr>
      <t xml:space="preserve">Embodied impact of tooling and machine tools used in the conventional manufacturing process. </t>
    </r>
  </si>
  <si>
    <r>
      <t>Product Transportation: Freight and distribution</t>
    </r>
    <r>
      <rPr>
        <sz val="14"/>
        <color theme="1"/>
        <rFont val="Tahoma"/>
        <family val="2"/>
      </rPr>
      <t xml:space="preserve"> of goods from manufacturing to point of sale or use</t>
    </r>
  </si>
  <si>
    <r>
      <t xml:space="preserve">Product Use: </t>
    </r>
    <r>
      <rPr>
        <sz val="14"/>
        <color theme="2"/>
        <rFont val="Tahoma"/>
        <family val="2"/>
      </rPr>
      <t xml:space="preserve">Impact of using or operating the product or system the part is in. Use this if you are interested in the use phase impact or have data indicating that the alternative scenario would </t>
    </r>
    <r>
      <rPr>
        <u/>
        <sz val="14"/>
        <color theme="2"/>
        <rFont val="Tahoma"/>
        <family val="2"/>
      </rPr>
      <t>change</t>
    </r>
    <r>
      <rPr>
        <sz val="14"/>
        <color theme="2"/>
        <rFont val="Tahoma"/>
        <family val="2"/>
      </rPr>
      <t xml:space="preserve"> the impact on the use phase</t>
    </r>
  </si>
  <si>
    <r>
      <t xml:space="preserve">Mobile Use Phase: </t>
    </r>
    <r>
      <rPr>
        <sz val="14"/>
        <color theme="2"/>
        <rFont val="Tahoma"/>
        <family val="2"/>
      </rPr>
      <t>Use if the product is part of or carried on an transportation system. If the alternative product is lighter weight or is used differently, there would be a change in impact</t>
    </r>
  </si>
  <si>
    <r>
      <t xml:space="preserve">Stationary phase energy: </t>
    </r>
    <r>
      <rPr>
        <sz val="14"/>
        <color theme="2"/>
        <rFont val="Tahoma"/>
        <family val="2"/>
      </rPr>
      <t>Use if the product is part of an energy conversion process (e.g., electrical to mechanical, fossil fuel to thermal)</t>
    </r>
    <r>
      <rPr>
        <b/>
        <sz val="14"/>
        <color theme="2"/>
        <rFont val="Tahoma"/>
        <family val="2"/>
      </rPr>
      <t xml:space="preserve">. </t>
    </r>
    <r>
      <rPr>
        <sz val="14"/>
        <color theme="2"/>
        <rFont val="Tahoma"/>
        <family val="2"/>
      </rPr>
      <t>If the alternative product improves efficiency or changes operation there would be a change in impact</t>
    </r>
  </si>
  <si>
    <r>
      <t xml:space="preserve">End of Life / Disposal Energy: </t>
    </r>
    <r>
      <rPr>
        <sz val="14"/>
        <color theme="1"/>
        <rFont val="Tahoma"/>
        <family val="2"/>
      </rPr>
      <t>Impact of part disposal or recycling at the end of life</t>
    </r>
  </si>
  <si>
    <r>
      <t xml:space="preserve">This is the amount of energy needed and carbon produced by disposing Material 1. 
</t>
    </r>
    <r>
      <rPr>
        <b/>
        <sz val="12"/>
        <color theme="1"/>
        <rFont val="Tahoma"/>
        <family val="2"/>
      </rPr>
      <t>The calculators can be used to help estimate.</t>
    </r>
  </si>
  <si>
    <r>
      <t xml:space="preserve">This is the amount of energy needed and carbon produced by disposing Material 2. 
</t>
    </r>
    <r>
      <rPr>
        <b/>
        <sz val="12"/>
        <color theme="1"/>
        <rFont val="Tahoma"/>
        <family val="2"/>
      </rPr>
      <t>The calculators can be used to help estimate.</t>
    </r>
  </si>
  <si>
    <r>
      <t xml:space="preserve">Additive Manufacturing Process Steps (Step A): </t>
    </r>
    <r>
      <rPr>
        <sz val="14"/>
        <color theme="1"/>
        <rFont val="Tahoma"/>
        <family val="2"/>
      </rPr>
      <t>Primary manufacturing / shaping processes done in house</t>
    </r>
  </si>
  <si>
    <r>
      <t xml:space="preserve">Time the machine is not scanning </t>
    </r>
    <r>
      <rPr>
        <b/>
        <sz val="12"/>
        <color theme="1"/>
        <rFont val="Tahoma"/>
        <family val="2"/>
      </rPr>
      <t>per layer</t>
    </r>
    <r>
      <rPr>
        <sz val="12"/>
        <color theme="1"/>
        <rFont val="Tahoma"/>
        <family val="2"/>
      </rPr>
      <t xml:space="preserve"> (additional time between layers to prepare material for the next layer). </t>
    </r>
    <r>
      <rPr>
        <b/>
        <sz val="12"/>
        <color theme="1"/>
        <rFont val="Tahoma"/>
        <family val="2"/>
      </rPr>
      <t xml:space="preserve">This is likely </t>
    </r>
    <r>
      <rPr>
        <b/>
        <u/>
        <sz val="12"/>
        <color theme="1"/>
        <rFont val="Tahoma"/>
        <family val="2"/>
      </rPr>
      <t>zero</t>
    </r>
    <r>
      <rPr>
        <b/>
        <sz val="12"/>
        <color theme="1"/>
        <rFont val="Tahoma"/>
        <family val="2"/>
      </rPr>
      <t xml:space="preserve"> for Vat Photopolymerization, Material Extrusion, Directed Energy Deposition</t>
    </r>
    <r>
      <rPr>
        <sz val="12"/>
        <color theme="1"/>
        <rFont val="Tahoma"/>
        <family val="2"/>
      </rPr>
      <t>, and Material Jetting</t>
    </r>
  </si>
  <si>
    <r>
      <t xml:space="preserve">Product Transportation: </t>
    </r>
    <r>
      <rPr>
        <sz val="14"/>
        <color theme="1"/>
        <rFont val="Tahoma"/>
        <family val="2"/>
      </rPr>
      <t>Freight and distribution of goods from manufacturing to point of sale or use</t>
    </r>
  </si>
  <si>
    <r>
      <t xml:space="preserve">Product Use: </t>
    </r>
    <r>
      <rPr>
        <sz val="14"/>
        <color theme="1"/>
        <rFont val="Tahoma"/>
        <family val="2"/>
      </rPr>
      <t xml:space="preserve">Impact of using or operating the product or system the part is in. Use this if you are interested in the use phase impact or have data indicating that the alternative scenario would </t>
    </r>
    <r>
      <rPr>
        <u/>
        <sz val="14"/>
        <color theme="1"/>
        <rFont val="Tahoma"/>
        <family val="2"/>
      </rPr>
      <t>change</t>
    </r>
    <r>
      <rPr>
        <sz val="14"/>
        <color theme="1"/>
        <rFont val="Tahoma"/>
        <family val="2"/>
      </rPr>
      <t xml:space="preserve"> the impact on the use phase</t>
    </r>
  </si>
  <si>
    <r>
      <t xml:space="preserve">Mobile Use Phase: </t>
    </r>
    <r>
      <rPr>
        <sz val="14"/>
        <color theme="1"/>
        <rFont val="Tahoma"/>
        <family val="2"/>
      </rPr>
      <t>Use if the product is part of or carried on an transportation system. If the alternative product is lighter weight or is used differently, there would be a change in impact</t>
    </r>
  </si>
  <si>
    <r>
      <t xml:space="preserve">Stationary phase energy: </t>
    </r>
    <r>
      <rPr>
        <sz val="14"/>
        <color theme="1"/>
        <rFont val="Tahoma"/>
        <family val="2"/>
      </rPr>
      <t>Use if the product is part of an energy conversion process (e.g., electrical to mechanical, fossil fuel to thermal)</t>
    </r>
    <r>
      <rPr>
        <b/>
        <sz val="14"/>
        <color theme="1"/>
        <rFont val="Tahoma"/>
        <family val="2"/>
      </rPr>
      <t xml:space="preserve">. </t>
    </r>
    <r>
      <rPr>
        <sz val="14"/>
        <color theme="1"/>
        <rFont val="Tahoma"/>
        <family val="2"/>
      </rPr>
      <t>If the alternative product improves efficiency or changes operation there would be a change in impact</t>
    </r>
  </si>
  <si>
    <r>
      <t xml:space="preserve">Stationary phase energy: </t>
    </r>
    <r>
      <rPr>
        <sz val="12"/>
        <color theme="1"/>
        <rFont val="Tahoma"/>
        <family val="2"/>
      </rPr>
      <t>Use if the product is part of an energy conversion process (e.g., electrical to mechanical, fossil fuel to thermal)</t>
    </r>
    <r>
      <rPr>
        <b/>
        <sz val="12"/>
        <color theme="1"/>
        <rFont val="Tahoma"/>
        <family val="2"/>
      </rPr>
      <t xml:space="preserve">. </t>
    </r>
    <r>
      <rPr>
        <sz val="12"/>
        <color theme="1"/>
        <rFont val="Tahoma"/>
        <family val="2"/>
      </rPr>
      <t>If the alternative product improves efficiency or changes operation there would be a change in impact</t>
    </r>
  </si>
  <si>
    <t>Result</t>
  </si>
  <si>
    <t>.</t>
  </si>
  <si>
    <t>Material EE</t>
  </si>
  <si>
    <t>Form EE</t>
  </si>
  <si>
    <t>Conventional Manuf. EE</t>
  </si>
  <si>
    <t>Freight or Transportation</t>
  </si>
  <si>
    <t>Recycling - End of Life</t>
  </si>
  <si>
    <t>Applications</t>
  </si>
  <si>
    <t>References</t>
  </si>
  <si>
    <t>Database with material (primary/secondary) embodied energy &amp; carbon, market recycled material fraction, HHV, % carbon, and citations</t>
  </si>
  <si>
    <t>Database with process energy to transform materials from the form assumed in the Material EE database to the user's starting form</t>
  </si>
  <si>
    <t>Databases with specific energy/carbon for several tranportation modes</t>
  </si>
  <si>
    <t>Databases with conventional manufacturing process specific energy/carbon for primary forming, post-processing, and tooling</t>
  </si>
  <si>
    <t>Databases with specific energy/carbon for several tranportation modes for use in use phase</t>
  </si>
  <si>
    <t>Databases with specific energy/carbon for several end of life options</t>
  </si>
  <si>
    <t>Overview of suggested case studies</t>
  </si>
  <si>
    <t>References for database values</t>
  </si>
  <si>
    <r>
      <t xml:space="preserve">User Input Value
</t>
    </r>
    <r>
      <rPr>
        <b/>
        <sz val="18"/>
        <color theme="0"/>
        <rFont val="Tahoma"/>
        <family val="2"/>
      </rPr>
      <t>Energy          Carbon Emissions</t>
    </r>
  </si>
  <si>
    <t>Rough material removal (7.5 hr), detailed material removal (23.6h)</t>
  </si>
  <si>
    <t>Detailed machining (6.2h), HIPing</t>
  </si>
  <si>
    <t>Does NOT include powder losses from filling build-box that is not used for part. Machined material not recycled</t>
  </si>
  <si>
    <t>Mass of the printed part. More powder is used to fill the build box, but assumed most of that can be recycled on site</t>
  </si>
  <si>
    <t>80% recycled, 20% landfilled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</si>
</sst>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0.0"/>
    <numFmt numFmtId="165" formatCode="0.0"/>
    <numFmt numFmtId="166" formatCode="_(* #,##0_);_(* \(#,##0\);_(* &quot;-&quot;??_);_(@_)"/>
    <numFmt numFmtId="167" formatCode="0.000"/>
    <numFmt numFmtId="168" formatCode="0.0000"/>
    <numFmt numFmtId="169" formatCode="0.00000"/>
    <numFmt numFmtId="170" formatCode="0.000000"/>
    <numFmt numFmtId="171" formatCode="0.00000000"/>
    <numFmt numFmtId="172" formatCode="0.000000000"/>
    <numFmt numFmtId="173" formatCode="#,##0.000"/>
    <numFmt numFmtId="174" formatCode="0.0E+00"/>
    <numFmt numFmtId="175" formatCode="0.0000000"/>
    <numFmt numFmtId="176" formatCode="0.0000000000"/>
    <numFmt numFmtId="177" formatCode="#,##0.00000000"/>
    <numFmt numFmtId="178" formatCode="0.0%"/>
    <numFmt numFmtId="179" formatCode="#,##0.0000"/>
  </numFmts>
  <fonts count="102" x14ac:knownFonts="1">
    <font>
      <sz val="11"/>
      <color theme="1"/>
      <name val="Calibri"/>
      <family val="2"/>
      <scheme val="minor"/>
    </font>
    <font>
      <b/>
      <sz val="11"/>
      <color theme="1"/>
      <name val="Calibri"/>
      <family val="2"/>
      <scheme val="minor"/>
    </font>
    <font>
      <sz val="11"/>
      <color rgb="FFFF0000"/>
      <name val="Calibri"/>
      <family val="2"/>
      <scheme val="minor"/>
    </font>
    <font>
      <sz val="11"/>
      <color theme="1"/>
      <name val="Calibri"/>
      <family val="2"/>
      <scheme val="minor"/>
    </font>
    <font>
      <b/>
      <sz val="10"/>
      <name val="Arial"/>
      <family val="2"/>
    </font>
    <font>
      <sz val="10"/>
      <name val="Arial"/>
      <family val="2"/>
    </font>
    <font>
      <u/>
      <sz val="10"/>
      <name val="Arial"/>
      <family val="2"/>
    </font>
    <font>
      <b/>
      <sz val="11"/>
      <color theme="0"/>
      <name val="Calibri"/>
      <family val="2"/>
      <scheme val="minor"/>
    </font>
    <font>
      <b/>
      <sz val="9"/>
      <color indexed="81"/>
      <name val="Tahoma"/>
      <family val="2"/>
    </font>
    <font>
      <b/>
      <sz val="12"/>
      <color theme="1"/>
      <name val="Calibri"/>
      <family val="2"/>
      <scheme val="minor"/>
    </font>
    <font>
      <sz val="12"/>
      <color theme="1"/>
      <name val="Calibri"/>
      <family val="2"/>
      <scheme val="minor"/>
    </font>
    <font>
      <b/>
      <sz val="14"/>
      <color theme="1"/>
      <name val="Calibri"/>
      <family val="2"/>
      <scheme val="minor"/>
    </font>
    <font>
      <b/>
      <sz val="16"/>
      <color theme="1"/>
      <name val="Calibri"/>
      <family val="2"/>
      <scheme val="minor"/>
    </font>
    <font>
      <sz val="11"/>
      <color rgb="FF9C6500"/>
      <name val="Calibri"/>
      <family val="2"/>
      <scheme val="minor"/>
    </font>
    <font>
      <sz val="11"/>
      <color rgb="FF000000"/>
      <name val="Arial"/>
      <family val="2"/>
    </font>
    <font>
      <b/>
      <sz val="11"/>
      <name val="Calibri"/>
      <family val="2"/>
      <scheme val="minor"/>
    </font>
    <font>
      <b/>
      <sz val="12"/>
      <color theme="0"/>
      <name val="Calibri"/>
      <family val="2"/>
      <scheme val="minor"/>
    </font>
    <font>
      <b/>
      <sz val="16"/>
      <color rgb="FF0070C0"/>
      <name val="Calibri"/>
      <family val="2"/>
      <scheme val="minor"/>
    </font>
    <font>
      <sz val="11"/>
      <color theme="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7"/>
      <color theme="1"/>
      <name val="Times New Roman"/>
      <family val="1"/>
    </font>
    <font>
      <sz val="8"/>
      <name val="Calibri"/>
      <family val="2"/>
      <scheme val="minor"/>
    </font>
    <font>
      <b/>
      <sz val="15"/>
      <color rgb="FF007934"/>
      <name val="Calibri"/>
      <family val="2"/>
      <scheme val="minor"/>
    </font>
    <font>
      <sz val="11"/>
      <color rgb="FF000000"/>
      <name val="Tahoma"/>
      <family val="2"/>
    </font>
    <font>
      <sz val="11"/>
      <color theme="1"/>
      <name val="Tahoma"/>
      <family val="2"/>
    </font>
    <font>
      <sz val="36"/>
      <color theme="0"/>
      <name val="Tahoma"/>
      <family val="2"/>
    </font>
    <font>
      <u/>
      <sz val="14"/>
      <color theme="1"/>
      <name val="Tahoma"/>
      <family val="2"/>
    </font>
    <font>
      <sz val="11"/>
      <name val="Tahoma"/>
      <family val="2"/>
    </font>
    <font>
      <b/>
      <sz val="16"/>
      <name val="Tahoma"/>
      <family val="2"/>
    </font>
    <font>
      <b/>
      <sz val="11"/>
      <name val="Tahoma"/>
      <family val="2"/>
    </font>
    <font>
      <i/>
      <sz val="12"/>
      <color theme="1"/>
      <name val="Tahoma"/>
      <family val="2"/>
    </font>
    <font>
      <b/>
      <sz val="14"/>
      <color theme="1"/>
      <name val="Tahoma"/>
      <family val="2"/>
    </font>
    <font>
      <u/>
      <sz val="11"/>
      <color theme="1"/>
      <name val="Tahoma"/>
      <family val="2"/>
    </font>
    <font>
      <b/>
      <sz val="16"/>
      <color rgb="FF0070C0"/>
      <name val="Tahoma"/>
      <family val="2"/>
    </font>
    <font>
      <sz val="11"/>
      <color theme="0"/>
      <name val="Tahoma"/>
      <family val="2"/>
    </font>
    <font>
      <b/>
      <sz val="16"/>
      <color theme="1"/>
      <name val="Tahoma"/>
      <family val="2"/>
    </font>
    <font>
      <b/>
      <sz val="11"/>
      <color theme="1"/>
      <name val="Tahoma"/>
      <family val="2"/>
    </font>
    <font>
      <b/>
      <sz val="16"/>
      <color theme="0"/>
      <name val="Tahoma"/>
      <family val="2"/>
    </font>
    <font>
      <sz val="16"/>
      <color theme="1"/>
      <name val="Tahoma"/>
      <family val="2"/>
    </font>
    <font>
      <sz val="10"/>
      <color theme="1"/>
      <name val="Tahoma"/>
      <family val="2"/>
    </font>
    <font>
      <b/>
      <sz val="12"/>
      <color theme="0"/>
      <name val="Tahoma"/>
      <family val="2"/>
    </font>
    <font>
      <b/>
      <sz val="12"/>
      <color theme="1"/>
      <name val="Tahoma"/>
      <family val="2"/>
    </font>
    <font>
      <sz val="12"/>
      <color theme="1"/>
      <name val="Tahoma"/>
      <family val="2"/>
    </font>
    <font>
      <sz val="14"/>
      <color rgb="FFFF0000"/>
      <name val="Tahoma"/>
      <family val="2"/>
    </font>
    <font>
      <b/>
      <sz val="14"/>
      <color rgb="FF0070C0"/>
      <name val="Tahoma"/>
      <family val="2"/>
    </font>
    <font>
      <sz val="12"/>
      <name val="Tahoma"/>
      <family val="2"/>
    </font>
    <font>
      <b/>
      <sz val="14"/>
      <color rgb="FF00B050"/>
      <name val="Tahoma"/>
      <family val="2"/>
    </font>
    <font>
      <sz val="28"/>
      <color theme="0"/>
      <name val="Tahoma"/>
      <family val="2"/>
    </font>
    <font>
      <sz val="32"/>
      <color theme="0"/>
      <name val="Tahoma"/>
      <family val="2"/>
    </font>
    <font>
      <b/>
      <sz val="11"/>
      <color theme="4"/>
      <name val="Calibri"/>
      <family val="2"/>
      <scheme val="minor"/>
    </font>
    <font>
      <b/>
      <sz val="14"/>
      <color theme="0"/>
      <name val="Calibri"/>
      <family val="2"/>
      <scheme val="minor"/>
    </font>
    <font>
      <sz val="10"/>
      <color theme="1"/>
      <name val="Calibri"/>
      <family val="2"/>
      <scheme val="minor"/>
    </font>
    <font>
      <sz val="7"/>
      <color theme="1"/>
      <name val="Calibri"/>
      <family val="2"/>
      <scheme val="minor"/>
    </font>
    <font>
      <b/>
      <sz val="28"/>
      <color rgb="FFFF0000"/>
      <name val="Calibri"/>
      <family val="2"/>
      <scheme val="minor"/>
    </font>
    <font>
      <b/>
      <sz val="15"/>
      <color theme="3"/>
      <name val="Tahoma"/>
      <family val="2"/>
    </font>
    <font>
      <b/>
      <sz val="14"/>
      <name val="Tahoma"/>
      <family val="2"/>
    </font>
    <font>
      <b/>
      <sz val="12"/>
      <name val="Tahoma"/>
      <family val="2"/>
    </font>
    <font>
      <sz val="11"/>
      <color rgb="FFFF0000"/>
      <name val="Tahoma"/>
      <family val="2"/>
    </font>
    <font>
      <b/>
      <sz val="36"/>
      <color theme="0"/>
      <name val="Tahoma"/>
      <family val="2"/>
    </font>
    <font>
      <b/>
      <sz val="20"/>
      <color theme="0"/>
      <name val="Tahoma"/>
      <family val="2"/>
    </font>
    <font>
      <sz val="14"/>
      <color theme="1"/>
      <name val="Tahoma"/>
      <family val="2"/>
    </font>
    <font>
      <b/>
      <sz val="22"/>
      <color theme="1"/>
      <name val="Tahoma"/>
      <family val="2"/>
    </font>
    <font>
      <b/>
      <sz val="18"/>
      <color theme="1"/>
      <name val="Tahoma"/>
      <family val="2"/>
    </font>
    <font>
      <b/>
      <sz val="14"/>
      <color theme="2"/>
      <name val="Tahoma"/>
      <family val="2"/>
    </font>
    <font>
      <sz val="14"/>
      <color theme="2"/>
      <name val="Tahoma"/>
      <family val="2"/>
    </font>
    <font>
      <u/>
      <sz val="14"/>
      <color theme="2"/>
      <name val="Tahoma"/>
      <family val="2"/>
    </font>
    <font>
      <b/>
      <sz val="22"/>
      <color theme="2"/>
      <name val="Tahoma"/>
      <family val="2"/>
    </font>
    <font>
      <sz val="11"/>
      <color theme="2"/>
      <name val="Tahoma"/>
      <family val="2"/>
    </font>
    <font>
      <sz val="24"/>
      <color theme="2"/>
      <name val="Tahoma"/>
      <family val="2"/>
    </font>
    <font>
      <sz val="12"/>
      <color theme="2"/>
      <name val="Tahoma"/>
      <family val="2"/>
    </font>
    <font>
      <b/>
      <u/>
      <sz val="12"/>
      <color theme="1"/>
      <name val="Tahoma"/>
      <family val="2"/>
    </font>
    <font>
      <sz val="24"/>
      <color theme="1"/>
      <name val="Tahoma"/>
      <family val="2"/>
    </font>
    <font>
      <sz val="20"/>
      <color theme="1"/>
      <name val="Tahoma"/>
      <family val="2"/>
    </font>
    <font>
      <b/>
      <sz val="16"/>
      <color theme="2"/>
      <name val="Tahoma"/>
      <family val="2"/>
    </font>
    <font>
      <b/>
      <sz val="18"/>
      <color theme="0"/>
      <name val="Tahoma"/>
      <family val="2"/>
    </font>
  </fonts>
  <fills count="84">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4"/>
        <bgColor theme="4"/>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rgb="FFFFEB9C"/>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FF99"/>
        <bgColor indexed="64"/>
      </patternFill>
    </fill>
    <fill>
      <patternFill patternType="solid">
        <fgColor theme="0" tint="-0.34998626667073579"/>
        <bgColor indexed="64"/>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theme="7"/>
        <bgColor indexed="64"/>
      </patternFill>
    </fill>
    <fill>
      <patternFill patternType="solid">
        <fgColor rgb="FFC6EFFF"/>
        <bgColor indexed="64"/>
      </patternFill>
    </fill>
    <fill>
      <patternFill patternType="solid">
        <fgColor theme="8"/>
        <bgColor indexed="64"/>
      </patternFill>
    </fill>
    <fill>
      <patternFill patternType="solid">
        <fgColor theme="4" tint="-0.499984740745262"/>
        <bgColor indexed="64"/>
      </patternFill>
    </fill>
    <fill>
      <patternFill patternType="solid">
        <fgColor theme="5" tint="0.39997558519241921"/>
        <bgColor indexed="64"/>
      </patternFill>
    </fill>
    <fill>
      <patternFill patternType="solid">
        <fgColor theme="7" tint="-0.249977111117893"/>
        <bgColor indexed="64"/>
      </patternFill>
    </fill>
    <fill>
      <patternFill patternType="solid">
        <fgColor theme="3"/>
        <bgColor indexed="64"/>
      </patternFill>
    </fill>
    <fill>
      <patternFill patternType="solid">
        <fgColor theme="6" tint="0.79998168889431442"/>
        <bgColor indexed="64"/>
      </patternFill>
    </fill>
    <fill>
      <patternFill patternType="solid">
        <fgColor theme="3"/>
        <bgColor theme="4"/>
      </patternFill>
    </fill>
  </fills>
  <borders count="10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right/>
      <top/>
      <bottom style="thick">
        <color rgb="FF00793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ck">
        <color auto="1"/>
      </top>
      <bottom/>
      <diagonal/>
    </border>
    <border>
      <left style="thick">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top/>
      <bottom/>
      <diagonal/>
    </border>
    <border>
      <left style="thin">
        <color indexed="64"/>
      </left>
      <right style="medium">
        <color indexed="64"/>
      </right>
      <top/>
      <bottom/>
      <diagonal/>
    </border>
  </borders>
  <cellStyleXfs count="290">
    <xf numFmtId="0" fontId="0" fillId="0" borderId="0"/>
    <xf numFmtId="43" fontId="3" fillId="0" borderId="0" applyFont="0" applyFill="0" applyBorder="0" applyAlignment="0" applyProtection="0"/>
    <xf numFmtId="9" fontId="3" fillId="0" borderId="0" applyFont="0" applyFill="0" applyBorder="0" applyAlignment="0" applyProtection="0"/>
    <xf numFmtId="0" fontId="13" fillId="8"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 fillId="22"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 fillId="2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 fillId="30"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 fillId="34"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 fillId="38"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 fillId="42"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 fillId="23"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 fillId="27"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 fillId="31"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 fillId="35"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 fillId="39"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 fillId="43"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1" fillId="55" borderId="0" applyNumberFormat="0" applyBorder="0" applyAlignment="0" applyProtection="0"/>
    <xf numFmtId="0" fontId="18" fillId="24" borderId="0" applyNumberFormat="0" applyBorder="0" applyAlignment="0" applyProtection="0"/>
    <xf numFmtId="0" fontId="31" fillId="55" borderId="0" applyNumberFormat="0" applyBorder="0" applyAlignment="0" applyProtection="0"/>
    <xf numFmtId="0" fontId="31" fillId="52" borderId="0" applyNumberFormat="0" applyBorder="0" applyAlignment="0" applyProtection="0"/>
    <xf numFmtId="0" fontId="18" fillId="28" borderId="0" applyNumberFormat="0" applyBorder="0" applyAlignment="0" applyProtection="0"/>
    <xf numFmtId="0" fontId="31" fillId="52" borderId="0" applyNumberFormat="0" applyBorder="0" applyAlignment="0" applyProtection="0"/>
    <xf numFmtId="0" fontId="31" fillId="53" borderId="0" applyNumberFormat="0" applyBorder="0" applyAlignment="0" applyProtection="0"/>
    <xf numFmtId="0" fontId="18" fillId="32" borderId="0" applyNumberFormat="0" applyBorder="0" applyAlignment="0" applyProtection="0"/>
    <xf numFmtId="0" fontId="31" fillId="53" borderId="0" applyNumberFormat="0" applyBorder="0" applyAlignment="0" applyProtection="0"/>
    <xf numFmtId="0" fontId="31" fillId="56" borderId="0" applyNumberFormat="0" applyBorder="0" applyAlignment="0" applyProtection="0"/>
    <xf numFmtId="0" fontId="18" fillId="36" borderId="0" applyNumberFormat="0" applyBorder="0" applyAlignment="0" applyProtection="0"/>
    <xf numFmtId="0" fontId="31" fillId="56" borderId="0" applyNumberFormat="0" applyBorder="0" applyAlignment="0" applyProtection="0"/>
    <xf numFmtId="0" fontId="31" fillId="57" borderId="0" applyNumberFormat="0" applyBorder="0" applyAlignment="0" applyProtection="0"/>
    <xf numFmtId="0" fontId="18" fillId="40" borderId="0" applyNumberFormat="0" applyBorder="0" applyAlignment="0" applyProtection="0"/>
    <xf numFmtId="0" fontId="31" fillId="57" borderId="0" applyNumberFormat="0" applyBorder="0" applyAlignment="0" applyProtection="0"/>
    <xf numFmtId="0" fontId="31" fillId="58" borderId="0" applyNumberFormat="0" applyBorder="0" applyAlignment="0" applyProtection="0"/>
    <xf numFmtId="0" fontId="18" fillId="44" borderId="0" applyNumberFormat="0" applyBorder="0" applyAlignment="0" applyProtection="0"/>
    <xf numFmtId="0" fontId="31" fillId="58" borderId="0" applyNumberFormat="0" applyBorder="0" applyAlignment="0" applyProtection="0"/>
    <xf numFmtId="0" fontId="31" fillId="59" borderId="0" applyNumberFormat="0" applyBorder="0" applyAlignment="0" applyProtection="0"/>
    <xf numFmtId="0" fontId="18" fillId="21" borderId="0" applyNumberFormat="0" applyBorder="0" applyAlignment="0" applyProtection="0"/>
    <xf numFmtId="0" fontId="31" fillId="59" borderId="0" applyNumberFormat="0" applyBorder="0" applyAlignment="0" applyProtection="0"/>
    <xf numFmtId="0" fontId="31" fillId="60" borderId="0" applyNumberFormat="0" applyBorder="0" applyAlignment="0" applyProtection="0"/>
    <xf numFmtId="0" fontId="18" fillId="25" borderId="0" applyNumberFormat="0" applyBorder="0" applyAlignment="0" applyProtection="0"/>
    <xf numFmtId="0" fontId="31" fillId="60" borderId="0" applyNumberFormat="0" applyBorder="0" applyAlignment="0" applyProtection="0"/>
    <xf numFmtId="0" fontId="31" fillId="61" borderId="0" applyNumberFormat="0" applyBorder="0" applyAlignment="0" applyProtection="0"/>
    <xf numFmtId="0" fontId="18" fillId="29" borderId="0" applyNumberFormat="0" applyBorder="0" applyAlignment="0" applyProtection="0"/>
    <xf numFmtId="0" fontId="31" fillId="61" borderId="0" applyNumberFormat="0" applyBorder="0" applyAlignment="0" applyProtection="0"/>
    <xf numFmtId="0" fontId="31" fillId="56" borderId="0" applyNumberFormat="0" applyBorder="0" applyAlignment="0" applyProtection="0"/>
    <xf numFmtId="0" fontId="18" fillId="33" borderId="0" applyNumberFormat="0" applyBorder="0" applyAlignment="0" applyProtection="0"/>
    <xf numFmtId="0" fontId="31" fillId="56" borderId="0" applyNumberFormat="0" applyBorder="0" applyAlignment="0" applyProtection="0"/>
    <xf numFmtId="0" fontId="31" fillId="57" borderId="0" applyNumberFormat="0" applyBorder="0" applyAlignment="0" applyProtection="0"/>
    <xf numFmtId="0" fontId="18" fillId="37" borderId="0" applyNumberFormat="0" applyBorder="0" applyAlignment="0" applyProtection="0"/>
    <xf numFmtId="0" fontId="31" fillId="57" borderId="0" applyNumberFormat="0" applyBorder="0" applyAlignment="0" applyProtection="0"/>
    <xf numFmtId="0" fontId="31" fillId="62" borderId="0" applyNumberFormat="0" applyBorder="0" applyAlignment="0" applyProtection="0"/>
    <xf numFmtId="0" fontId="18" fillId="41" borderId="0" applyNumberFormat="0" applyBorder="0" applyAlignment="0" applyProtection="0"/>
    <xf numFmtId="0" fontId="31" fillId="62" borderId="0" applyNumberFormat="0" applyBorder="0" applyAlignment="0" applyProtection="0"/>
    <xf numFmtId="0" fontId="32" fillId="46" borderId="0" applyNumberFormat="0" applyBorder="0" applyAlignment="0" applyProtection="0"/>
    <xf numFmtId="0" fontId="24" fillId="16" borderId="0" applyNumberFormat="0" applyBorder="0" applyAlignment="0" applyProtection="0"/>
    <xf numFmtId="0" fontId="32" fillId="46" borderId="0" applyNumberFormat="0" applyBorder="0" applyAlignment="0" applyProtection="0"/>
    <xf numFmtId="0" fontId="33" fillId="63" borderId="62" applyNumberFormat="0" applyAlignment="0" applyProtection="0"/>
    <xf numFmtId="0" fontId="27" fillId="18" borderId="54" applyNumberFormat="0" applyAlignment="0" applyProtection="0"/>
    <xf numFmtId="0" fontId="33" fillId="63" borderId="62" applyNumberFormat="0" applyAlignment="0" applyProtection="0"/>
    <xf numFmtId="0" fontId="34" fillId="64" borderId="63" applyNumberFormat="0" applyAlignment="0" applyProtection="0"/>
    <xf numFmtId="0" fontId="7" fillId="19" borderId="57" applyNumberFormat="0" applyAlignment="0" applyProtection="0"/>
    <xf numFmtId="0" fontId="34" fillId="64" borderId="63" applyNumberFormat="0" applyAlignment="0" applyProtection="0"/>
    <xf numFmtId="43" fontId="5" fillId="0" borderId="0" applyFont="0" applyFill="0" applyBorder="0" applyAlignment="0" applyProtection="0"/>
    <xf numFmtId="0" fontId="35" fillId="0" borderId="0" applyNumberFormat="0" applyFill="0" applyBorder="0" applyAlignment="0" applyProtection="0"/>
    <xf numFmtId="0" fontId="29" fillId="0" borderId="0" applyNumberFormat="0" applyFill="0" applyBorder="0" applyAlignment="0" applyProtection="0"/>
    <xf numFmtId="0" fontId="35" fillId="0" borderId="0" applyNumberFormat="0" applyFill="0" applyBorder="0" applyAlignment="0" applyProtection="0"/>
    <xf numFmtId="0" fontId="36" fillId="47" borderId="0" applyNumberFormat="0" applyBorder="0" applyAlignment="0" applyProtection="0"/>
    <xf numFmtId="0" fontId="23" fillId="15" borderId="0" applyNumberFormat="0" applyBorder="0" applyAlignment="0" applyProtection="0"/>
    <xf numFmtId="0" fontId="36" fillId="47" borderId="0" applyNumberFormat="0" applyBorder="0" applyAlignment="0" applyProtection="0"/>
    <xf numFmtId="0" fontId="37" fillId="0" borderId="64" applyNumberFormat="0" applyFill="0" applyAlignment="0" applyProtection="0"/>
    <xf numFmtId="0" fontId="20" fillId="0" borderId="51" applyNumberFormat="0" applyFill="0" applyAlignment="0" applyProtection="0"/>
    <xf numFmtId="0" fontId="37" fillId="0" borderId="64" applyNumberFormat="0" applyFill="0" applyAlignment="0" applyProtection="0"/>
    <xf numFmtId="0" fontId="38" fillId="0" borderId="65" applyNumberFormat="0" applyFill="0" applyAlignment="0" applyProtection="0"/>
    <xf numFmtId="0" fontId="21" fillId="0" borderId="52" applyNumberFormat="0" applyFill="0" applyAlignment="0" applyProtection="0"/>
    <xf numFmtId="0" fontId="38" fillId="0" borderId="65" applyNumberFormat="0" applyFill="0" applyAlignment="0" applyProtection="0"/>
    <xf numFmtId="0" fontId="39" fillId="0" borderId="66" applyNumberFormat="0" applyFill="0" applyAlignment="0" applyProtection="0"/>
    <xf numFmtId="0" fontId="22" fillId="0" borderId="53" applyNumberFormat="0" applyFill="0" applyAlignment="0" applyProtection="0"/>
    <xf numFmtId="0" fontId="39" fillId="0" borderId="66" applyNumberFormat="0" applyFill="0" applyAlignment="0" applyProtection="0"/>
    <xf numFmtId="0" fontId="39" fillId="0" borderId="0" applyNumberFormat="0" applyFill="0" applyBorder="0" applyAlignment="0" applyProtection="0"/>
    <xf numFmtId="0" fontId="22" fillId="0" borderId="0" applyNumberFormat="0" applyFill="0" applyBorder="0" applyAlignment="0" applyProtection="0"/>
    <xf numFmtId="0" fontId="39" fillId="0" borderId="0" applyNumberFormat="0" applyFill="0" applyBorder="0" applyAlignment="0" applyProtection="0"/>
    <xf numFmtId="0" fontId="40" fillId="50" borderId="62" applyNumberFormat="0" applyAlignment="0" applyProtection="0"/>
    <xf numFmtId="0" fontId="25" fillId="17" borderId="54" applyNumberFormat="0" applyAlignment="0" applyProtection="0"/>
    <xf numFmtId="0" fontId="40" fillId="50" borderId="62" applyNumberFormat="0" applyAlignment="0" applyProtection="0"/>
    <xf numFmtId="0" fontId="41" fillId="0" borderId="67" applyNumberFormat="0" applyFill="0" applyAlignment="0" applyProtection="0"/>
    <xf numFmtId="0" fontId="28" fillId="0" borderId="56" applyNumberFormat="0" applyFill="0" applyAlignment="0" applyProtection="0"/>
    <xf numFmtId="0" fontId="41" fillId="0" borderId="67" applyNumberFormat="0" applyFill="0" applyAlignment="0" applyProtection="0"/>
    <xf numFmtId="0" fontId="42" fillId="65" borderId="0" applyNumberFormat="0" applyBorder="0" applyAlignment="0" applyProtection="0"/>
    <xf numFmtId="0" fontId="13" fillId="8" borderId="0" applyNumberFormat="0" applyBorder="0" applyAlignment="0" applyProtection="0"/>
    <xf numFmtId="0" fontId="42" fillId="65" borderId="0" applyNumberFormat="0" applyBorder="0" applyAlignment="0" applyProtection="0"/>
    <xf numFmtId="0" fontId="5" fillId="0" borderId="0"/>
    <xf numFmtId="0" fontId="5" fillId="0" borderId="0"/>
    <xf numFmtId="0" fontId="3" fillId="0" borderId="0"/>
    <xf numFmtId="0" fontId="5" fillId="0" borderId="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 fillId="20" borderId="5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43" fillId="63" borderId="69" applyNumberFormat="0" applyAlignment="0" applyProtection="0"/>
    <xf numFmtId="0" fontId="26" fillId="18" borderId="55" applyNumberFormat="0" applyAlignment="0" applyProtection="0"/>
    <xf numFmtId="0" fontId="43" fillId="63" borderId="69" applyNumberFormat="0" applyAlignment="0" applyProtection="0"/>
    <xf numFmtId="9" fontId="5" fillId="0" borderId="0" applyFont="0" applyFill="0" applyBorder="0" applyAlignment="0" applyProtection="0"/>
    <xf numFmtId="0" fontId="44" fillId="0" borderId="0" applyNumberFormat="0" applyFill="0" applyBorder="0" applyAlignment="0" applyProtection="0"/>
    <xf numFmtId="0" fontId="19" fillId="0" borderId="0" applyNumberFormat="0" applyFill="0" applyBorder="0" applyAlignment="0" applyProtection="0"/>
    <xf numFmtId="0" fontId="44" fillId="0" borderId="0" applyNumberFormat="0" applyFill="0" applyBorder="0" applyAlignment="0" applyProtection="0"/>
    <xf numFmtId="0" fontId="45" fillId="0" borderId="70" applyNumberFormat="0" applyFill="0" applyAlignment="0" applyProtection="0"/>
    <xf numFmtId="0" fontId="1" fillId="0" borderId="59" applyNumberFormat="0" applyFill="0" applyAlignment="0" applyProtection="0"/>
    <xf numFmtId="0" fontId="45" fillId="0" borderId="70" applyNumberFormat="0" applyFill="0" applyAlignment="0" applyProtection="0"/>
    <xf numFmtId="0" fontId="46" fillId="0" borderId="0" applyNumberFormat="0" applyFill="0" applyBorder="0" applyAlignment="0" applyProtection="0"/>
    <xf numFmtId="0" fontId="2" fillId="0" borderId="0" applyNumberFormat="0" applyFill="0" applyBorder="0" applyAlignment="0" applyProtection="0"/>
    <xf numFmtId="0" fontId="46" fillId="0" borderId="0" applyNumberFormat="0" applyFill="0" applyBorder="0" applyAlignment="0" applyProtection="0"/>
    <xf numFmtId="0" fontId="49" fillId="0" borderId="87" applyNumberFormat="0" applyFill="0" applyAlignment="0" applyProtection="0"/>
  </cellStyleXfs>
  <cellXfs count="554">
    <xf numFmtId="0" fontId="0" fillId="0" borderId="0" xfId="0"/>
    <xf numFmtId="3" fontId="0" fillId="0" borderId="0" xfId="0" applyNumberFormat="1"/>
    <xf numFmtId="0" fontId="1" fillId="0" borderId="0" xfId="0" applyFont="1"/>
    <xf numFmtId="0" fontId="0" fillId="0" borderId="1" xfId="0" applyBorder="1"/>
    <xf numFmtId="0" fontId="4" fillId="0" borderId="5" xfId="0" applyFont="1" applyBorder="1" applyAlignment="1">
      <alignment horizontal="left" wrapText="1"/>
    </xf>
    <xf numFmtId="0" fontId="4" fillId="0" borderId="6" xfId="0" applyFont="1" applyBorder="1" applyAlignment="1">
      <alignment horizontal="left" wrapText="1"/>
    </xf>
    <xf numFmtId="0" fontId="4" fillId="0" borderId="4" xfId="0" applyFont="1"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7" xfId="0" applyBorder="1" applyAlignment="1">
      <alignment horizontal="left"/>
    </xf>
    <xf numFmtId="1" fontId="0" fillId="0" borderId="0" xfId="0" applyNumberFormat="1"/>
    <xf numFmtId="9" fontId="0" fillId="0" borderId="0" xfId="0" applyNumberFormat="1"/>
    <xf numFmtId="0" fontId="0" fillId="0" borderId="30" xfId="0" applyBorder="1"/>
    <xf numFmtId="0" fontId="0" fillId="0" borderId="6" xfId="0" applyBorder="1"/>
    <xf numFmtId="0" fontId="0" fillId="0" borderId="24" xfId="0" applyBorder="1"/>
    <xf numFmtId="0" fontId="0" fillId="0" borderId="8" xfId="0" applyBorder="1"/>
    <xf numFmtId="10" fontId="0" fillId="0" borderId="0" xfId="0" applyNumberFormat="1" applyAlignment="1">
      <alignment horizontal="center"/>
    </xf>
    <xf numFmtId="10" fontId="0" fillId="0" borderId="0" xfId="0" applyNumberFormat="1"/>
    <xf numFmtId="0" fontId="0" fillId="0" borderId="0" xfId="0" applyAlignment="1">
      <alignment horizontal="center"/>
    </xf>
    <xf numFmtId="9" fontId="0" fillId="0" borderId="0" xfId="0" applyNumberFormat="1" applyAlignment="1">
      <alignment horizontal="center"/>
    </xf>
    <xf numFmtId="0" fontId="14" fillId="0" borderId="0" xfId="0" applyFont="1"/>
    <xf numFmtId="0" fontId="14" fillId="0" borderId="0" xfId="0" applyFont="1" applyAlignment="1">
      <alignment horizontal="left" vertical="center" readingOrder="1"/>
    </xf>
    <xf numFmtId="0" fontId="9" fillId="0" borderId="0" xfId="0" applyFont="1"/>
    <xf numFmtId="0" fontId="0" fillId="0" borderId="0" xfId="0" applyAlignment="1">
      <alignment vertical="center"/>
    </xf>
    <xf numFmtId="0" fontId="0" fillId="0" borderId="0" xfId="0" applyAlignment="1">
      <alignment horizontal="left" vertical="top"/>
    </xf>
    <xf numFmtId="0" fontId="0" fillId="5" borderId="0" xfId="0" applyFill="1"/>
    <xf numFmtId="11" fontId="0" fillId="68" borderId="1" xfId="0" applyNumberFormat="1" applyFill="1" applyBorder="1" applyAlignment="1">
      <alignment horizontal="right"/>
    </xf>
    <xf numFmtId="0" fontId="10" fillId="5" borderId="1" xfId="0" applyFont="1" applyFill="1" applyBorder="1" applyAlignment="1">
      <alignment horizontal="left" vertical="center" wrapText="1"/>
    </xf>
    <xf numFmtId="0" fontId="11" fillId="0" borderId="46" xfId="0" applyFont="1" applyBorder="1" applyAlignment="1">
      <alignment horizontal="center" vertical="center"/>
    </xf>
    <xf numFmtId="0" fontId="0" fillId="0" borderId="45" xfId="0" applyBorder="1" applyAlignment="1">
      <alignment vertical="center" wrapText="1"/>
    </xf>
    <xf numFmtId="0" fontId="0" fillId="0" borderId="49" xfId="0" applyBorder="1" applyAlignment="1">
      <alignment vertical="center" wrapText="1"/>
    </xf>
    <xf numFmtId="0" fontId="11" fillId="0" borderId="35" xfId="0" applyFont="1" applyBorder="1" applyAlignment="1">
      <alignment horizontal="center" vertical="center"/>
    </xf>
    <xf numFmtId="0" fontId="1" fillId="0" borderId="36" xfId="0" applyFont="1" applyBorder="1" applyAlignment="1">
      <alignment vertical="center"/>
    </xf>
    <xf numFmtId="0" fontId="1" fillId="0" borderId="37" xfId="0" applyFont="1" applyBorder="1" applyAlignment="1">
      <alignment vertical="center"/>
    </xf>
    <xf numFmtId="0" fontId="1" fillId="0" borderId="72" xfId="0" applyFont="1" applyBorder="1" applyAlignment="1">
      <alignment vertical="center"/>
    </xf>
    <xf numFmtId="0" fontId="0" fillId="0" borderId="73" xfId="0" applyBorder="1" applyAlignment="1">
      <alignment vertical="center" wrapText="1"/>
    </xf>
    <xf numFmtId="0" fontId="0" fillId="0" borderId="0" xfId="0" applyAlignment="1">
      <alignment horizontal="left" vertical="top" wrapText="1"/>
    </xf>
    <xf numFmtId="0" fontId="0" fillId="6" borderId="0" xfId="0" applyFill="1"/>
    <xf numFmtId="0" fontId="0" fillId="0" borderId="0" xfId="0" applyFill="1"/>
    <xf numFmtId="0" fontId="0" fillId="0" borderId="0" xfId="0" applyFill="1" applyBorder="1"/>
    <xf numFmtId="0" fontId="0" fillId="2" borderId="0" xfId="0" applyFill="1"/>
    <xf numFmtId="0" fontId="0" fillId="0" borderId="5" xfId="0" applyBorder="1"/>
    <xf numFmtId="0" fontId="0" fillId="0" borderId="0" xfId="0" applyBorder="1"/>
    <xf numFmtId="0" fontId="0" fillId="0" borderId="9" xfId="0" applyBorder="1"/>
    <xf numFmtId="0" fontId="0" fillId="0" borderId="10" xfId="0" applyBorder="1"/>
    <xf numFmtId="0" fontId="0" fillId="0" borderId="61" xfId="0" applyBorder="1"/>
    <xf numFmtId="169" fontId="0" fillId="0" borderId="1" xfId="0" applyNumberFormat="1" applyBorder="1" applyAlignment="1">
      <alignment horizontal="right"/>
    </xf>
    <xf numFmtId="169" fontId="0" fillId="68" borderId="1" xfId="0" applyNumberFormat="1" applyFill="1" applyBorder="1" applyAlignment="1">
      <alignment horizontal="right"/>
    </xf>
    <xf numFmtId="170" fontId="0" fillId="0" borderId="1" xfId="0" applyNumberFormat="1" applyBorder="1" applyAlignment="1">
      <alignment horizontal="right"/>
    </xf>
    <xf numFmtId="172" fontId="0" fillId="0" borderId="10" xfId="0" applyNumberFormat="1" applyBorder="1" applyAlignment="1">
      <alignment horizontal="left"/>
    </xf>
    <xf numFmtId="168" fontId="0" fillId="0" borderId="0" xfId="0" applyNumberFormat="1"/>
    <xf numFmtId="168" fontId="0" fillId="0" borderId="0" xfId="0" applyNumberFormat="1" applyAlignment="1">
      <alignment horizontal="right"/>
    </xf>
    <xf numFmtId="0" fontId="10" fillId="3" borderId="1" xfId="0" applyFont="1" applyFill="1" applyBorder="1" applyAlignment="1">
      <alignment horizontal="left" vertical="center" wrapText="1"/>
    </xf>
    <xf numFmtId="170" fontId="0" fillId="12" borderId="1" xfId="0" applyNumberFormat="1" applyFill="1" applyBorder="1" applyAlignment="1">
      <alignment horizontal="right"/>
    </xf>
    <xf numFmtId="0" fontId="0" fillId="0" borderId="0" xfId="0" applyAlignment="1">
      <alignment wrapText="1"/>
    </xf>
    <xf numFmtId="11" fontId="0" fillId="0" borderId="0" xfId="0" applyNumberFormat="1" applyAlignment="1">
      <alignment wrapText="1"/>
    </xf>
    <xf numFmtId="2" fontId="0" fillId="0" borderId="0" xfId="0" applyNumberFormat="1"/>
    <xf numFmtId="0" fontId="0" fillId="74" borderId="0" xfId="0" applyFill="1"/>
    <xf numFmtId="0" fontId="10" fillId="3" borderId="0" xfId="0" applyFont="1" applyFill="1" applyBorder="1" applyAlignment="1">
      <alignment horizontal="left" vertical="center" wrapText="1"/>
    </xf>
    <xf numFmtId="0" fontId="0" fillId="76" borderId="0" xfId="0" applyFill="1"/>
    <xf numFmtId="3" fontId="0" fillId="74" borderId="0" xfId="0" applyNumberFormat="1" applyFill="1"/>
    <xf numFmtId="0" fontId="0" fillId="0" borderId="8" xfId="0" applyFont="1" applyBorder="1" applyAlignment="1">
      <alignment horizontal="left"/>
    </xf>
    <xf numFmtId="0" fontId="5" fillId="0" borderId="0" xfId="0" applyFont="1" applyBorder="1" applyAlignment="1">
      <alignment horizontal="left"/>
    </xf>
    <xf numFmtId="0" fontId="5" fillId="0" borderId="0" xfId="0" applyFont="1" applyFill="1" applyBorder="1" applyAlignment="1">
      <alignment horizontal="left"/>
    </xf>
    <xf numFmtId="0" fontId="0" fillId="0" borderId="1" xfId="0" applyFont="1" applyFill="1" applyBorder="1" applyAlignment="1">
      <alignment vertical="center"/>
    </xf>
    <xf numFmtId="0" fontId="0" fillId="0" borderId="0" xfId="0" applyFont="1" applyFill="1" applyBorder="1" applyAlignment="1">
      <alignment vertical="center"/>
    </xf>
    <xf numFmtId="174" fontId="0" fillId="0" borderId="0" xfId="0" applyNumberFormat="1" applyAlignment="1">
      <alignment horizontal="left" vertical="center"/>
    </xf>
    <xf numFmtId="3" fontId="10" fillId="11" borderId="21" xfId="0" applyNumberFormat="1" applyFont="1" applyFill="1" applyBorder="1" applyAlignment="1" applyProtection="1">
      <alignment horizontal="center" vertical="center" wrapText="1"/>
      <protection locked="0"/>
    </xf>
    <xf numFmtId="176" fontId="0" fillId="12" borderId="1" xfId="0" applyNumberFormat="1" applyFill="1" applyBorder="1" applyAlignment="1">
      <alignment horizontal="right"/>
    </xf>
    <xf numFmtId="176" fontId="0" fillId="0" borderId="1" xfId="0" applyNumberFormat="1" applyBorder="1" applyAlignment="1">
      <alignment horizontal="right"/>
    </xf>
    <xf numFmtId="176" fontId="0" fillId="68" borderId="1" xfId="0" applyNumberFormat="1" applyFill="1" applyBorder="1" applyAlignment="1">
      <alignment horizontal="right"/>
    </xf>
    <xf numFmtId="0" fontId="0" fillId="0" borderId="1" xfId="0" applyFill="1" applyBorder="1"/>
    <xf numFmtId="0" fontId="0" fillId="0" borderId="1" xfId="0" applyFill="1" applyBorder="1" applyAlignment="1">
      <alignment horizontal="right"/>
    </xf>
    <xf numFmtId="4" fontId="10" fillId="11" borderId="21" xfId="0" applyNumberFormat="1" applyFont="1" applyFill="1" applyBorder="1" applyAlignment="1" applyProtection="1">
      <alignment horizontal="center" vertical="center" wrapText="1"/>
      <protection locked="0"/>
    </xf>
    <xf numFmtId="0" fontId="18" fillId="5" borderId="0" xfId="0" applyFont="1" applyFill="1" applyBorder="1"/>
    <xf numFmtId="0" fontId="18" fillId="5" borderId="0" xfId="0" applyFont="1" applyFill="1"/>
    <xf numFmtId="178" fontId="18" fillId="5" borderId="0" xfId="2" applyNumberFormat="1" applyFont="1" applyFill="1" applyBorder="1"/>
    <xf numFmtId="3" fontId="18" fillId="5" borderId="0" xfId="0" applyNumberFormat="1" applyFont="1" applyFill="1" applyBorder="1"/>
    <xf numFmtId="0" fontId="18" fillId="5" borderId="0" xfId="0" applyFont="1" applyFill="1" applyBorder="1" applyAlignment="1">
      <alignment horizontal="left" vertical="center" wrapText="1"/>
    </xf>
    <xf numFmtId="0" fontId="17" fillId="5" borderId="0" xfId="0" applyFont="1" applyFill="1" applyAlignment="1">
      <alignment vertical="center"/>
    </xf>
    <xf numFmtId="179" fontId="18" fillId="5" borderId="0" xfId="0" applyNumberFormat="1" applyFont="1" applyFill="1"/>
    <xf numFmtId="0" fontId="1" fillId="72" borderId="0" xfId="0" applyFont="1" applyFill="1"/>
    <xf numFmtId="0" fontId="1" fillId="72" borderId="0" xfId="0" applyFont="1" applyFill="1" applyAlignment="1">
      <alignment horizontal="center" wrapText="1"/>
    </xf>
    <xf numFmtId="0" fontId="0" fillId="72" borderId="0" xfId="0" applyFill="1"/>
    <xf numFmtId="0" fontId="11" fillId="72" borderId="0" xfId="0" applyFont="1" applyFill="1"/>
    <xf numFmtId="0" fontId="7" fillId="71" borderId="0" xfId="0" applyFont="1" applyFill="1"/>
    <xf numFmtId="0" fontId="16" fillId="71" borderId="0" xfId="0" applyFont="1" applyFill="1"/>
    <xf numFmtId="0" fontId="16" fillId="71" borderId="0" xfId="0" applyFont="1" applyFill="1" applyAlignment="1">
      <alignment wrapText="1"/>
    </xf>
    <xf numFmtId="0" fontId="4" fillId="73" borderId="5" xfId="0" applyFont="1" applyFill="1" applyBorder="1" applyAlignment="1">
      <alignment horizontal="left" wrapText="1"/>
    </xf>
    <xf numFmtId="0" fontId="4" fillId="73" borderId="6" xfId="0" applyFont="1" applyFill="1" applyBorder="1" applyAlignment="1">
      <alignment horizontal="left" wrapText="1"/>
    </xf>
    <xf numFmtId="0" fontId="1" fillId="73" borderId="7" xfId="0" applyFont="1" applyFill="1" applyBorder="1" applyAlignment="1">
      <alignment horizontal="left"/>
    </xf>
    <xf numFmtId="0" fontId="4" fillId="73" borderId="4" xfId="0" applyFont="1" applyFill="1" applyBorder="1" applyAlignment="1">
      <alignment horizontal="left"/>
    </xf>
    <xf numFmtId="0" fontId="4" fillId="73" borderId="0" xfId="0" applyFont="1" applyFill="1" applyBorder="1" applyAlignment="1">
      <alignment horizontal="left"/>
    </xf>
    <xf numFmtId="0" fontId="1" fillId="73" borderId="1" xfId="0" applyFont="1" applyFill="1" applyBorder="1" applyAlignment="1">
      <alignment vertical="center"/>
    </xf>
    <xf numFmtId="0" fontId="1" fillId="73" borderId="50" xfId="0" applyFont="1" applyFill="1" applyBorder="1" applyAlignment="1">
      <alignment vertical="center"/>
    </xf>
    <xf numFmtId="0" fontId="7" fillId="77" borderId="0" xfId="0" applyFont="1" applyFill="1" applyAlignment="1">
      <alignment wrapText="1"/>
    </xf>
    <xf numFmtId="0" fontId="18" fillId="5" borderId="0" xfId="0" applyFont="1" applyFill="1" applyBorder="1" applyProtection="1">
      <protection locked="0"/>
    </xf>
    <xf numFmtId="3" fontId="18" fillId="5" borderId="0" xfId="0" applyNumberFormat="1" applyFont="1" applyFill="1" applyProtection="1">
      <protection locked="0"/>
    </xf>
    <xf numFmtId="4" fontId="18" fillId="5" borderId="0" xfId="0" applyNumberFormat="1" applyFont="1" applyFill="1" applyBorder="1" applyProtection="1">
      <protection locked="0"/>
    </xf>
    <xf numFmtId="0" fontId="18" fillId="5" borderId="0" xfId="0" applyFont="1" applyFill="1" applyProtection="1">
      <protection locked="0"/>
    </xf>
    <xf numFmtId="3" fontId="18" fillId="5" borderId="0" xfId="0" applyNumberFormat="1" applyFont="1" applyFill="1" applyBorder="1" applyProtection="1">
      <protection locked="0"/>
    </xf>
    <xf numFmtId="179" fontId="18" fillId="5" borderId="0" xfId="0" applyNumberFormat="1" applyFont="1" applyFill="1" applyProtection="1">
      <protection locked="0"/>
    </xf>
    <xf numFmtId="0" fontId="18" fillId="0" borderId="0" xfId="0" applyFont="1" applyBorder="1"/>
    <xf numFmtId="0" fontId="18" fillId="0" borderId="0" xfId="0" applyFont="1"/>
    <xf numFmtId="0" fontId="0" fillId="5" borderId="0" xfId="0" applyFill="1" applyAlignment="1">
      <alignment vertical="center"/>
    </xf>
    <xf numFmtId="0" fontId="51" fillId="5" borderId="0" xfId="0" applyFont="1" applyFill="1"/>
    <xf numFmtId="0" fontId="53" fillId="5" borderId="0" xfId="0" applyFont="1" applyFill="1"/>
    <xf numFmtId="0" fontId="54" fillId="5" borderId="0" xfId="0" applyFont="1" applyFill="1"/>
    <xf numFmtId="0" fontId="51" fillId="5" borderId="0" xfId="0" applyFont="1" applyFill="1" applyAlignment="1">
      <alignment vertical="center"/>
    </xf>
    <xf numFmtId="0" fontId="51" fillId="0" borderId="0" xfId="0" applyFont="1"/>
    <xf numFmtId="0" fontId="58" fillId="3" borderId="25" xfId="0" applyFont="1" applyFill="1" applyBorder="1" applyAlignment="1">
      <alignment vertical="center" wrapText="1"/>
    </xf>
    <xf numFmtId="0" fontId="52" fillId="71" borderId="0" xfId="0" applyFont="1" applyFill="1" applyAlignment="1" applyProtection="1">
      <alignment vertical="center" wrapText="1"/>
      <protection hidden="1"/>
    </xf>
    <xf numFmtId="0" fontId="52" fillId="5" borderId="0" xfId="0" applyFont="1" applyFill="1" applyAlignment="1" applyProtection="1">
      <alignment vertical="center" wrapText="1"/>
      <protection hidden="1"/>
    </xf>
    <xf numFmtId="0" fontId="55" fillId="5" borderId="27" xfId="0" applyFont="1" applyFill="1" applyBorder="1" applyAlignment="1">
      <alignment vertical="center"/>
    </xf>
    <xf numFmtId="0" fontId="60" fillId="5" borderId="28" xfId="0" applyFont="1" applyFill="1" applyBorder="1" applyAlignment="1">
      <alignment vertical="center"/>
    </xf>
    <xf numFmtId="0" fontId="60" fillId="5" borderId="29" xfId="0" applyFont="1" applyFill="1" applyBorder="1" applyAlignment="1">
      <alignment vertical="center"/>
    </xf>
    <xf numFmtId="0" fontId="61" fillId="5" borderId="0" xfId="0" applyFont="1" applyFill="1" applyAlignment="1" applyProtection="1">
      <alignment horizontal="left" vertical="center" wrapText="1"/>
      <protection locked="0"/>
    </xf>
    <xf numFmtId="0" fontId="62" fillId="5" borderId="0" xfId="0" applyFont="1" applyFill="1" applyAlignment="1">
      <alignment horizontal="left" vertical="center"/>
    </xf>
    <xf numFmtId="0" fontId="51" fillId="5" borderId="0" xfId="0" applyFont="1" applyFill="1" applyAlignment="1">
      <alignment horizontal="left" vertical="center" wrapText="1"/>
    </xf>
    <xf numFmtId="0" fontId="51" fillId="5" borderId="60" xfId="0" applyFont="1" applyFill="1" applyBorder="1" applyAlignment="1">
      <alignment horizontal="left" vertical="center" wrapText="1"/>
    </xf>
    <xf numFmtId="0" fontId="62" fillId="5" borderId="12" xfId="0" applyFont="1" applyFill="1" applyBorder="1" applyAlignment="1">
      <alignment horizontal="center" vertical="center" wrapText="1"/>
    </xf>
    <xf numFmtId="4" fontId="65" fillId="5" borderId="1" xfId="0" applyNumberFormat="1" applyFont="1" applyFill="1" applyBorder="1" applyAlignment="1">
      <alignment horizontal="right" vertical="center" wrapText="1"/>
    </xf>
    <xf numFmtId="4" fontId="65" fillId="5" borderId="15" xfId="0" applyNumberFormat="1" applyFont="1" applyFill="1" applyBorder="1" applyAlignment="1">
      <alignment horizontal="right" vertical="center" wrapText="1"/>
    </xf>
    <xf numFmtId="0" fontId="51" fillId="5" borderId="15" xfId="0" applyFont="1" applyFill="1" applyBorder="1"/>
    <xf numFmtId="4" fontId="65" fillId="5" borderId="17" xfId="0" applyNumberFormat="1" applyFont="1" applyFill="1" applyBorder="1" applyAlignment="1">
      <alignment horizontal="right" vertical="center" wrapText="1"/>
    </xf>
    <xf numFmtId="4" fontId="65" fillId="5" borderId="18" xfId="0" applyNumberFormat="1" applyFont="1" applyFill="1" applyBorder="1" applyAlignment="1">
      <alignment horizontal="right" vertical="center" wrapText="1"/>
    </xf>
    <xf numFmtId="0" fontId="51" fillId="5" borderId="18" xfId="0" applyFont="1" applyFill="1" applyBorder="1"/>
    <xf numFmtId="3" fontId="62" fillId="2" borderId="32" xfId="0" applyNumberFormat="1" applyFont="1" applyFill="1" applyBorder="1" applyAlignment="1">
      <alignment horizontal="right" vertical="center" wrapText="1"/>
    </xf>
    <xf numFmtId="3" fontId="62" fillId="2" borderId="78" xfId="0" applyNumberFormat="1" applyFont="1" applyFill="1" applyBorder="1" applyAlignment="1">
      <alignment horizontal="right" vertical="center" wrapText="1"/>
    </xf>
    <xf numFmtId="0" fontId="65" fillId="5" borderId="0" xfId="0" applyFont="1" applyFill="1"/>
    <xf numFmtId="0" fontId="62" fillId="5" borderId="33" xfId="0" applyFont="1" applyFill="1" applyBorder="1" applyAlignment="1">
      <alignment horizontal="center" vertical="center" wrapText="1"/>
    </xf>
    <xf numFmtId="3" fontId="65" fillId="5" borderId="21" xfId="0" applyNumberFormat="1" applyFont="1" applyFill="1" applyBorder="1" applyAlignment="1">
      <alignment horizontal="right" vertical="center" wrapText="1"/>
    </xf>
    <xf numFmtId="9" fontId="65" fillId="5" borderId="21" xfId="2" applyFont="1" applyFill="1" applyBorder="1" applyAlignment="1">
      <alignment horizontal="right" vertical="center" wrapText="1"/>
    </xf>
    <xf numFmtId="3" fontId="65" fillId="5" borderId="1" xfId="0" applyNumberFormat="1" applyFont="1" applyFill="1" applyBorder="1" applyAlignment="1">
      <alignment horizontal="right" vertical="center" wrapText="1"/>
    </xf>
    <xf numFmtId="9" fontId="65" fillId="5" borderId="1" xfId="2" applyFont="1" applyFill="1" applyBorder="1" applyAlignment="1">
      <alignment horizontal="right" vertical="center" wrapText="1"/>
    </xf>
    <xf numFmtId="3" fontId="65" fillId="5" borderId="34" xfId="0" applyNumberFormat="1" applyFont="1" applyFill="1" applyBorder="1" applyAlignment="1">
      <alignment horizontal="right" vertical="center" wrapText="1"/>
    </xf>
    <xf numFmtId="9" fontId="65" fillId="5" borderId="34" xfId="2" applyFont="1" applyFill="1" applyBorder="1" applyAlignment="1">
      <alignment horizontal="right" vertical="center" wrapText="1"/>
    </xf>
    <xf numFmtId="3" fontId="62" fillId="5" borderId="33" xfId="0" applyNumberFormat="1" applyFont="1" applyFill="1" applyBorder="1" applyAlignment="1">
      <alignment horizontal="right" vertical="center" wrapText="1"/>
    </xf>
    <xf numFmtId="9" fontId="62" fillId="5" borderId="33" xfId="2" applyFont="1" applyFill="1" applyBorder="1" applyAlignment="1">
      <alignment horizontal="right" vertical="center" wrapText="1"/>
    </xf>
    <xf numFmtId="0" fontId="62" fillId="5" borderId="41" xfId="0" applyFont="1" applyFill="1" applyBorder="1" applyAlignment="1">
      <alignment horizontal="center" vertical="center" wrapText="1"/>
    </xf>
    <xf numFmtId="164" fontId="65" fillId="5" borderId="12" xfId="0" applyNumberFormat="1" applyFont="1" applyFill="1" applyBorder="1"/>
    <xf numFmtId="0" fontId="65" fillId="5" borderId="13" xfId="0" applyFont="1" applyFill="1" applyBorder="1"/>
    <xf numFmtId="164" fontId="65" fillId="5" borderId="1" xfId="0" applyNumberFormat="1" applyFont="1" applyFill="1" applyBorder="1"/>
    <xf numFmtId="0" fontId="65" fillId="5" borderId="15" xfId="0" applyFont="1" applyFill="1" applyBorder="1"/>
    <xf numFmtId="0" fontId="64" fillId="75" borderId="44" xfId="0" applyFont="1" applyFill="1" applyBorder="1" applyAlignment="1">
      <alignment vertical="center" wrapText="1"/>
    </xf>
    <xf numFmtId="0" fontId="64" fillId="75" borderId="1" xfId="0" applyFont="1" applyFill="1" applyBorder="1"/>
    <xf numFmtId="0" fontId="64" fillId="80" borderId="1" xfId="0" applyFont="1" applyFill="1" applyBorder="1"/>
    <xf numFmtId="164" fontId="65" fillId="5" borderId="17" xfId="0" applyNumberFormat="1" applyFont="1" applyFill="1" applyBorder="1"/>
    <xf numFmtId="0" fontId="65" fillId="5" borderId="18" xfId="0" applyFont="1" applyFill="1" applyBorder="1"/>
    <xf numFmtId="3" fontId="51" fillId="5" borderId="0" xfId="0" applyNumberFormat="1" applyFont="1" applyFill="1"/>
    <xf numFmtId="0" fontId="67" fillId="4" borderId="1" xfId="0" applyFont="1" applyFill="1" applyBorder="1" applyAlignment="1" applyProtection="1">
      <alignment horizontal="left" vertical="center" wrapText="1"/>
    </xf>
    <xf numFmtId="0" fontId="51" fillId="0" borderId="0" xfId="0" applyFont="1" applyProtection="1"/>
    <xf numFmtId="0" fontId="73" fillId="0" borderId="0" xfId="0" applyFont="1" applyProtection="1"/>
    <xf numFmtId="0" fontId="52" fillId="71" borderId="10" xfId="0" applyFont="1" applyFill="1" applyBorder="1" applyAlignment="1" applyProtection="1">
      <alignment vertical="center" wrapText="1"/>
      <protection hidden="1"/>
    </xf>
    <xf numFmtId="0" fontId="76" fillId="72" borderId="0" xfId="0" applyFont="1" applyFill="1"/>
    <xf numFmtId="0" fontId="1" fillId="72" borderId="0" xfId="0" applyFont="1" applyFill="1" applyAlignment="1">
      <alignment wrapText="1"/>
    </xf>
    <xf numFmtId="0" fontId="77" fillId="71" borderId="0" xfId="0" applyFont="1" applyFill="1"/>
    <xf numFmtId="0" fontId="18" fillId="71" borderId="0" xfId="0" applyFont="1" applyFill="1"/>
    <xf numFmtId="0" fontId="4" fillId="73" borderId="24" xfId="0" applyFont="1" applyFill="1" applyBorder="1" applyAlignment="1">
      <alignment horizontal="left" wrapText="1"/>
    </xf>
    <xf numFmtId="0" fontId="4" fillId="73" borderId="30" xfId="0" applyFont="1" applyFill="1" applyBorder="1" applyAlignment="1">
      <alignment horizontal="left" wrapText="1"/>
    </xf>
    <xf numFmtId="0" fontId="5" fillId="0" borderId="30" xfId="0" applyFont="1" applyBorder="1" applyAlignment="1">
      <alignment horizontal="left"/>
    </xf>
    <xf numFmtId="172" fontId="0" fillId="0" borderId="0" xfId="0" applyNumberFormat="1" applyBorder="1" applyAlignment="1">
      <alignment horizontal="left"/>
    </xf>
    <xf numFmtId="0" fontId="0" fillId="0" borderId="30" xfId="0" applyFont="1" applyBorder="1" applyAlignment="1">
      <alignment horizontal="left"/>
    </xf>
    <xf numFmtId="0" fontId="0" fillId="0" borderId="61" xfId="0" applyFont="1" applyBorder="1" applyAlignment="1">
      <alignment horizontal="left"/>
    </xf>
    <xf numFmtId="0" fontId="1" fillId="75" borderId="11" xfId="0" applyFont="1" applyFill="1" applyBorder="1" applyAlignment="1">
      <alignment vertical="center"/>
    </xf>
    <xf numFmtId="0" fontId="1" fillId="75" borderId="12" xfId="0" applyFont="1" applyFill="1" applyBorder="1" applyAlignment="1">
      <alignment vertical="center"/>
    </xf>
    <xf numFmtId="0" fontId="1" fillId="75" borderId="12" xfId="0" applyFont="1" applyFill="1" applyBorder="1" applyAlignment="1">
      <alignment horizontal="right" vertical="center"/>
    </xf>
    <xf numFmtId="0" fontId="1" fillId="75" borderId="23" xfId="0" applyFont="1" applyFill="1" applyBorder="1" applyAlignment="1">
      <alignment vertical="center"/>
    </xf>
    <xf numFmtId="0" fontId="0" fillId="0" borderId="14" xfId="0" applyBorder="1"/>
    <xf numFmtId="0" fontId="0" fillId="0" borderId="15" xfId="0" applyBorder="1"/>
    <xf numFmtId="175" fontId="0" fillId="0" borderId="1" xfId="0" applyNumberFormat="1" applyBorder="1"/>
    <xf numFmtId="0" fontId="0" fillId="6" borderId="1" xfId="0" applyFill="1" applyBorder="1"/>
    <xf numFmtId="0" fontId="1" fillId="75" borderId="76" xfId="0" applyFont="1" applyFill="1" applyBorder="1" applyAlignment="1">
      <alignment vertical="center" wrapText="1"/>
    </xf>
    <xf numFmtId="0" fontId="79" fillId="0" borderId="0" xfId="0" applyFont="1"/>
    <xf numFmtId="0" fontId="79" fillId="0" borderId="0" xfId="0" applyFont="1" applyAlignment="1">
      <alignment wrapText="1"/>
    </xf>
    <xf numFmtId="0" fontId="55" fillId="67" borderId="60" xfId="0" applyFont="1" applyFill="1" applyBorder="1" applyAlignment="1">
      <alignment horizontal="left"/>
    </xf>
    <xf numFmtId="0" fontId="56" fillId="67" borderId="90" xfId="0" applyFont="1" applyFill="1" applyBorder="1" applyAlignment="1">
      <alignment vertical="center" wrapText="1"/>
    </xf>
    <xf numFmtId="0" fontId="56" fillId="67" borderId="74" xfId="0" applyFont="1" applyFill="1" applyBorder="1" applyAlignment="1">
      <alignment vertical="center" wrapText="1"/>
    </xf>
    <xf numFmtId="0" fontId="56" fillId="67" borderId="75" xfId="0" applyFont="1" applyFill="1" applyBorder="1" applyAlignment="1">
      <alignment vertical="center"/>
    </xf>
    <xf numFmtId="0" fontId="56" fillId="67" borderId="75" xfId="0" applyFont="1" applyFill="1" applyBorder="1" applyAlignment="1">
      <alignment vertical="center" wrapText="1"/>
    </xf>
    <xf numFmtId="3" fontId="58" fillId="5" borderId="23" xfId="0" applyNumberFormat="1" applyFont="1" applyFill="1" applyBorder="1" applyAlignment="1">
      <alignment horizontal="center" vertical="center" wrapText="1"/>
    </xf>
    <xf numFmtId="3" fontId="58" fillId="5" borderId="13" xfId="0" applyNumberFormat="1" applyFont="1" applyFill="1" applyBorder="1" applyAlignment="1">
      <alignment horizontal="center" vertical="center" wrapText="1"/>
    </xf>
    <xf numFmtId="3" fontId="65" fillId="5" borderId="17" xfId="0" applyNumberFormat="1" applyFont="1" applyFill="1" applyBorder="1" applyAlignment="1">
      <alignment horizontal="right" vertical="center" wrapText="1"/>
    </xf>
    <xf numFmtId="3" fontId="65" fillId="5" borderId="15" xfId="0" applyNumberFormat="1" applyFont="1" applyFill="1" applyBorder="1" applyAlignment="1">
      <alignment horizontal="right" vertical="center" wrapText="1"/>
    </xf>
    <xf numFmtId="0" fontId="80" fillId="5" borderId="0" xfId="0" applyFont="1" applyFill="1"/>
    <xf numFmtId="0" fontId="0" fillId="5" borderId="0" xfId="0" applyFont="1" applyFill="1"/>
    <xf numFmtId="0" fontId="50" fillId="5" borderId="0" xfId="0" applyFont="1" applyFill="1" applyAlignment="1">
      <alignment horizontal="left" vertical="center"/>
    </xf>
    <xf numFmtId="0" fontId="59" fillId="5" borderId="0" xfId="0" applyFont="1" applyFill="1"/>
    <xf numFmtId="0" fontId="51" fillId="5" borderId="87" xfId="0" applyFont="1" applyFill="1" applyBorder="1"/>
    <xf numFmtId="0" fontId="51" fillId="5" borderId="30" xfId="0" applyFont="1" applyFill="1" applyBorder="1"/>
    <xf numFmtId="0" fontId="51" fillId="5" borderId="20" xfId="0" applyFont="1" applyFill="1" applyBorder="1" applyAlignment="1">
      <alignment wrapText="1"/>
    </xf>
    <xf numFmtId="0" fontId="51" fillId="5" borderId="14" xfId="0" applyFont="1" applyFill="1" applyBorder="1" applyAlignment="1">
      <alignment wrapText="1"/>
    </xf>
    <xf numFmtId="0" fontId="51" fillId="5" borderId="16" xfId="0" applyFont="1" applyFill="1" applyBorder="1" applyAlignment="1">
      <alignment wrapText="1"/>
    </xf>
    <xf numFmtId="0" fontId="51" fillId="81" borderId="0" xfId="0" applyFont="1" applyFill="1" applyAlignment="1">
      <alignment vertical="center"/>
    </xf>
    <xf numFmtId="0" fontId="75" fillId="81" borderId="0" xfId="0" applyFont="1" applyFill="1" applyAlignment="1" applyProtection="1">
      <alignment vertical="center" wrapText="1"/>
      <protection hidden="1"/>
    </xf>
    <xf numFmtId="0" fontId="61" fillId="81" borderId="0" xfId="0" applyFont="1" applyFill="1" applyAlignment="1">
      <alignment vertical="center"/>
    </xf>
    <xf numFmtId="0" fontId="75" fillId="81" borderId="0" xfId="0" applyFont="1" applyFill="1" applyAlignment="1" applyProtection="1">
      <alignment horizontal="center" vertical="center" wrapText="1"/>
      <protection hidden="1"/>
    </xf>
    <xf numFmtId="0" fontId="51" fillId="81" borderId="0" xfId="0" applyFont="1" applyFill="1" applyBorder="1"/>
    <xf numFmtId="0" fontId="81" fillId="5" borderId="87" xfId="289" applyFont="1" applyFill="1" applyAlignment="1">
      <alignment horizontal="left"/>
    </xf>
    <xf numFmtId="0" fontId="52" fillId="81" borderId="0" xfId="0" applyFont="1" applyFill="1" applyBorder="1" applyAlignment="1" applyProtection="1">
      <alignment horizontal="centerContinuous" vertical="center"/>
      <protection hidden="1"/>
    </xf>
    <xf numFmtId="0" fontId="52" fillId="81" borderId="0" xfId="0" applyFont="1" applyFill="1" applyAlignment="1" applyProtection="1">
      <alignment horizontal="centerContinuous" vertical="center" wrapText="1"/>
      <protection hidden="1"/>
    </xf>
    <xf numFmtId="0" fontId="52" fillId="81" borderId="10" xfId="0" applyFont="1" applyFill="1" applyBorder="1" applyAlignment="1" applyProtection="1">
      <alignment horizontal="centerContinuous" vertical="center" wrapText="1"/>
      <protection hidden="1"/>
    </xf>
    <xf numFmtId="0" fontId="52" fillId="81" borderId="0" xfId="0" applyFont="1" applyFill="1" applyAlignment="1">
      <alignment horizontal="centerContinuous" vertical="center"/>
    </xf>
    <xf numFmtId="0" fontId="51" fillId="81" borderId="0" xfId="0" applyFont="1" applyFill="1" applyAlignment="1">
      <alignment horizontal="centerContinuous" vertical="center"/>
    </xf>
    <xf numFmtId="0" fontId="74" fillId="81" borderId="0" xfId="0" applyFont="1" applyFill="1" applyAlignment="1" applyProtection="1">
      <alignment horizontal="centerContinuous" vertical="center" wrapText="1"/>
      <protection hidden="1"/>
    </xf>
    <xf numFmtId="0" fontId="52" fillId="81" borderId="10" xfId="0" applyFont="1" applyFill="1" applyBorder="1" applyAlignment="1" applyProtection="1">
      <alignment horizontal="centerContinuous" vertical="center"/>
      <protection hidden="1"/>
    </xf>
    <xf numFmtId="0" fontId="0" fillId="81" borderId="0" xfId="0" applyFill="1" applyAlignment="1">
      <alignment horizontal="centerContinuous" vertical="center"/>
    </xf>
    <xf numFmtId="0" fontId="69" fillId="67" borderId="1" xfId="0" applyFont="1" applyFill="1" applyBorder="1" applyAlignment="1" applyProtection="1">
      <alignment horizontal="left" vertical="center" wrapText="1"/>
      <protection locked="0"/>
    </xf>
    <xf numFmtId="14" fontId="69" fillId="67" borderId="1" xfId="0" applyNumberFormat="1" applyFont="1" applyFill="1" applyBorder="1" applyAlignment="1" applyProtection="1">
      <alignment horizontal="left" vertical="center" wrapText="1"/>
      <protection locked="0"/>
    </xf>
    <xf numFmtId="0" fontId="69" fillId="5" borderId="1" xfId="0" applyFont="1" applyFill="1" applyBorder="1" applyAlignment="1" applyProtection="1">
      <alignment horizontal="left" vertical="center" wrapText="1"/>
    </xf>
    <xf numFmtId="0" fontId="51" fillId="5" borderId="0" xfId="0" applyFont="1" applyFill="1" applyProtection="1"/>
    <xf numFmtId="0" fontId="70" fillId="5" borderId="0" xfId="0" applyFont="1" applyFill="1" applyProtection="1"/>
    <xf numFmtId="0" fontId="71" fillId="5" borderId="0" xfId="0" applyFont="1" applyFill="1" applyProtection="1"/>
    <xf numFmtId="0" fontId="54" fillId="5" borderId="0" xfId="0" applyFont="1" applyFill="1" applyProtection="1"/>
    <xf numFmtId="0" fontId="72" fillId="5" borderId="0" xfId="0" applyFont="1" applyFill="1" applyProtection="1"/>
    <xf numFmtId="0" fontId="58" fillId="68" borderId="34" xfId="0" applyFont="1" applyFill="1" applyBorder="1" applyAlignment="1" applyProtection="1">
      <alignment horizontal="left" vertical="top" wrapText="1"/>
      <protection locked="0"/>
    </xf>
    <xf numFmtId="0" fontId="68" fillId="5" borderId="5" xfId="0" applyFont="1" applyFill="1" applyBorder="1"/>
    <xf numFmtId="0" fontId="68" fillId="5" borderId="6" xfId="0" applyFont="1" applyFill="1" applyBorder="1"/>
    <xf numFmtId="0" fontId="51" fillId="5" borderId="6" xfId="0" applyFont="1" applyFill="1" applyBorder="1"/>
    <xf numFmtId="0" fontId="51" fillId="5" borderId="24" xfId="0" applyFont="1" applyFill="1" applyBorder="1"/>
    <xf numFmtId="0" fontId="51" fillId="5" borderId="8" xfId="0" applyFont="1" applyFill="1" applyBorder="1"/>
    <xf numFmtId="0" fontId="51" fillId="5" borderId="0" xfId="0" applyFont="1" applyFill="1" applyBorder="1"/>
    <xf numFmtId="0" fontId="51" fillId="11" borderId="1" xfId="0" applyFont="1" applyFill="1" applyBorder="1"/>
    <xf numFmtId="0" fontId="63" fillId="5" borderId="0" xfId="0" applyFont="1" applyFill="1" applyAlignment="1">
      <alignment vertical="center"/>
    </xf>
    <xf numFmtId="0" fontId="51" fillId="3" borderId="1" xfId="0" applyFont="1" applyFill="1" applyBorder="1"/>
    <xf numFmtId="0" fontId="63" fillId="5" borderId="30" xfId="0" applyFont="1" applyFill="1" applyBorder="1"/>
    <xf numFmtId="0" fontId="51" fillId="14" borderId="1" xfId="0" applyFont="1" applyFill="1" applyBorder="1" applyAlignment="1">
      <alignment horizontal="left" vertical="center" wrapText="1"/>
    </xf>
    <xf numFmtId="0" fontId="63" fillId="5" borderId="0" xfId="0" applyFont="1" applyFill="1" applyAlignment="1">
      <alignment horizontal="left" vertical="center" wrapText="1"/>
    </xf>
    <xf numFmtId="9" fontId="51" fillId="70" borderId="1" xfId="0" applyNumberFormat="1" applyFont="1" applyFill="1" applyBorder="1" applyAlignment="1">
      <alignment horizontal="center" vertical="center" wrapText="1"/>
    </xf>
    <xf numFmtId="9" fontId="51" fillId="82" borderId="14" xfId="0" applyNumberFormat="1" applyFont="1" applyFill="1" applyBorder="1" applyAlignment="1">
      <alignment horizontal="center" vertical="center" wrapText="1"/>
    </xf>
    <xf numFmtId="0" fontId="63" fillId="5" borderId="0" xfId="0" applyFont="1" applyFill="1" applyBorder="1"/>
    <xf numFmtId="0" fontId="51" fillId="5" borderId="9" xfId="0" applyFont="1" applyFill="1" applyBorder="1"/>
    <xf numFmtId="0" fontId="51" fillId="5" borderId="10" xfId="0" applyFont="1" applyFill="1" applyBorder="1"/>
    <xf numFmtId="0" fontId="51" fillId="5" borderId="61" xfId="0" applyFont="1" applyFill="1" applyBorder="1"/>
    <xf numFmtId="0" fontId="58" fillId="14" borderId="1" xfId="0" applyFont="1" applyFill="1" applyBorder="1" applyAlignment="1" applyProtection="1">
      <alignment horizontal="center" vertical="center"/>
      <protection locked="0"/>
    </xf>
    <xf numFmtId="0" fontId="82" fillId="3" borderId="25" xfId="0" applyFont="1" applyFill="1" applyBorder="1" applyAlignment="1">
      <alignment horizontal="center" vertical="center" wrapText="1" readingOrder="1"/>
    </xf>
    <xf numFmtId="0" fontId="82" fillId="3" borderId="26" xfId="0" applyFont="1" applyFill="1" applyBorder="1" applyAlignment="1">
      <alignment horizontal="center" vertical="center" wrapText="1" readingOrder="1"/>
    </xf>
    <xf numFmtId="0" fontId="83" fillId="5" borderId="11" xfId="0" applyFont="1" applyFill="1" applyBorder="1" applyAlignment="1">
      <alignment horizontal="center" vertical="center" wrapText="1" readingOrder="1"/>
    </xf>
    <xf numFmtId="0" fontId="72" fillId="5" borderId="13" xfId="0" applyFont="1" applyFill="1" applyBorder="1" applyAlignment="1">
      <alignment horizontal="left" vertical="center" wrapText="1" indent="1" readingOrder="1"/>
    </xf>
    <xf numFmtId="0" fontId="72" fillId="5" borderId="22" xfId="0" applyFont="1" applyFill="1" applyBorder="1" applyAlignment="1">
      <alignment horizontal="left" vertical="center" wrapText="1" indent="1" readingOrder="1"/>
    </xf>
    <xf numFmtId="0" fontId="72" fillId="5" borderId="78" xfId="0" applyFont="1" applyFill="1" applyBorder="1" applyAlignment="1">
      <alignment horizontal="left" vertical="center" wrapText="1" indent="1" readingOrder="1"/>
    </xf>
    <xf numFmtId="0" fontId="84" fillId="0" borderId="0" xfId="0" applyFont="1"/>
    <xf numFmtId="0" fontId="51" fillId="0" borderId="0" xfId="0" applyFont="1" applyAlignment="1" applyProtection="1">
      <alignment horizontal="left" vertical="center" wrapText="1"/>
    </xf>
    <xf numFmtId="0" fontId="51" fillId="5" borderId="0" xfId="0" applyFont="1" applyFill="1" applyAlignment="1" applyProtection="1">
      <alignment horizontal="left" vertical="center" wrapText="1"/>
      <protection locked="0"/>
    </xf>
    <xf numFmtId="0" fontId="58" fillId="68" borderId="50" xfId="0" applyFont="1" applyFill="1" applyBorder="1" applyAlignment="1" applyProtection="1">
      <alignment vertical="top" wrapText="1"/>
      <protection locked="0"/>
    </xf>
    <xf numFmtId="0" fontId="51" fillId="5" borderId="0" xfId="0" applyFont="1" applyFill="1" applyProtection="1">
      <protection locked="0"/>
    </xf>
    <xf numFmtId="0" fontId="58" fillId="68" borderId="21" xfId="0" applyFont="1" applyFill="1" applyBorder="1" applyAlignment="1" applyProtection="1">
      <alignment vertical="top" wrapText="1"/>
      <protection locked="0"/>
    </xf>
    <xf numFmtId="0" fontId="51" fillId="0" borderId="0" xfId="0" applyFont="1" applyProtection="1">
      <protection locked="0"/>
    </xf>
    <xf numFmtId="0" fontId="51" fillId="5" borderId="0" xfId="0" applyFont="1" applyFill="1" applyAlignment="1" applyProtection="1">
      <alignment horizontal="left" vertical="center" wrapText="1"/>
    </xf>
    <xf numFmtId="0" fontId="63" fillId="5" borderId="0" xfId="0" applyFont="1" applyFill="1" applyAlignment="1" applyProtection="1">
      <alignment vertical="center"/>
    </xf>
    <xf numFmtId="0" fontId="51" fillId="14" borderId="1" xfId="0" applyFont="1" applyFill="1" applyBorder="1" applyAlignment="1" applyProtection="1">
      <alignment horizontal="left" vertical="center" wrapText="1"/>
    </xf>
    <xf numFmtId="0" fontId="63" fillId="5" borderId="0" xfId="0" applyFont="1" applyFill="1" applyAlignment="1" applyProtection="1">
      <alignment horizontal="left" vertical="center" wrapText="1"/>
    </xf>
    <xf numFmtId="0" fontId="69" fillId="0" borderId="1" xfId="0" applyFont="1" applyFill="1" applyBorder="1" applyAlignment="1" applyProtection="1">
      <alignment horizontal="left" vertical="center" wrapText="1"/>
    </xf>
    <xf numFmtId="0" fontId="69" fillId="5" borderId="11" xfId="0" applyFont="1" applyFill="1" applyBorder="1" applyAlignment="1" applyProtection="1">
      <alignment horizontal="left" vertical="center" wrapText="1"/>
    </xf>
    <xf numFmtId="0" fontId="51" fillId="5" borderId="0" xfId="0" applyFont="1" applyFill="1" applyBorder="1" applyAlignment="1" applyProtection="1">
      <alignment horizontal="left" vertical="center" wrapText="1"/>
    </xf>
    <xf numFmtId="0" fontId="94" fillId="81" borderId="93" xfId="0" applyFont="1" applyFill="1" applyBorder="1" applyAlignment="1" applyProtection="1">
      <alignment horizontal="left" vertical="center" wrapText="1"/>
    </xf>
    <xf numFmtId="0" fontId="94" fillId="81" borderId="91" xfId="0" applyFont="1" applyFill="1" applyBorder="1" applyAlignment="1" applyProtection="1">
      <alignment horizontal="left" vertical="center" wrapText="1"/>
    </xf>
    <xf numFmtId="0" fontId="94" fillId="81" borderId="92" xfId="0" applyFont="1" applyFill="1" applyBorder="1" applyProtection="1"/>
    <xf numFmtId="0" fontId="69" fillId="72" borderId="1" xfId="0" applyFont="1" applyFill="1" applyBorder="1" applyAlignment="1" applyProtection="1">
      <alignment vertical="center" wrapText="1"/>
    </xf>
    <xf numFmtId="3" fontId="51" fillId="0" borderId="1" xfId="0" applyNumberFormat="1" applyFont="1" applyBorder="1" applyAlignment="1" applyProtection="1">
      <alignment horizontal="left" vertical="center" wrapText="1"/>
    </xf>
    <xf numFmtId="0" fontId="51" fillId="0" borderId="83" xfId="0" applyFont="1" applyBorder="1" applyProtection="1"/>
    <xf numFmtId="0" fontId="69" fillId="71" borderId="1" xfId="0" applyFont="1" applyFill="1" applyBorder="1" applyAlignment="1" applyProtection="1">
      <alignment vertical="center" wrapText="1"/>
    </xf>
    <xf numFmtId="0" fontId="69" fillId="73" borderId="1" xfId="0" applyFont="1" applyFill="1" applyBorder="1" applyAlignment="1" applyProtection="1">
      <alignment vertical="center" wrapText="1"/>
    </xf>
    <xf numFmtId="0" fontId="96" fillId="75" borderId="1" xfId="0" applyFont="1" applyFill="1" applyBorder="1" applyAlignment="1" applyProtection="1">
      <alignment vertical="center" wrapText="1"/>
    </xf>
    <xf numFmtId="0" fontId="69" fillId="77" borderId="85" xfId="0" applyFont="1" applyFill="1" applyBorder="1" applyAlignment="1" applyProtection="1">
      <alignment vertical="center" wrapText="1"/>
    </xf>
    <xf numFmtId="0" fontId="69" fillId="0" borderId="85" xfId="0" applyFont="1" applyFill="1" applyBorder="1" applyAlignment="1" applyProtection="1">
      <alignment horizontal="left" vertical="center" wrapText="1"/>
    </xf>
    <xf numFmtId="3" fontId="51" fillId="0" borderId="85" xfId="0" applyNumberFormat="1" applyFont="1" applyBorder="1" applyAlignment="1" applyProtection="1">
      <alignment horizontal="left" vertical="center" wrapText="1"/>
    </xf>
    <xf numFmtId="0" fontId="51" fillId="0" borderId="86" xfId="0" applyFont="1" applyBorder="1" applyProtection="1"/>
    <xf numFmtId="0" fontId="94" fillId="81" borderId="5" xfId="0" applyFont="1" applyFill="1" applyBorder="1" applyAlignment="1" applyProtection="1">
      <alignment horizontal="left" vertical="center" wrapText="1"/>
    </xf>
    <xf numFmtId="0" fontId="94" fillId="81" borderId="24" xfId="0" applyFont="1" applyFill="1" applyBorder="1" applyProtection="1"/>
    <xf numFmtId="0" fontId="51" fillId="5" borderId="14" xfId="0" applyFont="1" applyFill="1" applyBorder="1" applyAlignment="1" applyProtection="1">
      <alignment horizontal="left" vertical="center" wrapText="1"/>
    </xf>
    <xf numFmtId="0" fontId="51" fillId="14" borderId="15" xfId="0" applyFont="1" applyFill="1" applyBorder="1" applyProtection="1"/>
    <xf numFmtId="0" fontId="51" fillId="5" borderId="16" xfId="0" applyFont="1" applyFill="1" applyBorder="1" applyAlignment="1" applyProtection="1">
      <alignment horizontal="left" vertical="center" wrapText="1"/>
    </xf>
    <xf numFmtId="0" fontId="51" fillId="14" borderId="18" xfId="0" applyFont="1" applyFill="1" applyBorder="1" applyProtection="1"/>
    <xf numFmtId="0" fontId="54" fillId="5" borderId="0" xfId="0" applyFont="1" applyFill="1" applyAlignment="1" applyProtection="1">
      <alignment horizontal="left" vertical="center" wrapText="1"/>
    </xf>
    <xf numFmtId="0" fontId="54" fillId="5" borderId="0" xfId="0" applyFont="1" applyFill="1" applyBorder="1" applyAlignment="1" applyProtection="1">
      <alignment horizontal="left" vertical="center" wrapText="1"/>
    </xf>
    <xf numFmtId="0" fontId="61" fillId="5" borderId="0" xfId="0" applyFont="1" applyFill="1" applyBorder="1" applyAlignment="1" applyProtection="1">
      <alignment horizontal="left" vertical="center" wrapText="1"/>
      <protection locked="0"/>
    </xf>
    <xf numFmtId="0" fontId="61" fillId="5" borderId="0" xfId="0" applyFont="1" applyFill="1" applyProtection="1">
      <protection locked="0"/>
    </xf>
    <xf numFmtId="3" fontId="61" fillId="5" borderId="0" xfId="0" applyNumberFormat="1" applyFont="1" applyFill="1" applyBorder="1" applyAlignment="1" applyProtection="1">
      <alignment horizontal="left" vertical="center" wrapText="1"/>
      <protection locked="0"/>
    </xf>
    <xf numFmtId="10" fontId="61" fillId="5" borderId="0" xfId="2" applyNumberFormat="1" applyFont="1" applyFill="1" applyAlignment="1" applyProtection="1">
      <alignment horizontal="left" vertical="center" wrapText="1"/>
      <protection locked="0"/>
    </xf>
    <xf numFmtId="0" fontId="61" fillId="5" borderId="0" xfId="0" applyFont="1" applyFill="1" applyAlignment="1" applyProtection="1">
      <alignment horizontal="left" vertical="center" wrapText="1"/>
    </xf>
    <xf numFmtId="0" fontId="61" fillId="5" borderId="0" xfId="0" applyFont="1" applyFill="1" applyBorder="1" applyAlignment="1" applyProtection="1">
      <alignment horizontal="left" vertical="center" wrapText="1"/>
    </xf>
    <xf numFmtId="0" fontId="61" fillId="5" borderId="0" xfId="0" applyFont="1" applyFill="1" applyProtection="1"/>
    <xf numFmtId="0" fontId="51" fillId="5" borderId="0" xfId="0" applyFont="1" applyFill="1" applyAlignment="1" applyProtection="1">
      <alignment horizontal="left" vertical="center"/>
    </xf>
    <xf numFmtId="0" fontId="51" fillId="0" borderId="0" xfId="0" applyFont="1" applyFill="1" applyAlignment="1" applyProtection="1">
      <alignment horizontal="left" vertical="center" wrapText="1"/>
    </xf>
    <xf numFmtId="0" fontId="51" fillId="74" borderId="79" xfId="0" applyFont="1" applyFill="1" applyBorder="1" applyAlignment="1" applyProtection="1">
      <alignment horizontal="left" vertical="center" wrapText="1"/>
    </xf>
    <xf numFmtId="0" fontId="51" fillId="74" borderId="80" xfId="0" applyFont="1" applyFill="1" applyBorder="1" applyAlignment="1" applyProtection="1">
      <alignment horizontal="left" vertical="center" wrapText="1"/>
    </xf>
    <xf numFmtId="0" fontId="51" fillId="74" borderId="81" xfId="0" applyFont="1" applyFill="1" applyBorder="1" applyProtection="1"/>
    <xf numFmtId="0" fontId="69" fillId="75" borderId="1" xfId="0" applyFont="1" applyFill="1" applyBorder="1" applyAlignment="1" applyProtection="1">
      <alignment vertical="center" wrapText="1"/>
    </xf>
    <xf numFmtId="0" fontId="51" fillId="74" borderId="5" xfId="0" applyFont="1" applyFill="1" applyBorder="1" applyAlignment="1" applyProtection="1">
      <alignment horizontal="left" vertical="center" wrapText="1"/>
    </xf>
    <xf numFmtId="0" fontId="51" fillId="74" borderId="24" xfId="0" applyFont="1" applyFill="1" applyBorder="1" applyProtection="1"/>
    <xf numFmtId="0" fontId="51" fillId="0" borderId="14" xfId="0" applyFont="1" applyBorder="1" applyAlignment="1" applyProtection="1">
      <alignment horizontal="left" vertical="center" wrapText="1"/>
    </xf>
    <xf numFmtId="0" fontId="51" fillId="0" borderId="16" xfId="0" applyFont="1" applyBorder="1" applyAlignment="1" applyProtection="1">
      <alignment horizontal="left" vertical="center" wrapText="1"/>
    </xf>
    <xf numFmtId="164" fontId="61" fillId="5" borderId="0" xfId="0" applyNumberFormat="1" applyFont="1" applyFill="1" applyBorder="1" applyAlignment="1" applyProtection="1">
      <alignment horizontal="left" vertical="center" wrapText="1"/>
      <protection locked="0"/>
    </xf>
    <xf numFmtId="0" fontId="99" fillId="5" borderId="0" xfId="0" applyFont="1" applyFill="1" applyAlignment="1" applyProtection="1">
      <alignment horizontal="left" vertical="center" wrapText="1"/>
    </xf>
    <xf numFmtId="0" fontId="99" fillId="0" borderId="0" xfId="0" applyFont="1" applyAlignment="1" applyProtection="1">
      <alignment horizontal="left" vertical="center" wrapText="1"/>
    </xf>
    <xf numFmtId="4" fontId="51" fillId="0" borderId="1" xfId="0" applyNumberFormat="1" applyFont="1" applyBorder="1" applyAlignment="1" applyProtection="1">
      <alignment horizontal="left" vertical="center" wrapText="1"/>
    </xf>
    <xf numFmtId="4" fontId="51" fillId="0" borderId="85" xfId="0" applyNumberFormat="1" applyFont="1" applyBorder="1" applyAlignment="1" applyProtection="1">
      <alignment horizontal="left" vertical="center" wrapText="1"/>
    </xf>
    <xf numFmtId="0" fontId="51" fillId="11" borderId="15" xfId="0" applyFont="1" applyFill="1" applyBorder="1" applyProtection="1"/>
    <xf numFmtId="0" fontId="51" fillId="11" borderId="18" xfId="0" applyFont="1" applyFill="1" applyBorder="1" applyProtection="1"/>
    <xf numFmtId="0" fontId="51" fillId="5" borderId="0" xfId="0" applyFont="1" applyFill="1" applyBorder="1" applyAlignment="1" applyProtection="1">
      <alignment vertical="center" wrapText="1"/>
    </xf>
    <xf numFmtId="2" fontId="51" fillId="5" borderId="0" xfId="0" applyNumberFormat="1" applyFont="1" applyFill="1" applyBorder="1" applyAlignment="1" applyProtection="1">
      <alignment vertical="center" wrapText="1"/>
    </xf>
    <xf numFmtId="0" fontId="51" fillId="74" borderId="11" xfId="0" applyFont="1" applyFill="1" applyBorder="1" applyAlignment="1" applyProtection="1">
      <alignment horizontal="left" vertical="center" wrapText="1"/>
    </xf>
    <xf numFmtId="0" fontId="51" fillId="74" borderId="12" xfId="0" applyFont="1" applyFill="1" applyBorder="1" applyAlignment="1" applyProtection="1">
      <alignment horizontal="left" vertical="center" wrapText="1"/>
    </xf>
    <xf numFmtId="0" fontId="51" fillId="74" borderId="13" xfId="0" applyFont="1" applyFill="1" applyBorder="1" applyProtection="1"/>
    <xf numFmtId="0" fontId="51" fillId="0" borderId="15" xfId="0" applyFont="1" applyBorder="1" applyProtection="1"/>
    <xf numFmtId="0" fontId="69" fillId="77" borderId="17" xfId="0" applyFont="1" applyFill="1" applyBorder="1" applyAlignment="1" applyProtection="1">
      <alignment vertical="center" wrapText="1"/>
    </xf>
    <xf numFmtId="0" fontId="69" fillId="0" borderId="17" xfId="0" applyFont="1" applyFill="1" applyBorder="1" applyAlignment="1" applyProtection="1">
      <alignment horizontal="left" vertical="center" wrapText="1"/>
    </xf>
    <xf numFmtId="3" fontId="51" fillId="0" borderId="17" xfId="0" applyNumberFormat="1" applyFont="1" applyBorder="1" applyAlignment="1" applyProtection="1">
      <alignment horizontal="left" vertical="center" wrapText="1"/>
    </xf>
    <xf numFmtId="4" fontId="51" fillId="0" borderId="17" xfId="0" applyNumberFormat="1" applyFont="1" applyBorder="1" applyAlignment="1" applyProtection="1">
      <alignment horizontal="left" vertical="center" wrapText="1"/>
    </xf>
    <xf numFmtId="0" fontId="51" fillId="0" borderId="18" xfId="0" applyFont="1" applyBorder="1" applyProtection="1"/>
    <xf numFmtId="0" fontId="69" fillId="5" borderId="16" xfId="0" applyFont="1" applyFill="1" applyBorder="1" applyAlignment="1" applyProtection="1">
      <alignment horizontal="left" vertical="center" wrapText="1"/>
    </xf>
    <xf numFmtId="0" fontId="51" fillId="11" borderId="1" xfId="0" applyFont="1" applyFill="1" applyBorder="1" applyAlignment="1" applyProtection="1">
      <alignment horizontal="left" vertical="center"/>
    </xf>
    <xf numFmtId="9" fontId="51" fillId="82" borderId="96" xfId="0" applyNumberFormat="1" applyFont="1" applyFill="1" applyBorder="1" applyAlignment="1" applyProtection="1">
      <alignment horizontal="left" vertical="center" wrapText="1"/>
    </xf>
    <xf numFmtId="3" fontId="63" fillId="3" borderId="95" xfId="0" applyNumberFormat="1" applyFont="1" applyFill="1" applyBorder="1" applyAlignment="1" applyProtection="1">
      <alignment horizontal="left" vertical="center" wrapText="1"/>
    </xf>
    <xf numFmtId="3" fontId="63" fillId="70" borderId="95" xfId="0" applyNumberFormat="1" applyFont="1" applyFill="1" applyBorder="1" applyAlignment="1" applyProtection="1">
      <alignment horizontal="left" vertical="center" wrapText="1"/>
    </xf>
    <xf numFmtId="9" fontId="69" fillId="11" borderId="97" xfId="0" applyNumberFormat="1" applyFont="1" applyFill="1" applyBorder="1" applyAlignment="1" applyProtection="1">
      <alignment horizontal="center" vertical="center" wrapText="1"/>
    </xf>
    <xf numFmtId="9" fontId="69" fillId="11" borderId="98" xfId="0" applyNumberFormat="1" applyFont="1" applyFill="1" applyBorder="1" applyAlignment="1" applyProtection="1">
      <alignment horizontal="center" vertical="center" wrapText="1"/>
    </xf>
    <xf numFmtId="0" fontId="51" fillId="5" borderId="0" xfId="0" applyFont="1" applyFill="1" applyAlignment="1">
      <alignment wrapText="1"/>
    </xf>
    <xf numFmtId="0" fontId="62" fillId="72" borderId="44" xfId="0" applyFont="1" applyFill="1" applyBorder="1" applyAlignment="1">
      <alignment vertical="center" wrapText="1"/>
    </xf>
    <xf numFmtId="0" fontId="62" fillId="71" borderId="44" xfId="0" applyFont="1" applyFill="1" applyBorder="1" applyAlignment="1">
      <alignment vertical="center" wrapText="1"/>
    </xf>
    <xf numFmtId="0" fontId="62" fillId="73" borderId="44" xfId="0" applyFont="1" applyFill="1" applyBorder="1" applyAlignment="1">
      <alignment vertical="center" wrapText="1"/>
    </xf>
    <xf numFmtId="0" fontId="62" fillId="77" borderId="31" xfId="0" applyFont="1" applyFill="1" applyBorder="1" applyAlignment="1">
      <alignment vertical="center" wrapText="1"/>
    </xf>
    <xf numFmtId="0" fontId="62" fillId="72" borderId="12" xfId="0" applyFont="1" applyFill="1" applyBorder="1"/>
    <xf numFmtId="0" fontId="62" fillId="78" borderId="1" xfId="0" applyFont="1" applyFill="1" applyBorder="1"/>
    <xf numFmtId="0" fontId="62" fillId="71" borderId="1" xfId="0" applyFont="1" applyFill="1" applyBorder="1"/>
    <xf numFmtId="0" fontId="62" fillId="79" borderId="1" xfId="0" applyFont="1" applyFill="1" applyBorder="1"/>
    <xf numFmtId="0" fontId="62" fillId="14" borderId="1" xfId="0" applyFont="1" applyFill="1" applyBorder="1"/>
    <xf numFmtId="0" fontId="62" fillId="73" borderId="1" xfId="0" applyFont="1" applyFill="1" applyBorder="1"/>
    <xf numFmtId="0" fontId="62" fillId="13" borderId="1" xfId="0" applyFont="1" applyFill="1" applyBorder="1"/>
    <xf numFmtId="0" fontId="69" fillId="5" borderId="95" xfId="0" applyFont="1" applyFill="1" applyBorder="1" applyAlignment="1" applyProtection="1">
      <alignment horizontal="left" vertical="center" wrapText="1"/>
      <protection locked="0"/>
    </xf>
    <xf numFmtId="1" fontId="69" fillId="5" borderId="95" xfId="0" applyNumberFormat="1" applyFont="1" applyFill="1" applyBorder="1" applyAlignment="1" applyProtection="1">
      <alignment horizontal="left" vertical="center" wrapText="1"/>
      <protection locked="0"/>
    </xf>
    <xf numFmtId="0" fontId="69" fillId="0" borderId="95" xfId="0" applyFont="1" applyBorder="1" applyAlignment="1" applyProtection="1">
      <alignment horizontal="left" vertical="center" wrapText="1"/>
      <protection locked="0"/>
    </xf>
    <xf numFmtId="0" fontId="69" fillId="0" borderId="95" xfId="0" applyFont="1" applyFill="1" applyBorder="1" applyAlignment="1" applyProtection="1">
      <alignment horizontal="left" vertical="center" wrapText="1"/>
      <protection locked="0"/>
    </xf>
    <xf numFmtId="1" fontId="69" fillId="0" borderId="95" xfId="0" applyNumberFormat="1" applyFont="1" applyFill="1" applyBorder="1" applyAlignment="1" applyProtection="1">
      <alignment horizontal="left" vertical="center" wrapText="1"/>
      <protection locked="0"/>
    </xf>
    <xf numFmtId="0" fontId="52" fillId="81" borderId="95" xfId="0" applyFont="1" applyFill="1" applyBorder="1" applyAlignment="1" applyProtection="1">
      <alignment horizontal="centerContinuous" vertical="center"/>
      <protection hidden="1"/>
    </xf>
    <xf numFmtId="0" fontId="52" fillId="81" borderId="95" xfId="0" applyFont="1" applyFill="1" applyBorder="1" applyAlignment="1" applyProtection="1">
      <alignment horizontal="centerContinuous" vertical="center" wrapText="1"/>
      <protection hidden="1"/>
    </xf>
    <xf numFmtId="0" fontId="86" fillId="83" borderId="95" xfId="0" applyFont="1" applyFill="1" applyBorder="1" applyAlignment="1" applyProtection="1">
      <alignment horizontal="left" vertical="center" wrapText="1"/>
    </xf>
    <xf numFmtId="0" fontId="86" fillId="83" borderId="95" xfId="0" applyFont="1" applyFill="1" applyBorder="1" applyAlignment="1" applyProtection="1">
      <alignment horizontal="center" vertical="center" wrapText="1"/>
    </xf>
    <xf numFmtId="0" fontId="69" fillId="0" borderId="95" xfId="0" applyFont="1" applyBorder="1" applyAlignment="1" applyProtection="1">
      <alignment horizontal="left" vertical="center" wrapText="1"/>
    </xf>
    <xf numFmtId="0" fontId="69" fillId="5" borderId="95" xfId="0" applyFont="1" applyFill="1" applyBorder="1" applyAlignment="1" applyProtection="1">
      <alignment horizontal="center" vertical="center" wrapText="1"/>
    </xf>
    <xf numFmtId="0" fontId="51" fillId="0" borderId="95" xfId="0" applyFont="1" applyBorder="1" applyAlignment="1" applyProtection="1">
      <alignment horizontal="left" vertical="center" wrapText="1"/>
      <protection locked="0"/>
    </xf>
    <xf numFmtId="0" fontId="69" fillId="0" borderId="95" xfId="0" applyFont="1" applyBorder="1" applyAlignment="1" applyProtection="1">
      <alignment vertical="center" wrapText="1"/>
    </xf>
    <xf numFmtId="0" fontId="69" fillId="14" borderId="95" xfId="0" applyFont="1" applyFill="1" applyBorder="1" applyAlignment="1" applyProtection="1">
      <alignment horizontal="left" vertical="center" wrapText="1"/>
      <protection locked="0"/>
    </xf>
    <xf numFmtId="0" fontId="68" fillId="72" borderId="95" xfId="0" applyFont="1" applyFill="1" applyBorder="1" applyAlignment="1" applyProtection="1">
      <alignment vertical="center" textRotation="90" wrapText="1"/>
    </xf>
    <xf numFmtId="0" fontId="68" fillId="0" borderId="95" xfId="0" applyFont="1" applyFill="1" applyBorder="1" applyAlignment="1" applyProtection="1">
      <alignment horizontal="left" vertical="center" wrapText="1"/>
    </xf>
    <xf numFmtId="0" fontId="69" fillId="0" borderId="95" xfId="0" applyFont="1" applyFill="1" applyBorder="1" applyAlignment="1" applyProtection="1">
      <alignment horizontal="left" vertical="center" wrapText="1"/>
    </xf>
    <xf numFmtId="3" fontId="69" fillId="5" borderId="95" xfId="0" applyNumberFormat="1" applyFont="1" applyFill="1" applyBorder="1" applyAlignment="1" applyProtection="1">
      <alignment horizontal="center" vertical="center" wrapText="1"/>
    </xf>
    <xf numFmtId="0" fontId="69" fillId="0" borderId="95" xfId="0" applyFont="1" applyFill="1" applyBorder="1" applyAlignment="1" applyProtection="1">
      <alignment horizontal="left" vertical="center" wrapText="1" indent="1"/>
    </xf>
    <xf numFmtId="0" fontId="69" fillId="5" borderId="95" xfId="0" applyFont="1" applyFill="1" applyBorder="1" applyAlignment="1" applyProtection="1">
      <alignment horizontal="left" vertical="center" wrapText="1"/>
    </xf>
    <xf numFmtId="9" fontId="69" fillId="5" borderId="95" xfId="0" applyNumberFormat="1" applyFont="1" applyFill="1" applyBorder="1" applyAlignment="1" applyProtection="1">
      <alignment horizontal="center" vertical="center" wrapText="1"/>
    </xf>
    <xf numFmtId="2" fontId="69" fillId="5" borderId="95" xfId="0" applyNumberFormat="1" applyFont="1" applyFill="1" applyBorder="1" applyAlignment="1" applyProtection="1">
      <alignment horizontal="center" vertical="center" wrapText="1"/>
    </xf>
    <xf numFmtId="9" fontId="69" fillId="5" borderId="95" xfId="2" applyFont="1" applyFill="1" applyBorder="1" applyAlignment="1" applyProtection="1">
      <alignment horizontal="center" vertical="center" wrapText="1"/>
    </xf>
    <xf numFmtId="0" fontId="69" fillId="5" borderId="95" xfId="0" applyFont="1" applyFill="1" applyBorder="1" applyAlignment="1" applyProtection="1">
      <alignment horizontal="left" vertical="center" wrapText="1" indent="1"/>
    </xf>
    <xf numFmtId="0" fontId="51" fillId="0" borderId="95" xfId="1" applyNumberFormat="1" applyFont="1" applyFill="1" applyBorder="1" applyAlignment="1" applyProtection="1">
      <alignment horizontal="center" vertical="center" wrapText="1"/>
    </xf>
    <xf numFmtId="0" fontId="51" fillId="0" borderId="95" xfId="0" applyFont="1" applyFill="1" applyBorder="1" applyAlignment="1" applyProtection="1">
      <alignment horizontal="center" vertical="center" wrapText="1"/>
    </xf>
    <xf numFmtId="0" fontId="51" fillId="5" borderId="95" xfId="0" applyFont="1" applyFill="1" applyBorder="1" applyAlignment="1" applyProtection="1">
      <alignment horizontal="center" vertical="center" wrapText="1"/>
    </xf>
    <xf numFmtId="164" fontId="69" fillId="11" borderId="95" xfId="0" applyNumberFormat="1" applyFont="1" applyFill="1" applyBorder="1" applyAlignment="1" applyProtection="1">
      <alignment horizontal="center" vertical="center" wrapText="1"/>
      <protection locked="0"/>
    </xf>
    <xf numFmtId="3" fontId="69" fillId="11" borderId="95" xfId="0" applyNumberFormat="1" applyFont="1" applyFill="1" applyBorder="1" applyAlignment="1" applyProtection="1">
      <alignment horizontal="center" vertical="center" wrapText="1"/>
      <protection locked="0"/>
    </xf>
    <xf numFmtId="167" fontId="69" fillId="5" borderId="95" xfId="0" applyNumberFormat="1" applyFont="1" applyFill="1" applyBorder="1" applyAlignment="1" applyProtection="1">
      <alignment horizontal="center" vertical="center" wrapText="1"/>
    </xf>
    <xf numFmtId="164" fontId="69" fillId="5" borderId="95" xfId="0" applyNumberFormat="1" applyFont="1" applyFill="1" applyBorder="1" applyAlignment="1" applyProtection="1">
      <alignment horizontal="center" vertical="center" wrapText="1"/>
    </xf>
    <xf numFmtId="3" fontId="69" fillId="82" borderId="95" xfId="0" applyNumberFormat="1" applyFont="1" applyFill="1" applyBorder="1" applyAlignment="1" applyProtection="1">
      <alignment horizontal="center" vertical="center" wrapText="1"/>
    </xf>
    <xf numFmtId="0" fontId="68" fillId="70" borderId="95" xfId="0" applyFont="1" applyFill="1" applyBorder="1" applyAlignment="1" applyProtection="1">
      <alignment horizontal="left" vertical="center" wrapText="1"/>
    </xf>
    <xf numFmtId="0" fontId="69" fillId="70" borderId="95" xfId="0" applyFont="1" applyFill="1" applyBorder="1" applyAlignment="1" applyProtection="1">
      <alignment horizontal="left" vertical="center" wrapText="1"/>
    </xf>
    <xf numFmtId="3" fontId="68" fillId="70" borderId="95" xfId="0" applyNumberFormat="1" applyFont="1" applyFill="1" applyBorder="1" applyAlignment="1" applyProtection="1">
      <alignment horizontal="center" vertical="center" wrapText="1"/>
    </xf>
    <xf numFmtId="0" fontId="69" fillId="70" borderId="95" xfId="0" applyFont="1" applyFill="1" applyBorder="1" applyAlignment="1" applyProtection="1">
      <alignment horizontal="left" vertical="center" wrapText="1"/>
      <protection locked="0"/>
    </xf>
    <xf numFmtId="0" fontId="88" fillId="71" borderId="95" xfId="0" applyFont="1" applyFill="1" applyBorder="1" applyAlignment="1" applyProtection="1">
      <alignment vertical="center" textRotation="90" wrapText="1"/>
    </xf>
    <xf numFmtId="0" fontId="69" fillId="5" borderId="95" xfId="0" applyFont="1" applyFill="1" applyBorder="1" applyAlignment="1" applyProtection="1">
      <alignment horizontal="center" vertical="center"/>
    </xf>
    <xf numFmtId="0" fontId="51" fillId="0" borderId="95" xfId="0" applyFont="1" applyBorder="1" applyAlignment="1" applyProtection="1">
      <alignment horizontal="left" vertical="center" wrapText="1"/>
    </xf>
    <xf numFmtId="4" fontId="69" fillId="82" borderId="95" xfId="0" applyNumberFormat="1" applyFont="1" applyFill="1" applyBorder="1" applyAlignment="1" applyProtection="1">
      <alignment horizontal="center" vertical="center" wrapText="1"/>
    </xf>
    <xf numFmtId="0" fontId="68" fillId="2" borderId="95" xfId="0" applyFont="1" applyFill="1" applyBorder="1" applyAlignment="1" applyProtection="1">
      <alignment horizontal="left" vertical="center" wrapText="1"/>
    </xf>
    <xf numFmtId="3" fontId="68" fillId="2" borderId="95" xfId="0" applyNumberFormat="1" applyFont="1" applyFill="1" applyBorder="1" applyAlignment="1" applyProtection="1">
      <alignment horizontal="center" vertical="center" wrapText="1"/>
    </xf>
    <xf numFmtId="4" fontId="68" fillId="2" borderId="95" xfId="0" applyNumberFormat="1" applyFont="1" applyFill="1" applyBorder="1" applyAlignment="1" applyProtection="1">
      <alignment horizontal="center" vertical="center" wrapText="1"/>
    </xf>
    <xf numFmtId="0" fontId="68" fillId="5" borderId="95" xfId="0" applyFont="1" applyFill="1" applyBorder="1" applyAlignment="1" applyProtection="1">
      <alignment horizontal="center" vertical="center" wrapText="1"/>
    </xf>
    <xf numFmtId="166" fontId="69" fillId="82" borderId="95" xfId="1" applyNumberFormat="1" applyFont="1" applyFill="1" applyBorder="1" applyAlignment="1" applyProtection="1">
      <alignment vertical="center" wrapText="1"/>
    </xf>
    <xf numFmtId="165" fontId="69" fillId="82" borderId="95" xfId="0" applyNumberFormat="1" applyFont="1" applyFill="1" applyBorder="1" applyAlignment="1" applyProtection="1">
      <alignment horizontal="center" vertical="center" wrapText="1"/>
    </xf>
    <xf numFmtId="165" fontId="69" fillId="5" borderId="95" xfId="0" applyNumberFormat="1" applyFont="1" applyFill="1" applyBorder="1" applyAlignment="1" applyProtection="1">
      <alignment horizontal="center" vertical="center" wrapText="1"/>
    </xf>
    <xf numFmtId="0" fontId="69" fillId="3" borderId="95" xfId="0" applyFont="1" applyFill="1" applyBorder="1" applyAlignment="1" applyProtection="1">
      <alignment horizontal="left" vertical="center" wrapText="1"/>
    </xf>
    <xf numFmtId="3" fontId="69" fillId="3" borderId="95" xfId="0" applyNumberFormat="1" applyFont="1" applyFill="1" applyBorder="1" applyAlignment="1" applyProtection="1">
      <alignment horizontal="center" vertical="center" wrapText="1"/>
    </xf>
    <xf numFmtId="0" fontId="69" fillId="3" borderId="95" xfId="0" applyFont="1" applyFill="1" applyBorder="1" applyAlignment="1" applyProtection="1">
      <alignment horizontal="left" vertical="center" wrapText="1"/>
      <protection locked="0"/>
    </xf>
    <xf numFmtId="4" fontId="69" fillId="11" borderId="95" xfId="0" applyNumberFormat="1" applyFont="1" applyFill="1" applyBorder="1" applyAlignment="1" applyProtection="1">
      <alignment horizontal="center" vertical="center" wrapText="1"/>
      <protection locked="0"/>
    </xf>
    <xf numFmtId="1" fontId="69" fillId="5" borderId="95" xfId="0" applyNumberFormat="1" applyFont="1" applyFill="1" applyBorder="1" applyAlignment="1" applyProtection="1">
      <alignment horizontal="center" vertical="center" wrapText="1"/>
    </xf>
    <xf numFmtId="0" fontId="88" fillId="73" borderId="95" xfId="0" applyFont="1" applyFill="1" applyBorder="1" applyAlignment="1" applyProtection="1">
      <alignment vertical="center" textRotation="90" wrapText="1"/>
    </xf>
    <xf numFmtId="169" fontId="69" fillId="82" borderId="95" xfId="0" applyNumberFormat="1" applyFont="1" applyFill="1" applyBorder="1" applyAlignment="1" applyProtection="1">
      <alignment horizontal="center" vertical="center" wrapText="1"/>
    </xf>
    <xf numFmtId="2" fontId="69" fillId="82" borderId="95" xfId="0" applyNumberFormat="1" applyFont="1" applyFill="1" applyBorder="1" applyAlignment="1" applyProtection="1">
      <alignment horizontal="center" vertical="center" wrapText="1"/>
    </xf>
    <xf numFmtId="171" fontId="69" fillId="82" borderId="95" xfId="0" applyNumberFormat="1" applyFont="1" applyFill="1" applyBorder="1" applyAlignment="1" applyProtection="1">
      <alignment horizontal="center" vertical="center" wrapText="1"/>
    </xf>
    <xf numFmtId="1" fontId="69" fillId="5" borderId="95" xfId="0" applyNumberFormat="1" applyFont="1" applyFill="1" applyBorder="1" applyAlignment="1" applyProtection="1">
      <alignment horizontal="left" vertical="center" wrapText="1"/>
    </xf>
    <xf numFmtId="0" fontId="68" fillId="3" borderId="95" xfId="0" applyFont="1" applyFill="1" applyBorder="1" applyAlignment="1" applyProtection="1">
      <alignment horizontal="left" vertical="center" wrapText="1"/>
    </xf>
    <xf numFmtId="3" fontId="68" fillId="3" borderId="95" xfId="0" applyNumberFormat="1" applyFont="1" applyFill="1" applyBorder="1" applyAlignment="1" applyProtection="1">
      <alignment horizontal="center" vertical="center" wrapText="1"/>
    </xf>
    <xf numFmtId="0" fontId="88" fillId="75" borderId="95" xfId="0" applyFont="1" applyFill="1" applyBorder="1" applyAlignment="1" applyProtection="1">
      <alignment vertical="center" textRotation="90" wrapText="1"/>
    </xf>
    <xf numFmtId="177" fontId="69" fillId="82" borderId="95" xfId="0" applyNumberFormat="1" applyFont="1" applyFill="1" applyBorder="1" applyAlignment="1" applyProtection="1">
      <alignment horizontal="center" vertical="center" wrapText="1"/>
    </xf>
    <xf numFmtId="37" fontId="69" fillId="82" borderId="95" xfId="1" applyNumberFormat="1" applyFont="1" applyFill="1" applyBorder="1" applyAlignment="1" applyProtection="1">
      <alignment horizontal="center" vertical="center" wrapText="1"/>
    </xf>
    <xf numFmtId="37" fontId="69" fillId="5" borderId="95" xfId="1" applyNumberFormat="1" applyFont="1" applyFill="1" applyBorder="1" applyAlignment="1" applyProtection="1">
      <alignment horizontal="center" vertical="center" wrapText="1"/>
    </xf>
    <xf numFmtId="0" fontId="51" fillId="0" borderId="95" xfId="0" applyFont="1" applyFill="1" applyBorder="1" applyAlignment="1" applyProtection="1">
      <alignment horizontal="left" vertical="center" wrapText="1"/>
      <protection locked="0"/>
    </xf>
    <xf numFmtId="0" fontId="88" fillId="77" borderId="95" xfId="0" applyFont="1" applyFill="1" applyBorder="1" applyAlignment="1" applyProtection="1">
      <alignment vertical="center" textRotation="90" wrapText="1"/>
    </xf>
    <xf numFmtId="0" fontId="69" fillId="72" borderId="95" xfId="0" applyFont="1" applyFill="1" applyBorder="1" applyAlignment="1" applyProtection="1">
      <alignment horizontal="left" vertical="center" wrapText="1"/>
    </xf>
    <xf numFmtId="0" fontId="51" fillId="0" borderId="95" xfId="0" applyFont="1" applyBorder="1" applyProtection="1"/>
    <xf numFmtId="0" fontId="69" fillId="0" borderId="95" xfId="0" applyFont="1" applyFill="1" applyBorder="1" applyAlignment="1" applyProtection="1">
      <alignment horizontal="center" vertical="center" wrapText="1"/>
    </xf>
    <xf numFmtId="173" fontId="69" fillId="11" borderId="95" xfId="0" applyNumberFormat="1" applyFont="1" applyFill="1" applyBorder="1" applyAlignment="1" applyProtection="1">
      <alignment horizontal="center" vertical="center" wrapText="1"/>
      <protection locked="0"/>
    </xf>
    <xf numFmtId="173" fontId="69" fillId="5" borderId="95" xfId="0" applyNumberFormat="1" applyFont="1" applyFill="1" applyBorder="1" applyAlignment="1" applyProtection="1">
      <alignment horizontal="center" vertical="center" wrapText="1"/>
    </xf>
    <xf numFmtId="4" fontId="69" fillId="5" borderId="95" xfId="0" applyNumberFormat="1" applyFont="1" applyFill="1" applyBorder="1" applyAlignment="1" applyProtection="1">
      <alignment horizontal="center" vertical="center" wrapText="1"/>
    </xf>
    <xf numFmtId="173" fontId="68" fillId="70" borderId="95" xfId="0" applyNumberFormat="1" applyFont="1" applyFill="1" applyBorder="1" applyAlignment="1" applyProtection="1">
      <alignment horizontal="center" vertical="center" wrapText="1"/>
    </xf>
    <xf numFmtId="0" fontId="68" fillId="75" borderId="95" xfId="0" applyFont="1" applyFill="1" applyBorder="1" applyAlignment="1" applyProtection="1">
      <alignment horizontal="center" vertical="center" textRotation="90" wrapText="1"/>
    </xf>
    <xf numFmtId="0" fontId="68" fillId="71" borderId="95" xfId="0" applyFont="1" applyFill="1" applyBorder="1" applyAlignment="1" applyProtection="1">
      <alignment horizontal="center" vertical="center" textRotation="90" wrapText="1"/>
    </xf>
    <xf numFmtId="0" fontId="69" fillId="82" borderId="95" xfId="0" applyFont="1" applyFill="1" applyBorder="1" applyAlignment="1" applyProtection="1">
      <alignment horizontal="center" vertical="center" wrapText="1"/>
    </xf>
    <xf numFmtId="0" fontId="68" fillId="2" borderId="95" xfId="0" applyFont="1" applyFill="1" applyBorder="1" applyAlignment="1" applyProtection="1">
      <alignment horizontal="center" vertical="center" wrapText="1"/>
    </xf>
    <xf numFmtId="0" fontId="68" fillId="73" borderId="95" xfId="0" applyFont="1" applyFill="1" applyBorder="1" applyAlignment="1" applyProtection="1">
      <alignment vertical="center" textRotation="90" wrapText="1"/>
    </xf>
    <xf numFmtId="0" fontId="68" fillId="77" borderId="95" xfId="0" applyFont="1" applyFill="1" applyBorder="1" applyAlignment="1" applyProtection="1">
      <alignment horizontal="center" vertical="center" textRotation="90" wrapText="1"/>
    </xf>
    <xf numFmtId="0" fontId="69" fillId="13" borderId="95" xfId="0" applyFont="1" applyFill="1" applyBorder="1" applyAlignment="1" applyProtection="1">
      <alignment horizontal="left" vertical="center" wrapText="1"/>
      <protection locked="0"/>
    </xf>
    <xf numFmtId="0" fontId="75" fillId="81" borderId="0" xfId="0" applyFont="1" applyFill="1" applyAlignment="1" applyProtection="1">
      <alignment horizontal="center" vertical="center" wrapText="1"/>
      <protection hidden="1"/>
    </xf>
    <xf numFmtId="0" fontId="51" fillId="5" borderId="17" xfId="0" applyFont="1" applyFill="1" applyBorder="1" applyAlignment="1">
      <alignment wrapText="1"/>
    </xf>
    <xf numFmtId="0" fontId="51" fillId="5" borderId="18" xfId="0" applyFont="1" applyFill="1" applyBorder="1" applyAlignment="1">
      <alignment wrapText="1"/>
    </xf>
    <xf numFmtId="0" fontId="57" fillId="5" borderId="27" xfId="0" applyFont="1" applyFill="1" applyBorder="1" applyAlignment="1">
      <alignment horizontal="center" vertical="center" wrapText="1"/>
    </xf>
    <xf numFmtId="0" fontId="57" fillId="5" borderId="28" xfId="0" applyFont="1" applyFill="1" applyBorder="1" applyAlignment="1">
      <alignment horizontal="center" vertical="center" wrapText="1"/>
    </xf>
    <xf numFmtId="0" fontId="57" fillId="5" borderId="29" xfId="0" applyFont="1" applyFill="1" applyBorder="1" applyAlignment="1">
      <alignment horizontal="center" vertical="center" wrapText="1"/>
    </xf>
    <xf numFmtId="0" fontId="58" fillId="3" borderId="33" xfId="0" applyFont="1" applyFill="1" applyBorder="1" applyAlignment="1">
      <alignment vertical="center" wrapText="1"/>
    </xf>
    <xf numFmtId="0" fontId="58" fillId="3" borderId="26" xfId="0" applyFont="1" applyFill="1" applyBorder="1" applyAlignment="1">
      <alignment vertical="center" wrapText="1"/>
    </xf>
    <xf numFmtId="0" fontId="51" fillId="5" borderId="21" xfId="0" applyFont="1" applyFill="1" applyBorder="1" applyAlignment="1">
      <alignment wrapText="1"/>
    </xf>
    <xf numFmtId="0" fontId="51" fillId="5" borderId="22" xfId="0" applyFont="1" applyFill="1" applyBorder="1" applyAlignment="1">
      <alignment wrapText="1"/>
    </xf>
    <xf numFmtId="0" fontId="51" fillId="5" borderId="1" xfId="0" applyFont="1" applyFill="1" applyBorder="1" applyAlignment="1">
      <alignment wrapText="1"/>
    </xf>
    <xf numFmtId="0" fontId="51" fillId="5" borderId="15" xfId="0" applyFont="1" applyFill="1" applyBorder="1" applyAlignment="1">
      <alignment wrapText="1"/>
    </xf>
    <xf numFmtId="0" fontId="83" fillId="5" borderId="19" xfId="0" applyFont="1" applyFill="1" applyBorder="1" applyAlignment="1">
      <alignment horizontal="center" vertical="center" wrapText="1" readingOrder="1"/>
    </xf>
    <xf numFmtId="0" fontId="83" fillId="5" borderId="88" xfId="0" applyFont="1" applyFill="1" applyBorder="1" applyAlignment="1">
      <alignment horizontal="center" vertical="center" wrapText="1" readingOrder="1"/>
    </xf>
    <xf numFmtId="0" fontId="83" fillId="5" borderId="89" xfId="0" applyFont="1" applyFill="1" applyBorder="1" applyAlignment="1">
      <alignment horizontal="center" vertical="center" wrapText="1" readingOrder="1"/>
    </xf>
    <xf numFmtId="0" fontId="82" fillId="3" borderId="33" xfId="0" applyFont="1" applyFill="1" applyBorder="1" applyAlignment="1">
      <alignment horizontal="center" vertical="center" wrapText="1" readingOrder="1"/>
    </xf>
    <xf numFmtId="0" fontId="72" fillId="5" borderId="12" xfId="0" applyFont="1" applyFill="1" applyBorder="1" applyAlignment="1">
      <alignment horizontal="left" vertical="center" wrapText="1" indent="1" readingOrder="1"/>
    </xf>
    <xf numFmtId="0" fontId="72" fillId="5" borderId="1" xfId="0" applyFont="1" applyFill="1" applyBorder="1" applyAlignment="1">
      <alignment horizontal="left" vertical="center" wrapText="1" indent="1" readingOrder="1"/>
    </xf>
    <xf numFmtId="0" fontId="72" fillId="5" borderId="17" xfId="0" applyFont="1" applyFill="1" applyBorder="1" applyAlignment="1">
      <alignment horizontal="left" vertical="center" wrapText="1" indent="1" readingOrder="1"/>
    </xf>
    <xf numFmtId="0" fontId="58" fillId="5" borderId="3" xfId="0" applyFont="1" applyFill="1" applyBorder="1" applyAlignment="1">
      <alignment horizontal="left" vertical="center"/>
    </xf>
    <xf numFmtId="0" fontId="58" fillId="5" borderId="2" xfId="0" applyFont="1" applyFill="1" applyBorder="1" applyAlignment="1">
      <alignment horizontal="left" vertical="center"/>
    </xf>
    <xf numFmtId="0" fontId="69" fillId="5" borderId="8" xfId="0" applyFont="1" applyFill="1" applyBorder="1" applyAlignment="1">
      <alignment horizontal="left" vertical="top" wrapText="1"/>
    </xf>
    <xf numFmtId="0" fontId="69" fillId="5" borderId="0" xfId="0" applyFont="1" applyFill="1" applyBorder="1" applyAlignment="1">
      <alignment horizontal="left" vertical="top" wrapText="1"/>
    </xf>
    <xf numFmtId="0" fontId="69" fillId="5" borderId="30" xfId="0" applyFont="1" applyFill="1" applyBorder="1" applyAlignment="1">
      <alignment horizontal="left" vertical="top" wrapText="1"/>
    </xf>
    <xf numFmtId="0" fontId="69" fillId="5" borderId="27" xfId="0" applyFont="1" applyFill="1" applyBorder="1" applyAlignment="1" applyProtection="1">
      <alignment horizontal="left" vertical="center"/>
      <protection locked="0"/>
    </xf>
    <xf numFmtId="0" fontId="69" fillId="5" borderId="28" xfId="0" applyFont="1" applyFill="1" applyBorder="1" applyAlignment="1" applyProtection="1">
      <alignment horizontal="left" vertical="center"/>
      <protection locked="0"/>
    </xf>
    <xf numFmtId="0" fontId="69" fillId="5" borderId="29" xfId="0" applyFont="1" applyFill="1" applyBorder="1" applyAlignment="1" applyProtection="1">
      <alignment horizontal="left" vertical="center"/>
      <protection locked="0"/>
    </xf>
    <xf numFmtId="0" fontId="62" fillId="5" borderId="5" xfId="0" applyFont="1" applyFill="1" applyBorder="1" applyAlignment="1">
      <alignment horizontal="left" vertical="center"/>
    </xf>
    <xf numFmtId="0" fontId="62" fillId="5" borderId="6" xfId="0" applyFont="1" applyFill="1" applyBorder="1" applyAlignment="1">
      <alignment horizontal="left" vertical="center"/>
    </xf>
    <xf numFmtId="0" fontId="62" fillId="5" borderId="24" xfId="0" applyFont="1" applyFill="1" applyBorder="1" applyAlignment="1">
      <alignment horizontal="left" vertical="center"/>
    </xf>
    <xf numFmtId="0" fontId="68" fillId="5" borderId="1" xfId="0" applyFont="1" applyFill="1" applyBorder="1" applyAlignment="1" applyProtection="1">
      <alignment horizontal="center" vertical="center" textRotation="90" wrapText="1"/>
    </xf>
    <xf numFmtId="0" fontId="69" fillId="0" borderId="95" xfId="0" applyFont="1" applyBorder="1" applyAlignment="1" applyProtection="1">
      <alignment horizontal="left" vertical="center" wrapText="1"/>
    </xf>
    <xf numFmtId="0" fontId="88" fillId="72" borderId="95" xfId="0" applyFont="1" applyFill="1" applyBorder="1" applyAlignment="1" applyProtection="1">
      <alignment horizontal="center" vertical="center" textRotation="90" wrapText="1"/>
    </xf>
    <xf numFmtId="0" fontId="69" fillId="0" borderId="95" xfId="0" applyFont="1" applyFill="1" applyBorder="1" applyAlignment="1" applyProtection="1">
      <alignment horizontal="left" vertical="center" wrapText="1"/>
    </xf>
    <xf numFmtId="0" fontId="93" fillId="75" borderId="95" xfId="0" applyFont="1" applyFill="1" applyBorder="1" applyAlignment="1" applyProtection="1">
      <alignment horizontal="center" vertical="center" textRotation="90" wrapText="1"/>
    </xf>
    <xf numFmtId="0" fontId="90" fillId="75" borderId="95" xfId="0" applyFont="1" applyFill="1" applyBorder="1" applyAlignment="1" applyProtection="1">
      <alignment horizontal="left" vertical="center" wrapText="1"/>
    </xf>
    <xf numFmtId="3" fontId="69" fillId="11" borderId="95" xfId="0" applyNumberFormat="1" applyFont="1" applyFill="1" applyBorder="1" applyAlignment="1" applyProtection="1">
      <alignment horizontal="center" vertical="center" wrapText="1"/>
      <protection locked="0"/>
    </xf>
    <xf numFmtId="0" fontId="69" fillId="14" borderId="95" xfId="0" applyFont="1" applyFill="1" applyBorder="1" applyAlignment="1" applyProtection="1">
      <alignment horizontal="center" vertical="center" wrapText="1"/>
      <protection locked="0"/>
    </xf>
    <xf numFmtId="0" fontId="69" fillId="11" borderId="95" xfId="0" applyFont="1" applyFill="1" applyBorder="1" applyAlignment="1" applyProtection="1">
      <alignment horizontal="center" vertical="center" wrapText="1"/>
      <protection locked="0"/>
    </xf>
    <xf numFmtId="0" fontId="85" fillId="71" borderId="95" xfId="0" applyFont="1" applyFill="1" applyBorder="1" applyAlignment="1" applyProtection="1">
      <alignment horizontal="left" vertical="center" wrapText="1"/>
    </xf>
    <xf numFmtId="0" fontId="58" fillId="71" borderId="95" xfId="0" applyFont="1" applyFill="1" applyBorder="1" applyAlignment="1" applyProtection="1">
      <alignment horizontal="left" vertical="center" wrapText="1"/>
    </xf>
    <xf numFmtId="0" fontId="58" fillId="72" borderId="95" xfId="0" applyFont="1" applyFill="1" applyBorder="1" applyAlignment="1" applyProtection="1">
      <alignment horizontal="left" vertical="center" wrapText="1"/>
    </xf>
    <xf numFmtId="2" fontId="69" fillId="11" borderId="95" xfId="0" applyNumberFormat="1" applyFont="1" applyFill="1" applyBorder="1" applyAlignment="1" applyProtection="1">
      <alignment horizontal="center" vertical="center" wrapText="1"/>
      <protection locked="0"/>
    </xf>
    <xf numFmtId="0" fontId="89" fillId="73" borderId="95" xfId="0" applyFont="1" applyFill="1" applyBorder="1" applyAlignment="1" applyProtection="1">
      <alignment horizontal="center" vertical="center" textRotation="90" wrapText="1"/>
    </xf>
    <xf numFmtId="0" fontId="68" fillId="0" borderId="95" xfId="0" applyFont="1" applyBorder="1" applyAlignment="1" applyProtection="1">
      <alignment horizontal="center" vertical="center" textRotation="90" wrapText="1"/>
    </xf>
    <xf numFmtId="0" fontId="69" fillId="11" borderId="95" xfId="0" applyFont="1" applyFill="1" applyBorder="1" applyAlignment="1" applyProtection="1">
      <alignment horizontal="left" vertical="center" wrapText="1"/>
      <protection locked="0"/>
    </xf>
    <xf numFmtId="0" fontId="86" fillId="83" borderId="95" xfId="0" applyFont="1" applyFill="1" applyBorder="1" applyAlignment="1" applyProtection="1">
      <alignment horizontal="center" vertical="center" wrapText="1"/>
    </xf>
    <xf numFmtId="9" fontId="69" fillId="14" borderId="95" xfId="0" applyNumberFormat="1" applyFont="1" applyFill="1" applyBorder="1" applyAlignment="1" applyProtection="1">
      <alignment horizontal="center" vertical="center" wrapText="1"/>
      <protection locked="0"/>
    </xf>
    <xf numFmtId="9" fontId="69" fillId="11" borderId="95" xfId="2" applyFont="1" applyFill="1" applyBorder="1" applyAlignment="1" applyProtection="1">
      <alignment horizontal="center" vertical="center" wrapText="1"/>
      <protection locked="0"/>
    </xf>
    <xf numFmtId="3" fontId="69" fillId="14" borderId="95" xfId="0" applyNumberFormat="1" applyFont="1" applyFill="1" applyBorder="1" applyAlignment="1" applyProtection="1">
      <alignment horizontal="center" vertical="center" wrapText="1"/>
      <protection locked="0"/>
    </xf>
    <xf numFmtId="167" fontId="69" fillId="82" borderId="95" xfId="0" applyNumberFormat="1" applyFont="1" applyFill="1" applyBorder="1" applyAlignment="1" applyProtection="1">
      <alignment horizontal="center" vertical="center" wrapText="1"/>
    </xf>
    <xf numFmtId="164" fontId="69" fillId="82" borderId="95" xfId="0" applyNumberFormat="1" applyFont="1" applyFill="1" applyBorder="1" applyAlignment="1" applyProtection="1">
      <alignment horizontal="center" vertical="center" wrapText="1"/>
    </xf>
    <xf numFmtId="9" fontId="69" fillId="82" borderId="95" xfId="0" applyNumberFormat="1" applyFont="1" applyFill="1" applyBorder="1" applyAlignment="1" applyProtection="1">
      <alignment horizontal="center" vertical="center" wrapText="1"/>
    </xf>
    <xf numFmtId="0" fontId="88" fillId="77" borderId="95" xfId="0" applyFont="1" applyFill="1" applyBorder="1" applyAlignment="1" applyProtection="1">
      <alignment horizontal="center" vertical="center" textRotation="90" wrapText="1"/>
    </xf>
    <xf numFmtId="0" fontId="88" fillId="71" borderId="95" xfId="0" applyFont="1" applyFill="1" applyBorder="1" applyAlignment="1" applyProtection="1">
      <alignment horizontal="center" vertical="center" textRotation="90" wrapText="1"/>
    </xf>
    <xf numFmtId="0" fontId="95" fillId="81" borderId="94" xfId="0" applyFont="1" applyFill="1" applyBorder="1" applyAlignment="1" applyProtection="1">
      <alignment horizontal="center" vertical="center" textRotation="90" wrapText="1"/>
    </xf>
    <xf numFmtId="0" fontId="95" fillId="81" borderId="82" xfId="0" applyFont="1" applyFill="1" applyBorder="1" applyAlignment="1" applyProtection="1">
      <alignment horizontal="center" vertical="center" textRotation="90" wrapText="1"/>
    </xf>
    <xf numFmtId="0" fontId="95" fillId="81" borderId="84" xfId="0" applyFont="1" applyFill="1" applyBorder="1" applyAlignment="1" applyProtection="1">
      <alignment horizontal="center" vertical="center" textRotation="90" wrapText="1"/>
    </xf>
    <xf numFmtId="0" fontId="58" fillId="77" borderId="95" xfId="0" applyFont="1" applyFill="1" applyBorder="1" applyAlignment="1" applyProtection="1">
      <alignment horizontal="left" vertical="center" wrapText="1"/>
    </xf>
    <xf numFmtId="0" fontId="58" fillId="73" borderId="95" xfId="0" applyFont="1" applyFill="1" applyBorder="1" applyAlignment="1" applyProtection="1">
      <alignment vertical="center" wrapText="1"/>
    </xf>
    <xf numFmtId="3" fontId="69" fillId="5" borderId="95" xfId="0" applyNumberFormat="1" applyFont="1" applyFill="1" applyBorder="1" applyAlignment="1" applyProtection="1">
      <alignment horizontal="center" vertical="center" wrapText="1"/>
      <protection locked="0"/>
    </xf>
    <xf numFmtId="1" fontId="69" fillId="11" borderId="95" xfId="0" applyNumberFormat="1" applyFont="1" applyFill="1" applyBorder="1" applyAlignment="1" applyProtection="1">
      <alignment horizontal="center" vertical="center" wrapText="1"/>
      <protection locked="0"/>
    </xf>
    <xf numFmtId="0" fontId="69" fillId="14" borderId="95" xfId="0" applyFont="1" applyFill="1" applyBorder="1" applyAlignment="1" applyProtection="1">
      <alignment horizontal="center" vertical="center"/>
      <protection locked="0"/>
    </xf>
    <xf numFmtId="0" fontId="58" fillId="75" borderId="95" xfId="0" applyFont="1" applyFill="1" applyBorder="1" applyAlignment="1" applyProtection="1">
      <alignment horizontal="left" vertical="center" wrapText="1"/>
    </xf>
    <xf numFmtId="165" fontId="69" fillId="82" borderId="95" xfId="0" applyNumberFormat="1" applyFont="1" applyFill="1" applyBorder="1" applyAlignment="1" applyProtection="1">
      <alignment horizontal="center" vertical="center" wrapText="1"/>
    </xf>
    <xf numFmtId="2" fontId="69" fillId="82" borderId="95" xfId="0" applyNumberFormat="1" applyFont="1" applyFill="1" applyBorder="1" applyAlignment="1" applyProtection="1">
      <alignment horizontal="center" vertical="center" wrapText="1"/>
    </xf>
    <xf numFmtId="0" fontId="69" fillId="82" borderId="95" xfId="0" applyFont="1" applyFill="1" applyBorder="1" applyAlignment="1" applyProtection="1">
      <alignment horizontal="center" vertical="center" wrapText="1"/>
    </xf>
    <xf numFmtId="0" fontId="88" fillId="75" borderId="95" xfId="0" applyFont="1" applyFill="1" applyBorder="1" applyAlignment="1" applyProtection="1">
      <alignment horizontal="center" vertical="center" textRotation="90" wrapText="1"/>
    </xf>
    <xf numFmtId="0" fontId="98" fillId="74" borderId="82" xfId="0" applyFont="1" applyFill="1" applyBorder="1" applyAlignment="1" applyProtection="1">
      <alignment horizontal="center" vertical="center" textRotation="90" wrapText="1"/>
    </xf>
    <xf numFmtId="0" fontId="98" fillId="74" borderId="84" xfId="0" applyFont="1" applyFill="1" applyBorder="1" applyAlignment="1" applyProtection="1">
      <alignment horizontal="center" vertical="center" textRotation="90" wrapText="1"/>
    </xf>
    <xf numFmtId="0" fontId="68" fillId="71" borderId="95" xfId="0" applyFont="1" applyFill="1" applyBorder="1" applyAlignment="1" applyProtection="1">
      <alignment vertical="center" wrapText="1"/>
    </xf>
    <xf numFmtId="0" fontId="98" fillId="74" borderId="14" xfId="0" applyFont="1" applyFill="1" applyBorder="1" applyAlignment="1" applyProtection="1">
      <alignment horizontal="center" vertical="center" textRotation="90" wrapText="1"/>
    </xf>
    <xf numFmtId="0" fontId="98" fillId="74" borderId="16" xfId="0" applyFont="1" applyFill="1" applyBorder="1" applyAlignment="1" applyProtection="1">
      <alignment horizontal="center" vertical="center" textRotation="90" wrapText="1"/>
    </xf>
    <xf numFmtId="0" fontId="51" fillId="5" borderId="0" xfId="0" applyFont="1" applyFill="1" applyAlignment="1" applyProtection="1">
      <alignment horizontal="center" vertical="center" wrapText="1"/>
    </xf>
    <xf numFmtId="0" fontId="85" fillId="73" borderId="95" xfId="0" applyFont="1" applyFill="1" applyBorder="1" applyAlignment="1" applyProtection="1">
      <alignment horizontal="left" vertical="center" wrapText="1"/>
    </xf>
    <xf numFmtId="167" fontId="69" fillId="11" borderId="95" xfId="0" applyNumberFormat="1" applyFont="1" applyFill="1" applyBorder="1" applyAlignment="1" applyProtection="1">
      <alignment horizontal="center" vertical="center" wrapText="1"/>
      <protection locked="0"/>
    </xf>
    <xf numFmtId="0" fontId="68" fillId="71" borderId="95" xfId="0" applyFont="1" applyFill="1" applyBorder="1" applyAlignment="1" applyProtection="1">
      <alignment horizontal="left" vertical="center" wrapText="1"/>
    </xf>
    <xf numFmtId="0" fontId="68" fillId="75" borderId="95" xfId="0" applyFont="1" applyFill="1" applyBorder="1" applyAlignment="1" applyProtection="1">
      <alignment horizontal="left" vertical="center" wrapText="1"/>
    </xf>
    <xf numFmtId="0" fontId="62" fillId="5" borderId="27" xfId="0" applyFont="1" applyFill="1" applyBorder="1" applyAlignment="1">
      <alignment horizontal="left" vertical="center" wrapText="1"/>
    </xf>
    <xf numFmtId="0" fontId="62" fillId="5" borderId="71" xfId="0" applyFont="1" applyFill="1" applyBorder="1" applyAlignment="1">
      <alignment horizontal="left" vertical="center" wrapText="1"/>
    </xf>
    <xf numFmtId="0" fontId="62" fillId="5" borderId="27" xfId="0" applyFont="1" applyFill="1" applyBorder="1" applyAlignment="1">
      <alignment horizontal="center" vertical="center" wrapText="1"/>
    </xf>
    <xf numFmtId="0" fontId="62" fillId="5" borderId="71" xfId="0" applyFont="1" applyFill="1" applyBorder="1" applyAlignment="1">
      <alignment horizontal="center" vertical="center" wrapText="1"/>
    </xf>
    <xf numFmtId="0" fontId="62" fillId="72" borderId="43" xfId="0" applyFont="1" applyFill="1" applyBorder="1" applyAlignment="1">
      <alignment vertical="center" wrapText="1"/>
    </xf>
    <xf numFmtId="0" fontId="62" fillId="72" borderId="38" xfId="0" applyFont="1" applyFill="1" applyBorder="1" applyAlignment="1">
      <alignment vertical="center" wrapText="1"/>
    </xf>
    <xf numFmtId="0" fontId="62" fillId="71" borderId="44" xfId="0" applyFont="1" applyFill="1" applyBorder="1" applyAlignment="1">
      <alignment vertical="center" wrapText="1"/>
    </xf>
    <xf numFmtId="0" fontId="62" fillId="71" borderId="2" xfId="0" applyFont="1" applyFill="1" applyBorder="1" applyAlignment="1">
      <alignment vertical="center" wrapText="1"/>
    </xf>
    <xf numFmtId="0" fontId="62" fillId="73" borderId="44" xfId="0" applyFont="1" applyFill="1" applyBorder="1" applyAlignment="1">
      <alignment vertical="center" wrapText="1"/>
    </xf>
    <xf numFmtId="0" fontId="62" fillId="73" borderId="2" xfId="0" applyFont="1" applyFill="1" applyBorder="1" applyAlignment="1">
      <alignment vertical="center" wrapText="1"/>
    </xf>
    <xf numFmtId="0" fontId="64" fillId="75" borderId="44" xfId="0" applyFont="1" applyFill="1" applyBorder="1" applyAlignment="1">
      <alignment vertical="center" wrapText="1"/>
    </xf>
    <xf numFmtId="0" fontId="64" fillId="75" borderId="2" xfId="0" applyFont="1" applyFill="1" applyBorder="1" applyAlignment="1">
      <alignment vertical="center" wrapText="1"/>
    </xf>
    <xf numFmtId="0" fontId="62" fillId="77" borderId="31" xfId="0" applyFont="1" applyFill="1" applyBorder="1" applyAlignment="1">
      <alignment vertical="center" wrapText="1"/>
    </xf>
    <xf numFmtId="0" fontId="62" fillId="77" borderId="39" xfId="0" applyFont="1" applyFill="1" applyBorder="1" applyAlignment="1">
      <alignment vertical="center" wrapText="1"/>
    </xf>
    <xf numFmtId="0" fontId="60" fillId="5" borderId="28" xfId="0" applyFont="1" applyFill="1" applyBorder="1" applyAlignment="1">
      <alignment vertical="center"/>
    </xf>
    <xf numFmtId="0" fontId="55" fillId="5" borderId="76" xfId="0" applyFont="1" applyFill="1" applyBorder="1" applyAlignment="1">
      <alignment horizontal="center" vertical="center" wrapText="1"/>
    </xf>
    <xf numFmtId="0" fontId="55" fillId="5" borderId="24" xfId="0" applyFont="1" applyFill="1" applyBorder="1" applyAlignment="1">
      <alignment horizontal="center" vertical="center" wrapText="1"/>
    </xf>
    <xf numFmtId="0" fontId="62" fillId="5" borderId="8" xfId="0" applyFont="1" applyFill="1" applyBorder="1" applyAlignment="1">
      <alignment horizontal="center" vertical="center" wrapText="1"/>
    </xf>
    <xf numFmtId="0" fontId="62" fillId="5" borderId="47" xfId="0" applyFont="1" applyFill="1" applyBorder="1" applyAlignment="1">
      <alignment horizontal="center" vertical="center" wrapText="1"/>
    </xf>
    <xf numFmtId="0" fontId="62" fillId="9" borderId="77" xfId="0" applyFont="1" applyFill="1" applyBorder="1" applyAlignment="1">
      <alignment horizontal="center" vertical="center" wrapText="1"/>
    </xf>
    <xf numFmtId="0" fontId="62" fillId="9" borderId="71" xfId="0" applyFont="1" applyFill="1" applyBorder="1" applyAlignment="1">
      <alignment horizontal="center" vertical="center" wrapText="1"/>
    </xf>
    <xf numFmtId="0" fontId="55" fillId="10" borderId="76" xfId="0" applyFont="1" applyFill="1" applyBorder="1" applyAlignment="1">
      <alignment horizontal="center" vertical="center" wrapText="1"/>
    </xf>
    <xf numFmtId="0" fontId="55" fillId="10" borderId="24" xfId="0" applyFont="1" applyFill="1" applyBorder="1" applyAlignment="1">
      <alignment horizontal="center" vertical="center" wrapText="1"/>
    </xf>
    <xf numFmtId="0" fontId="66" fillId="5" borderId="27" xfId="0" applyFont="1" applyFill="1" applyBorder="1" applyAlignment="1">
      <alignment horizontal="left" vertical="center" wrapText="1"/>
    </xf>
    <xf numFmtId="0" fontId="66" fillId="5" borderId="28" xfId="0" applyFont="1" applyFill="1" applyBorder="1" applyAlignment="1">
      <alignment horizontal="left" vertical="center" wrapText="1"/>
    </xf>
    <xf numFmtId="0" fontId="66" fillId="5" borderId="29" xfId="0" applyFont="1" applyFill="1" applyBorder="1" applyAlignment="1">
      <alignment horizontal="left" vertical="center" wrapText="1"/>
    </xf>
    <xf numFmtId="0" fontId="100" fillId="81" borderId="5" xfId="0" applyFont="1" applyFill="1" applyBorder="1" applyAlignment="1">
      <alignment horizontal="center" vertical="center" wrapText="1"/>
    </xf>
    <xf numFmtId="0" fontId="100" fillId="81" borderId="42" xfId="0" applyFont="1" applyFill="1" applyBorder="1" applyAlignment="1">
      <alignment horizontal="center" vertical="center" wrapText="1"/>
    </xf>
    <xf numFmtId="0" fontId="62" fillId="81" borderId="7" xfId="0" applyFont="1" applyFill="1" applyBorder="1" applyAlignment="1">
      <alignment horizontal="center" vertical="center" wrapText="1"/>
    </xf>
    <xf numFmtId="0" fontId="62" fillId="81" borderId="48" xfId="0" applyFont="1" applyFill="1" applyBorder="1" applyAlignment="1">
      <alignment horizontal="center" vertical="center" wrapText="1"/>
    </xf>
    <xf numFmtId="0" fontId="62" fillId="72" borderId="44" xfId="0" applyFont="1" applyFill="1" applyBorder="1" applyAlignment="1">
      <alignment horizontal="left" vertical="center" wrapText="1"/>
    </xf>
    <xf numFmtId="0" fontId="62" fillId="72" borderId="2" xfId="0" applyFont="1" applyFill="1" applyBorder="1" applyAlignment="1">
      <alignment horizontal="left" vertical="center" wrapText="1"/>
    </xf>
    <xf numFmtId="0" fontId="62" fillId="71" borderId="44" xfId="0" applyFont="1" applyFill="1" applyBorder="1" applyAlignment="1">
      <alignment horizontal="left" vertical="center" wrapText="1"/>
    </xf>
    <xf numFmtId="0" fontId="62" fillId="71" borderId="2" xfId="0" applyFont="1" applyFill="1" applyBorder="1" applyAlignment="1">
      <alignment horizontal="left" vertical="center" wrapText="1"/>
    </xf>
    <xf numFmtId="0" fontId="62" fillId="73" borderId="44" xfId="0" applyFont="1" applyFill="1" applyBorder="1" applyAlignment="1">
      <alignment horizontal="left" vertical="center" wrapText="1"/>
    </xf>
    <xf numFmtId="0" fontId="62" fillId="73" borderId="2" xfId="0" applyFont="1" applyFill="1" applyBorder="1" applyAlignment="1">
      <alignment horizontal="left" vertical="center" wrapText="1"/>
    </xf>
    <xf numFmtId="0" fontId="64" fillId="75" borderId="44" xfId="0" applyFont="1" applyFill="1" applyBorder="1" applyAlignment="1">
      <alignment horizontal="left" vertical="center" wrapText="1"/>
    </xf>
    <xf numFmtId="0" fontId="64" fillId="75" borderId="2" xfId="0" applyFont="1" applyFill="1" applyBorder="1" applyAlignment="1">
      <alignment horizontal="left" vertical="center" wrapText="1"/>
    </xf>
    <xf numFmtId="0" fontId="62" fillId="77" borderId="31" xfId="0" applyFont="1" applyFill="1" applyBorder="1" applyAlignment="1">
      <alignment horizontal="left" vertical="center" wrapText="1"/>
    </xf>
    <xf numFmtId="0" fontId="62" fillId="77" borderId="39" xfId="0" applyFont="1" applyFill="1" applyBorder="1" applyAlignment="1">
      <alignment horizontal="left" vertical="center" wrapText="1"/>
    </xf>
    <xf numFmtId="0" fontId="62" fillId="2" borderId="27" xfId="0" applyFont="1" applyFill="1" applyBorder="1" applyAlignment="1">
      <alignment horizontal="left" vertical="center" wrapText="1"/>
    </xf>
    <xf numFmtId="0" fontId="62" fillId="2" borderId="71" xfId="0" applyFont="1" applyFill="1" applyBorder="1" applyAlignment="1">
      <alignment horizontal="left" vertical="center" wrapText="1"/>
    </xf>
    <xf numFmtId="0" fontId="62" fillId="5" borderId="5" xfId="0" applyFont="1" applyFill="1" applyBorder="1" applyAlignment="1">
      <alignment horizontal="center" vertical="center" wrapText="1"/>
    </xf>
    <xf numFmtId="0" fontId="62" fillId="5" borderId="42" xfId="0" applyFont="1" applyFill="1" applyBorder="1" applyAlignment="1">
      <alignment horizontal="center" vertical="center" wrapText="1"/>
    </xf>
    <xf numFmtId="0" fontId="62" fillId="5" borderId="77" xfId="0" applyFont="1" applyFill="1" applyBorder="1" applyAlignment="1">
      <alignment horizontal="center" vertical="center" wrapText="1"/>
    </xf>
    <xf numFmtId="0" fontId="1" fillId="72" borderId="0" xfId="0" applyFont="1" applyFill="1" applyAlignment="1">
      <alignment horizontal="center" wrapText="1"/>
    </xf>
    <xf numFmtId="0" fontId="7" fillId="71" borderId="0" xfId="0" applyFont="1" applyFill="1" applyAlignment="1">
      <alignment horizontal="center" wrapText="1"/>
    </xf>
    <xf numFmtId="0" fontId="0" fillId="0" borderId="1" xfId="0" applyBorder="1" applyAlignment="1">
      <alignment horizontal="left" vertical="top" wrapText="1"/>
    </xf>
    <xf numFmtId="0" fontId="78" fillId="0" borderId="5" xfId="0" applyFont="1" applyBorder="1" applyAlignment="1">
      <alignment horizontal="left"/>
    </xf>
    <xf numFmtId="0" fontId="78" fillId="0" borderId="6" xfId="0" applyFont="1" applyBorder="1" applyAlignment="1">
      <alignment horizontal="left"/>
    </xf>
    <xf numFmtId="0" fontId="78" fillId="0" borderId="24" xfId="0" applyFont="1" applyBorder="1" applyAlignment="1">
      <alignment horizontal="left"/>
    </xf>
    <xf numFmtId="0" fontId="78" fillId="0" borderId="9" xfId="0" applyFont="1" applyBorder="1" applyAlignment="1">
      <alignment horizontal="left"/>
    </xf>
    <xf numFmtId="0" fontId="78" fillId="0" borderId="10" xfId="0" applyFont="1" applyBorder="1" applyAlignment="1">
      <alignment horizontal="left"/>
    </xf>
    <xf numFmtId="0" fontId="78" fillId="0" borderId="61" xfId="0" applyFont="1" applyBorder="1" applyAlignment="1">
      <alignment horizontal="left"/>
    </xf>
    <xf numFmtId="0" fontId="0" fillId="0" borderId="16" xfId="0" applyBorder="1" applyAlignment="1">
      <alignment horizontal="left" vertical="top" wrapText="1"/>
    </xf>
    <xf numFmtId="0" fontId="0" fillId="0" borderId="17" xfId="0" applyBorder="1" applyAlignment="1">
      <alignment horizontal="left" vertical="top" wrapText="1"/>
    </xf>
    <xf numFmtId="0" fontId="15" fillId="7" borderId="0" xfId="3" applyFont="1" applyFill="1" applyAlignment="1">
      <alignment horizontal="left"/>
    </xf>
    <xf numFmtId="0" fontId="12" fillId="69" borderId="40" xfId="0" applyFont="1" applyFill="1" applyBorder="1" applyAlignment="1">
      <alignment horizontal="center" vertical="center" wrapText="1"/>
    </xf>
    <xf numFmtId="0" fontId="12" fillId="69" borderId="23" xfId="0" applyFont="1" applyFill="1" applyBorder="1" applyAlignment="1">
      <alignment horizontal="center" vertical="center" wrapText="1"/>
    </xf>
    <xf numFmtId="0" fontId="0" fillId="0" borderId="95" xfId="0" applyFont="1" applyFill="1" applyBorder="1" applyAlignment="1">
      <alignment vertical="center"/>
    </xf>
    <xf numFmtId="0" fontId="1" fillId="0" borderId="20" xfId="0" applyFont="1" applyFill="1" applyBorder="1" applyAlignment="1">
      <alignment vertical="center"/>
    </xf>
    <xf numFmtId="0" fontId="1" fillId="0" borderId="21" xfId="0" applyFont="1" applyFill="1" applyBorder="1" applyAlignment="1">
      <alignment vertical="center"/>
    </xf>
    <xf numFmtId="0" fontId="1" fillId="0" borderId="99" xfId="0" applyFont="1" applyFill="1" applyBorder="1" applyAlignment="1">
      <alignment vertical="center" wrapText="1"/>
    </xf>
    <xf numFmtId="0" fontId="1" fillId="0" borderId="21" xfId="0" applyFont="1" applyFill="1" applyBorder="1" applyAlignment="1">
      <alignment horizontal="right" vertical="center"/>
    </xf>
    <xf numFmtId="0" fontId="1" fillId="0" borderId="100" xfId="0" applyFont="1" applyFill="1" applyBorder="1" applyAlignment="1">
      <alignment vertical="center"/>
    </xf>
    <xf numFmtId="0" fontId="69" fillId="82" borderId="95" xfId="0" applyFont="1" applyFill="1" applyBorder="1" applyAlignment="1">
      <alignment horizontal="center" vertical="center" wrapText="1"/>
    </xf>
    <xf numFmtId="4" fontId="68" fillId="70" borderId="95" xfId="0" applyNumberFormat="1" applyFont="1" applyFill="1" applyBorder="1" applyAlignment="1" applyProtection="1">
      <alignment horizontal="center" vertical="center" wrapText="1"/>
    </xf>
  </cellXfs>
  <cellStyles count="290">
    <cellStyle name="20% - Accent1 10" xfId="4" xr:uid="{00000000-0005-0000-0000-000000000000}"/>
    <cellStyle name="20% - Accent1 11" xfId="5" xr:uid="{00000000-0005-0000-0000-000001000000}"/>
    <cellStyle name="20% - Accent1 12" xfId="6" xr:uid="{00000000-0005-0000-0000-000002000000}"/>
    <cellStyle name="20% - Accent1 13" xfId="7" xr:uid="{00000000-0005-0000-0000-000003000000}"/>
    <cellStyle name="20% - Accent1 14" xfId="8" xr:uid="{00000000-0005-0000-0000-000004000000}"/>
    <cellStyle name="20% - Accent1 15" xfId="9" xr:uid="{00000000-0005-0000-0000-000005000000}"/>
    <cellStyle name="20% - Accent1 16" xfId="10" xr:uid="{00000000-0005-0000-0000-000006000000}"/>
    <cellStyle name="20% - Accent1 2" xfId="11" xr:uid="{00000000-0005-0000-0000-000007000000}"/>
    <cellStyle name="20% - Accent1 3" xfId="12" xr:uid="{00000000-0005-0000-0000-000008000000}"/>
    <cellStyle name="20% - Accent1 4" xfId="13" xr:uid="{00000000-0005-0000-0000-000009000000}"/>
    <cellStyle name="20% - Accent1 5" xfId="14" xr:uid="{00000000-0005-0000-0000-00000A000000}"/>
    <cellStyle name="20% - Accent1 6" xfId="15" xr:uid="{00000000-0005-0000-0000-00000B000000}"/>
    <cellStyle name="20% - Accent1 7" xfId="16" xr:uid="{00000000-0005-0000-0000-00000C000000}"/>
    <cellStyle name="20% - Accent1 8" xfId="17" xr:uid="{00000000-0005-0000-0000-00000D000000}"/>
    <cellStyle name="20% - Accent1 9" xfId="18" xr:uid="{00000000-0005-0000-0000-00000E000000}"/>
    <cellStyle name="20% - Accent2 10" xfId="19" xr:uid="{00000000-0005-0000-0000-00000F000000}"/>
    <cellStyle name="20% - Accent2 11" xfId="20" xr:uid="{00000000-0005-0000-0000-000010000000}"/>
    <cellStyle name="20% - Accent2 12" xfId="21" xr:uid="{00000000-0005-0000-0000-000011000000}"/>
    <cellStyle name="20% - Accent2 13" xfId="22" xr:uid="{00000000-0005-0000-0000-000012000000}"/>
    <cellStyle name="20% - Accent2 14" xfId="23" xr:uid="{00000000-0005-0000-0000-000013000000}"/>
    <cellStyle name="20% - Accent2 15" xfId="24" xr:uid="{00000000-0005-0000-0000-000014000000}"/>
    <cellStyle name="20% - Accent2 16" xfId="25" xr:uid="{00000000-0005-0000-0000-000015000000}"/>
    <cellStyle name="20% - Accent2 2" xfId="26" xr:uid="{00000000-0005-0000-0000-000016000000}"/>
    <cellStyle name="20% - Accent2 3" xfId="27" xr:uid="{00000000-0005-0000-0000-000017000000}"/>
    <cellStyle name="20% - Accent2 4" xfId="28" xr:uid="{00000000-0005-0000-0000-000018000000}"/>
    <cellStyle name="20% - Accent2 5" xfId="29" xr:uid="{00000000-0005-0000-0000-000019000000}"/>
    <cellStyle name="20% - Accent2 6" xfId="30" xr:uid="{00000000-0005-0000-0000-00001A000000}"/>
    <cellStyle name="20% - Accent2 7" xfId="31" xr:uid="{00000000-0005-0000-0000-00001B000000}"/>
    <cellStyle name="20% - Accent2 8" xfId="32" xr:uid="{00000000-0005-0000-0000-00001C000000}"/>
    <cellStyle name="20% - Accent2 9" xfId="33" xr:uid="{00000000-0005-0000-0000-00001D000000}"/>
    <cellStyle name="20% - Accent3 10" xfId="34" xr:uid="{00000000-0005-0000-0000-00001E000000}"/>
    <cellStyle name="20% - Accent3 11" xfId="35" xr:uid="{00000000-0005-0000-0000-00001F000000}"/>
    <cellStyle name="20% - Accent3 12" xfId="36" xr:uid="{00000000-0005-0000-0000-000020000000}"/>
    <cellStyle name="20% - Accent3 13" xfId="37" xr:uid="{00000000-0005-0000-0000-000021000000}"/>
    <cellStyle name="20% - Accent3 14" xfId="38" xr:uid="{00000000-0005-0000-0000-000022000000}"/>
    <cellStyle name="20% - Accent3 15" xfId="39" xr:uid="{00000000-0005-0000-0000-000023000000}"/>
    <cellStyle name="20% - Accent3 16" xfId="40" xr:uid="{00000000-0005-0000-0000-000024000000}"/>
    <cellStyle name="20% - Accent3 2" xfId="41" xr:uid="{00000000-0005-0000-0000-000025000000}"/>
    <cellStyle name="20% - Accent3 3" xfId="42" xr:uid="{00000000-0005-0000-0000-000026000000}"/>
    <cellStyle name="20% - Accent3 4" xfId="43" xr:uid="{00000000-0005-0000-0000-000027000000}"/>
    <cellStyle name="20% - Accent3 5" xfId="44" xr:uid="{00000000-0005-0000-0000-000028000000}"/>
    <cellStyle name="20% - Accent3 6" xfId="45" xr:uid="{00000000-0005-0000-0000-000029000000}"/>
    <cellStyle name="20% - Accent3 7" xfId="46" xr:uid="{00000000-0005-0000-0000-00002A000000}"/>
    <cellStyle name="20% - Accent3 8" xfId="47" xr:uid="{00000000-0005-0000-0000-00002B000000}"/>
    <cellStyle name="20% - Accent3 9" xfId="48" xr:uid="{00000000-0005-0000-0000-00002C000000}"/>
    <cellStyle name="20% - Accent4 10" xfId="49" xr:uid="{00000000-0005-0000-0000-00002D000000}"/>
    <cellStyle name="20% - Accent4 11" xfId="50" xr:uid="{00000000-0005-0000-0000-00002E000000}"/>
    <cellStyle name="20% - Accent4 12" xfId="51" xr:uid="{00000000-0005-0000-0000-00002F000000}"/>
    <cellStyle name="20% - Accent4 13" xfId="52" xr:uid="{00000000-0005-0000-0000-000030000000}"/>
    <cellStyle name="20% - Accent4 14" xfId="53" xr:uid="{00000000-0005-0000-0000-000031000000}"/>
    <cellStyle name="20% - Accent4 15" xfId="54" xr:uid="{00000000-0005-0000-0000-000032000000}"/>
    <cellStyle name="20% - Accent4 16" xfId="55" xr:uid="{00000000-0005-0000-0000-000033000000}"/>
    <cellStyle name="20% - Accent4 2" xfId="56" xr:uid="{00000000-0005-0000-0000-000034000000}"/>
    <cellStyle name="20% - Accent4 3" xfId="57" xr:uid="{00000000-0005-0000-0000-000035000000}"/>
    <cellStyle name="20% - Accent4 4" xfId="58" xr:uid="{00000000-0005-0000-0000-000036000000}"/>
    <cellStyle name="20% - Accent4 5" xfId="59" xr:uid="{00000000-0005-0000-0000-000037000000}"/>
    <cellStyle name="20% - Accent4 6" xfId="60" xr:uid="{00000000-0005-0000-0000-000038000000}"/>
    <cellStyle name="20% - Accent4 7" xfId="61" xr:uid="{00000000-0005-0000-0000-000039000000}"/>
    <cellStyle name="20% - Accent4 8" xfId="62" xr:uid="{00000000-0005-0000-0000-00003A000000}"/>
    <cellStyle name="20% - Accent4 9" xfId="63" xr:uid="{00000000-0005-0000-0000-00003B000000}"/>
    <cellStyle name="20% - Accent5 10" xfId="64" xr:uid="{00000000-0005-0000-0000-00003C000000}"/>
    <cellStyle name="20% - Accent5 11" xfId="65" xr:uid="{00000000-0005-0000-0000-00003D000000}"/>
    <cellStyle name="20% - Accent5 12" xfId="66" xr:uid="{00000000-0005-0000-0000-00003E000000}"/>
    <cellStyle name="20% - Accent5 13" xfId="67" xr:uid="{00000000-0005-0000-0000-00003F000000}"/>
    <cellStyle name="20% - Accent5 14" xfId="68" xr:uid="{00000000-0005-0000-0000-000040000000}"/>
    <cellStyle name="20% - Accent5 15" xfId="69" xr:uid="{00000000-0005-0000-0000-000041000000}"/>
    <cellStyle name="20% - Accent5 16" xfId="70" xr:uid="{00000000-0005-0000-0000-000042000000}"/>
    <cellStyle name="20% - Accent5 2" xfId="71" xr:uid="{00000000-0005-0000-0000-000043000000}"/>
    <cellStyle name="20% - Accent5 3" xfId="72" xr:uid="{00000000-0005-0000-0000-000044000000}"/>
    <cellStyle name="20% - Accent5 4" xfId="73" xr:uid="{00000000-0005-0000-0000-000045000000}"/>
    <cellStyle name="20% - Accent5 5" xfId="74" xr:uid="{00000000-0005-0000-0000-000046000000}"/>
    <cellStyle name="20% - Accent5 6" xfId="75" xr:uid="{00000000-0005-0000-0000-000047000000}"/>
    <cellStyle name="20% - Accent5 7" xfId="76" xr:uid="{00000000-0005-0000-0000-000048000000}"/>
    <cellStyle name="20% - Accent5 8" xfId="77" xr:uid="{00000000-0005-0000-0000-000049000000}"/>
    <cellStyle name="20% - Accent5 9" xfId="78" xr:uid="{00000000-0005-0000-0000-00004A000000}"/>
    <cellStyle name="20% - Accent6 10" xfId="79" xr:uid="{00000000-0005-0000-0000-00004B000000}"/>
    <cellStyle name="20% - Accent6 11" xfId="80" xr:uid="{00000000-0005-0000-0000-00004C000000}"/>
    <cellStyle name="20% - Accent6 12" xfId="81" xr:uid="{00000000-0005-0000-0000-00004D000000}"/>
    <cellStyle name="20% - Accent6 13" xfId="82" xr:uid="{00000000-0005-0000-0000-00004E000000}"/>
    <cellStyle name="20% - Accent6 14" xfId="83" xr:uid="{00000000-0005-0000-0000-00004F000000}"/>
    <cellStyle name="20% - Accent6 15" xfId="84" xr:uid="{00000000-0005-0000-0000-000050000000}"/>
    <cellStyle name="20% - Accent6 16" xfId="85" xr:uid="{00000000-0005-0000-0000-000051000000}"/>
    <cellStyle name="20% - Accent6 2" xfId="86" xr:uid="{00000000-0005-0000-0000-000052000000}"/>
    <cellStyle name="20% - Accent6 3" xfId="87" xr:uid="{00000000-0005-0000-0000-000053000000}"/>
    <cellStyle name="20% - Accent6 4" xfId="88" xr:uid="{00000000-0005-0000-0000-000054000000}"/>
    <cellStyle name="20% - Accent6 5" xfId="89" xr:uid="{00000000-0005-0000-0000-000055000000}"/>
    <cellStyle name="20% - Accent6 6" xfId="90" xr:uid="{00000000-0005-0000-0000-000056000000}"/>
    <cellStyle name="20% - Accent6 7" xfId="91" xr:uid="{00000000-0005-0000-0000-000057000000}"/>
    <cellStyle name="20% - Accent6 8" xfId="92" xr:uid="{00000000-0005-0000-0000-000058000000}"/>
    <cellStyle name="20% - Accent6 9" xfId="93" xr:uid="{00000000-0005-0000-0000-000059000000}"/>
    <cellStyle name="40% - Accent1 10" xfId="94" xr:uid="{00000000-0005-0000-0000-00005A000000}"/>
    <cellStyle name="40% - Accent1 11" xfId="95" xr:uid="{00000000-0005-0000-0000-00005B000000}"/>
    <cellStyle name="40% - Accent1 12" xfId="96" xr:uid="{00000000-0005-0000-0000-00005C000000}"/>
    <cellStyle name="40% - Accent1 13" xfId="97" xr:uid="{00000000-0005-0000-0000-00005D000000}"/>
    <cellStyle name="40% - Accent1 14" xfId="98" xr:uid="{00000000-0005-0000-0000-00005E000000}"/>
    <cellStyle name="40% - Accent1 15" xfId="99" xr:uid="{00000000-0005-0000-0000-00005F000000}"/>
    <cellStyle name="40% - Accent1 16" xfId="100" xr:uid="{00000000-0005-0000-0000-000060000000}"/>
    <cellStyle name="40% - Accent1 2" xfId="101" xr:uid="{00000000-0005-0000-0000-000061000000}"/>
    <cellStyle name="40% - Accent1 3" xfId="102" xr:uid="{00000000-0005-0000-0000-000062000000}"/>
    <cellStyle name="40% - Accent1 4" xfId="103" xr:uid="{00000000-0005-0000-0000-000063000000}"/>
    <cellStyle name="40% - Accent1 5" xfId="104" xr:uid="{00000000-0005-0000-0000-000064000000}"/>
    <cellStyle name="40% - Accent1 6" xfId="105" xr:uid="{00000000-0005-0000-0000-000065000000}"/>
    <cellStyle name="40% - Accent1 7" xfId="106" xr:uid="{00000000-0005-0000-0000-000066000000}"/>
    <cellStyle name="40% - Accent1 8" xfId="107" xr:uid="{00000000-0005-0000-0000-000067000000}"/>
    <cellStyle name="40% - Accent1 9" xfId="108" xr:uid="{00000000-0005-0000-0000-000068000000}"/>
    <cellStyle name="40% - Accent2 10" xfId="109" xr:uid="{00000000-0005-0000-0000-000069000000}"/>
    <cellStyle name="40% - Accent2 11" xfId="110" xr:uid="{00000000-0005-0000-0000-00006A000000}"/>
    <cellStyle name="40% - Accent2 12" xfId="111" xr:uid="{00000000-0005-0000-0000-00006B000000}"/>
    <cellStyle name="40% - Accent2 13" xfId="112" xr:uid="{00000000-0005-0000-0000-00006C000000}"/>
    <cellStyle name="40% - Accent2 14" xfId="113" xr:uid="{00000000-0005-0000-0000-00006D000000}"/>
    <cellStyle name="40% - Accent2 15" xfId="114" xr:uid="{00000000-0005-0000-0000-00006E000000}"/>
    <cellStyle name="40% - Accent2 16" xfId="115" xr:uid="{00000000-0005-0000-0000-00006F000000}"/>
    <cellStyle name="40% - Accent2 2" xfId="116" xr:uid="{00000000-0005-0000-0000-000070000000}"/>
    <cellStyle name="40% - Accent2 3" xfId="117" xr:uid="{00000000-0005-0000-0000-000071000000}"/>
    <cellStyle name="40% - Accent2 4" xfId="118" xr:uid="{00000000-0005-0000-0000-000072000000}"/>
    <cellStyle name="40% - Accent2 5" xfId="119" xr:uid="{00000000-0005-0000-0000-000073000000}"/>
    <cellStyle name="40% - Accent2 6" xfId="120" xr:uid="{00000000-0005-0000-0000-000074000000}"/>
    <cellStyle name="40% - Accent2 7" xfId="121" xr:uid="{00000000-0005-0000-0000-000075000000}"/>
    <cellStyle name="40% - Accent2 8" xfId="122" xr:uid="{00000000-0005-0000-0000-000076000000}"/>
    <cellStyle name="40% - Accent2 9" xfId="123" xr:uid="{00000000-0005-0000-0000-000077000000}"/>
    <cellStyle name="40% - Accent3 10" xfId="124" xr:uid="{00000000-0005-0000-0000-000078000000}"/>
    <cellStyle name="40% - Accent3 11" xfId="125" xr:uid="{00000000-0005-0000-0000-000079000000}"/>
    <cellStyle name="40% - Accent3 12" xfId="126" xr:uid="{00000000-0005-0000-0000-00007A000000}"/>
    <cellStyle name="40% - Accent3 13" xfId="127" xr:uid="{00000000-0005-0000-0000-00007B000000}"/>
    <cellStyle name="40% - Accent3 14" xfId="128" xr:uid="{00000000-0005-0000-0000-00007C000000}"/>
    <cellStyle name="40% - Accent3 15" xfId="129" xr:uid="{00000000-0005-0000-0000-00007D000000}"/>
    <cellStyle name="40% - Accent3 16" xfId="130" xr:uid="{00000000-0005-0000-0000-00007E000000}"/>
    <cellStyle name="40% - Accent3 2" xfId="131" xr:uid="{00000000-0005-0000-0000-00007F000000}"/>
    <cellStyle name="40% - Accent3 3" xfId="132" xr:uid="{00000000-0005-0000-0000-000080000000}"/>
    <cellStyle name="40% - Accent3 4" xfId="133" xr:uid="{00000000-0005-0000-0000-000081000000}"/>
    <cellStyle name="40% - Accent3 5" xfId="134" xr:uid="{00000000-0005-0000-0000-000082000000}"/>
    <cellStyle name="40% - Accent3 6" xfId="135" xr:uid="{00000000-0005-0000-0000-000083000000}"/>
    <cellStyle name="40% - Accent3 7" xfId="136" xr:uid="{00000000-0005-0000-0000-000084000000}"/>
    <cellStyle name="40% - Accent3 8" xfId="137" xr:uid="{00000000-0005-0000-0000-000085000000}"/>
    <cellStyle name="40% - Accent3 9" xfId="138" xr:uid="{00000000-0005-0000-0000-000086000000}"/>
    <cellStyle name="40% - Accent4 10" xfId="139" xr:uid="{00000000-0005-0000-0000-000087000000}"/>
    <cellStyle name="40% - Accent4 11" xfId="140" xr:uid="{00000000-0005-0000-0000-000088000000}"/>
    <cellStyle name="40% - Accent4 12" xfId="141" xr:uid="{00000000-0005-0000-0000-000089000000}"/>
    <cellStyle name="40% - Accent4 13" xfId="142" xr:uid="{00000000-0005-0000-0000-00008A000000}"/>
    <cellStyle name="40% - Accent4 14" xfId="143" xr:uid="{00000000-0005-0000-0000-00008B000000}"/>
    <cellStyle name="40% - Accent4 15" xfId="144" xr:uid="{00000000-0005-0000-0000-00008C000000}"/>
    <cellStyle name="40% - Accent4 16" xfId="145" xr:uid="{00000000-0005-0000-0000-00008D000000}"/>
    <cellStyle name="40% - Accent4 2" xfId="146" xr:uid="{00000000-0005-0000-0000-00008E000000}"/>
    <cellStyle name="40% - Accent4 3" xfId="147" xr:uid="{00000000-0005-0000-0000-00008F000000}"/>
    <cellStyle name="40% - Accent4 4" xfId="148" xr:uid="{00000000-0005-0000-0000-000090000000}"/>
    <cellStyle name="40% - Accent4 5" xfId="149" xr:uid="{00000000-0005-0000-0000-000091000000}"/>
    <cellStyle name="40% - Accent4 6" xfId="150" xr:uid="{00000000-0005-0000-0000-000092000000}"/>
    <cellStyle name="40% - Accent4 7" xfId="151" xr:uid="{00000000-0005-0000-0000-000093000000}"/>
    <cellStyle name="40% - Accent4 8" xfId="152" xr:uid="{00000000-0005-0000-0000-000094000000}"/>
    <cellStyle name="40% - Accent4 9" xfId="153" xr:uid="{00000000-0005-0000-0000-000095000000}"/>
    <cellStyle name="40% - Accent5 10" xfId="154" xr:uid="{00000000-0005-0000-0000-000096000000}"/>
    <cellStyle name="40% - Accent5 11" xfId="155" xr:uid="{00000000-0005-0000-0000-000097000000}"/>
    <cellStyle name="40% - Accent5 12" xfId="156" xr:uid="{00000000-0005-0000-0000-000098000000}"/>
    <cellStyle name="40% - Accent5 13" xfId="157" xr:uid="{00000000-0005-0000-0000-000099000000}"/>
    <cellStyle name="40% - Accent5 14" xfId="158" xr:uid="{00000000-0005-0000-0000-00009A000000}"/>
    <cellStyle name="40% - Accent5 15" xfId="159" xr:uid="{00000000-0005-0000-0000-00009B000000}"/>
    <cellStyle name="40% - Accent5 16" xfId="160" xr:uid="{00000000-0005-0000-0000-00009C000000}"/>
    <cellStyle name="40% - Accent5 2" xfId="161" xr:uid="{00000000-0005-0000-0000-00009D000000}"/>
    <cellStyle name="40% - Accent5 3" xfId="162" xr:uid="{00000000-0005-0000-0000-00009E000000}"/>
    <cellStyle name="40% - Accent5 4" xfId="163" xr:uid="{00000000-0005-0000-0000-00009F000000}"/>
    <cellStyle name="40% - Accent5 5" xfId="164" xr:uid="{00000000-0005-0000-0000-0000A0000000}"/>
    <cellStyle name="40% - Accent5 6" xfId="165" xr:uid="{00000000-0005-0000-0000-0000A1000000}"/>
    <cellStyle name="40% - Accent5 7" xfId="166" xr:uid="{00000000-0005-0000-0000-0000A2000000}"/>
    <cellStyle name="40% - Accent5 8" xfId="167" xr:uid="{00000000-0005-0000-0000-0000A3000000}"/>
    <cellStyle name="40% - Accent5 9" xfId="168" xr:uid="{00000000-0005-0000-0000-0000A4000000}"/>
    <cellStyle name="40% - Accent6 10" xfId="169" xr:uid="{00000000-0005-0000-0000-0000A5000000}"/>
    <cellStyle name="40% - Accent6 11" xfId="170" xr:uid="{00000000-0005-0000-0000-0000A6000000}"/>
    <cellStyle name="40% - Accent6 12" xfId="171" xr:uid="{00000000-0005-0000-0000-0000A7000000}"/>
    <cellStyle name="40% - Accent6 13" xfId="172" xr:uid="{00000000-0005-0000-0000-0000A8000000}"/>
    <cellStyle name="40% - Accent6 14" xfId="173" xr:uid="{00000000-0005-0000-0000-0000A9000000}"/>
    <cellStyle name="40% - Accent6 15" xfId="174" xr:uid="{00000000-0005-0000-0000-0000AA000000}"/>
    <cellStyle name="40% - Accent6 16" xfId="175" xr:uid="{00000000-0005-0000-0000-0000AB000000}"/>
    <cellStyle name="40% - Accent6 2" xfId="176" xr:uid="{00000000-0005-0000-0000-0000AC000000}"/>
    <cellStyle name="40% - Accent6 3" xfId="177" xr:uid="{00000000-0005-0000-0000-0000AD000000}"/>
    <cellStyle name="40% - Accent6 4" xfId="178" xr:uid="{00000000-0005-0000-0000-0000AE000000}"/>
    <cellStyle name="40% - Accent6 5" xfId="179" xr:uid="{00000000-0005-0000-0000-0000AF000000}"/>
    <cellStyle name="40% - Accent6 6" xfId="180" xr:uid="{00000000-0005-0000-0000-0000B0000000}"/>
    <cellStyle name="40% - Accent6 7" xfId="181" xr:uid="{00000000-0005-0000-0000-0000B1000000}"/>
    <cellStyle name="40% - Accent6 8" xfId="182" xr:uid="{00000000-0005-0000-0000-0000B2000000}"/>
    <cellStyle name="40% - Accent6 9" xfId="183" xr:uid="{00000000-0005-0000-0000-0000B3000000}"/>
    <cellStyle name="60% - Accent1 2" xfId="184" xr:uid="{00000000-0005-0000-0000-0000B4000000}"/>
    <cellStyle name="60% - Accent1 3" xfId="185" xr:uid="{00000000-0005-0000-0000-0000B5000000}"/>
    <cellStyle name="60% - Accent1 4" xfId="186" xr:uid="{00000000-0005-0000-0000-0000B6000000}"/>
    <cellStyle name="60% - Accent2 2" xfId="187" xr:uid="{00000000-0005-0000-0000-0000B7000000}"/>
    <cellStyle name="60% - Accent2 3" xfId="188" xr:uid="{00000000-0005-0000-0000-0000B8000000}"/>
    <cellStyle name="60% - Accent2 4" xfId="189" xr:uid="{00000000-0005-0000-0000-0000B9000000}"/>
    <cellStyle name="60% - Accent3 2" xfId="190" xr:uid="{00000000-0005-0000-0000-0000BA000000}"/>
    <cellStyle name="60% - Accent3 3" xfId="191" xr:uid="{00000000-0005-0000-0000-0000BB000000}"/>
    <cellStyle name="60% - Accent3 4" xfId="192" xr:uid="{00000000-0005-0000-0000-0000BC000000}"/>
    <cellStyle name="60% - Accent4 2" xfId="193" xr:uid="{00000000-0005-0000-0000-0000BD000000}"/>
    <cellStyle name="60% - Accent4 3" xfId="194" xr:uid="{00000000-0005-0000-0000-0000BE000000}"/>
    <cellStyle name="60% - Accent4 4" xfId="195" xr:uid="{00000000-0005-0000-0000-0000BF000000}"/>
    <cellStyle name="60% - Accent5 2" xfId="196" xr:uid="{00000000-0005-0000-0000-0000C0000000}"/>
    <cellStyle name="60% - Accent5 3" xfId="197" xr:uid="{00000000-0005-0000-0000-0000C1000000}"/>
    <cellStyle name="60% - Accent5 4" xfId="198" xr:uid="{00000000-0005-0000-0000-0000C2000000}"/>
    <cellStyle name="60% - Accent6 2" xfId="199" xr:uid="{00000000-0005-0000-0000-0000C3000000}"/>
    <cellStyle name="60% - Accent6 3" xfId="200" xr:uid="{00000000-0005-0000-0000-0000C4000000}"/>
    <cellStyle name="60% - Accent6 4" xfId="201" xr:uid="{00000000-0005-0000-0000-0000C5000000}"/>
    <cellStyle name="Accent1 2" xfId="202" xr:uid="{00000000-0005-0000-0000-0000C6000000}"/>
    <cellStyle name="Accent1 3" xfId="203" xr:uid="{00000000-0005-0000-0000-0000C7000000}"/>
    <cellStyle name="Accent1 4" xfId="204" xr:uid="{00000000-0005-0000-0000-0000C8000000}"/>
    <cellStyle name="Accent2 2" xfId="205" xr:uid="{00000000-0005-0000-0000-0000C9000000}"/>
    <cellStyle name="Accent2 3" xfId="206" xr:uid="{00000000-0005-0000-0000-0000CA000000}"/>
    <cellStyle name="Accent2 4" xfId="207" xr:uid="{00000000-0005-0000-0000-0000CB000000}"/>
    <cellStyle name="Accent3 2" xfId="208" xr:uid="{00000000-0005-0000-0000-0000CC000000}"/>
    <cellStyle name="Accent3 3" xfId="209" xr:uid="{00000000-0005-0000-0000-0000CD000000}"/>
    <cellStyle name="Accent3 4" xfId="210" xr:uid="{00000000-0005-0000-0000-0000CE000000}"/>
    <cellStyle name="Accent4 2" xfId="211" xr:uid="{00000000-0005-0000-0000-0000CF000000}"/>
    <cellStyle name="Accent4 3" xfId="212" xr:uid="{00000000-0005-0000-0000-0000D0000000}"/>
    <cellStyle name="Accent4 4" xfId="213" xr:uid="{00000000-0005-0000-0000-0000D1000000}"/>
    <cellStyle name="Accent5 2" xfId="214" xr:uid="{00000000-0005-0000-0000-0000D2000000}"/>
    <cellStyle name="Accent5 3" xfId="215" xr:uid="{00000000-0005-0000-0000-0000D3000000}"/>
    <cellStyle name="Accent5 4" xfId="216" xr:uid="{00000000-0005-0000-0000-0000D4000000}"/>
    <cellStyle name="Accent6 2" xfId="217" xr:uid="{00000000-0005-0000-0000-0000D5000000}"/>
    <cellStyle name="Accent6 3" xfId="218" xr:uid="{00000000-0005-0000-0000-0000D6000000}"/>
    <cellStyle name="Accent6 4" xfId="219" xr:uid="{00000000-0005-0000-0000-0000D7000000}"/>
    <cellStyle name="Bad 2" xfId="220" xr:uid="{00000000-0005-0000-0000-0000D8000000}"/>
    <cellStyle name="Bad 3" xfId="221" xr:uid="{00000000-0005-0000-0000-0000D9000000}"/>
    <cellStyle name="Bad 4" xfId="222" xr:uid="{00000000-0005-0000-0000-0000DA000000}"/>
    <cellStyle name="Calculation 2" xfId="223" xr:uid="{00000000-0005-0000-0000-0000DB000000}"/>
    <cellStyle name="Calculation 3" xfId="224" xr:uid="{00000000-0005-0000-0000-0000DC000000}"/>
    <cellStyle name="Calculation 4" xfId="225" xr:uid="{00000000-0005-0000-0000-0000DD000000}"/>
    <cellStyle name="Check Cell 2" xfId="226" xr:uid="{00000000-0005-0000-0000-0000DE000000}"/>
    <cellStyle name="Check Cell 3" xfId="227" xr:uid="{00000000-0005-0000-0000-0000DF000000}"/>
    <cellStyle name="Check Cell 4" xfId="228" xr:uid="{00000000-0005-0000-0000-0000E0000000}"/>
    <cellStyle name="Comma" xfId="1" builtinId="3"/>
    <cellStyle name="Comma 2" xfId="229" xr:uid="{00000000-0005-0000-0000-0000E2000000}"/>
    <cellStyle name="Explanatory Text 2" xfId="230" xr:uid="{00000000-0005-0000-0000-0000E3000000}"/>
    <cellStyle name="Explanatory Text 3" xfId="231" xr:uid="{00000000-0005-0000-0000-0000E4000000}"/>
    <cellStyle name="Explanatory Text 4" xfId="232" xr:uid="{00000000-0005-0000-0000-0000E5000000}"/>
    <cellStyle name="Good 2" xfId="233" xr:uid="{00000000-0005-0000-0000-0000E6000000}"/>
    <cellStyle name="Good 3" xfId="234" xr:uid="{00000000-0005-0000-0000-0000E7000000}"/>
    <cellStyle name="Good 4" xfId="235" xr:uid="{00000000-0005-0000-0000-0000E8000000}"/>
    <cellStyle name="Heading 1 2" xfId="236" xr:uid="{00000000-0005-0000-0000-0000E9000000}"/>
    <cellStyle name="Heading 1 3" xfId="237" xr:uid="{00000000-0005-0000-0000-0000EA000000}"/>
    <cellStyle name="Heading 1 4" xfId="238" xr:uid="{00000000-0005-0000-0000-0000EB000000}"/>
    <cellStyle name="Heading 1 5" xfId="289" xr:uid="{BBBCF8EC-5E37-4628-A94D-491E187A2A90}"/>
    <cellStyle name="Heading 2 2" xfId="239" xr:uid="{00000000-0005-0000-0000-0000EC000000}"/>
    <cellStyle name="Heading 2 3" xfId="240" xr:uid="{00000000-0005-0000-0000-0000ED000000}"/>
    <cellStyle name="Heading 2 4" xfId="241" xr:uid="{00000000-0005-0000-0000-0000EE000000}"/>
    <cellStyle name="Heading 3 2" xfId="242" xr:uid="{00000000-0005-0000-0000-0000EF000000}"/>
    <cellStyle name="Heading 3 3" xfId="243" xr:uid="{00000000-0005-0000-0000-0000F0000000}"/>
    <cellStyle name="Heading 3 4" xfId="244" xr:uid="{00000000-0005-0000-0000-0000F1000000}"/>
    <cellStyle name="Heading 4 2" xfId="245" xr:uid="{00000000-0005-0000-0000-0000F2000000}"/>
    <cellStyle name="Heading 4 3" xfId="246" xr:uid="{00000000-0005-0000-0000-0000F3000000}"/>
    <cellStyle name="Heading 4 4" xfId="247" xr:uid="{00000000-0005-0000-0000-0000F4000000}"/>
    <cellStyle name="Input 2" xfId="248" xr:uid="{00000000-0005-0000-0000-0000F5000000}"/>
    <cellStyle name="Input 3" xfId="249" xr:uid="{00000000-0005-0000-0000-0000F6000000}"/>
    <cellStyle name="Input 4" xfId="250" xr:uid="{00000000-0005-0000-0000-0000F7000000}"/>
    <cellStyle name="Linked Cell 2" xfId="251" xr:uid="{00000000-0005-0000-0000-0000F8000000}"/>
    <cellStyle name="Linked Cell 3" xfId="252" xr:uid="{00000000-0005-0000-0000-0000F9000000}"/>
    <cellStyle name="Linked Cell 4" xfId="253" xr:uid="{00000000-0005-0000-0000-0000FA000000}"/>
    <cellStyle name="Neutral" xfId="3" builtinId="28"/>
    <cellStyle name="Neutral 2" xfId="254" xr:uid="{00000000-0005-0000-0000-0000FC000000}"/>
    <cellStyle name="Neutral 3" xfId="255" xr:uid="{00000000-0005-0000-0000-0000FD000000}"/>
    <cellStyle name="Neutral 4" xfId="256" xr:uid="{00000000-0005-0000-0000-0000FE000000}"/>
    <cellStyle name="Normal" xfId="0" builtinId="0"/>
    <cellStyle name="Normal 2" xfId="257" xr:uid="{00000000-0005-0000-0000-000000010000}"/>
    <cellStyle name="Normal 3" xfId="258" xr:uid="{00000000-0005-0000-0000-000001010000}"/>
    <cellStyle name="Normal 3 2" xfId="259" xr:uid="{00000000-0005-0000-0000-000002010000}"/>
    <cellStyle name="Normal 4" xfId="260" xr:uid="{00000000-0005-0000-0000-000003010000}"/>
    <cellStyle name="Note 10" xfId="261" xr:uid="{00000000-0005-0000-0000-000004010000}"/>
    <cellStyle name="Note 11" xfId="262" xr:uid="{00000000-0005-0000-0000-000005010000}"/>
    <cellStyle name="Note 12" xfId="263" xr:uid="{00000000-0005-0000-0000-000006010000}"/>
    <cellStyle name="Note 13" xfId="264" xr:uid="{00000000-0005-0000-0000-000007010000}"/>
    <cellStyle name="Note 14" xfId="265" xr:uid="{00000000-0005-0000-0000-000008010000}"/>
    <cellStyle name="Note 15" xfId="266" xr:uid="{00000000-0005-0000-0000-000009010000}"/>
    <cellStyle name="Note 16" xfId="267" xr:uid="{00000000-0005-0000-0000-00000A010000}"/>
    <cellStyle name="Note 2" xfId="268" xr:uid="{00000000-0005-0000-0000-00000B010000}"/>
    <cellStyle name="Note 3" xfId="269" xr:uid="{00000000-0005-0000-0000-00000C010000}"/>
    <cellStyle name="Note 4" xfId="270" xr:uid="{00000000-0005-0000-0000-00000D010000}"/>
    <cellStyle name="Note 5" xfId="271" xr:uid="{00000000-0005-0000-0000-00000E010000}"/>
    <cellStyle name="Note 6" xfId="272" xr:uid="{00000000-0005-0000-0000-00000F010000}"/>
    <cellStyle name="Note 7" xfId="273" xr:uid="{00000000-0005-0000-0000-000010010000}"/>
    <cellStyle name="Note 8" xfId="274" xr:uid="{00000000-0005-0000-0000-000011010000}"/>
    <cellStyle name="Note 9" xfId="275" xr:uid="{00000000-0005-0000-0000-000012010000}"/>
    <cellStyle name="Output 2" xfId="276" xr:uid="{00000000-0005-0000-0000-000013010000}"/>
    <cellStyle name="Output 3" xfId="277" xr:uid="{00000000-0005-0000-0000-000014010000}"/>
    <cellStyle name="Output 4" xfId="278" xr:uid="{00000000-0005-0000-0000-000015010000}"/>
    <cellStyle name="Percent" xfId="2" builtinId="5"/>
    <cellStyle name="Percent 2" xfId="279" xr:uid="{00000000-0005-0000-0000-000017010000}"/>
    <cellStyle name="Title 2" xfId="280" xr:uid="{00000000-0005-0000-0000-000018010000}"/>
    <cellStyle name="Title 3" xfId="281" xr:uid="{00000000-0005-0000-0000-000019010000}"/>
    <cellStyle name="Title 4" xfId="282" xr:uid="{00000000-0005-0000-0000-00001A010000}"/>
    <cellStyle name="Total 2" xfId="283" xr:uid="{00000000-0005-0000-0000-00001B010000}"/>
    <cellStyle name="Total 3" xfId="284" xr:uid="{00000000-0005-0000-0000-00001C010000}"/>
    <cellStyle name="Total 4" xfId="285" xr:uid="{00000000-0005-0000-0000-00001D010000}"/>
    <cellStyle name="Warning Text 2" xfId="286" xr:uid="{00000000-0005-0000-0000-00001E010000}"/>
    <cellStyle name="Warning Text 3" xfId="287" xr:uid="{00000000-0005-0000-0000-00001F010000}"/>
    <cellStyle name="Warning Text 4" xfId="288" xr:uid="{00000000-0005-0000-0000-000020010000}"/>
  </cellStyles>
  <dxfs count="14">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s>
  <tableStyles count="0" defaultTableStyle="TableStyleMedium2" defaultPivotStyle="PivotStyleLight16"/>
  <colors>
    <mruColors>
      <color rgb="FF447E5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0.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1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'CM Calculator (BL)'!$D$131:$D$135</c:f>
              <c:numCache>
                <c:formatCode>#,##0</c:formatCode>
                <c:ptCount val="5"/>
                <c:pt idx="0">
                  <c:v>2337672.0086836056</c:v>
                </c:pt>
                <c:pt idx="1">
                  <c:v>800009.65500000003</c:v>
                </c:pt>
                <c:pt idx="2">
                  <c:v>40462.615364178804</c:v>
                </c:pt>
                <c:pt idx="3">
                  <c:v>99583758.586800039</c:v>
                </c:pt>
                <c:pt idx="4">
                  <c:v>-515071.94563820481</c:v>
                </c:pt>
              </c:numCache>
            </c:numRef>
          </c:val>
          <c:extLst>
            <c:ext xmlns:c16="http://schemas.microsoft.com/office/drawing/2014/chart" uri="{C3380CC4-5D6E-409C-BE32-E72D297353CC}">
              <c16:uniqueId val="{00000000-EAE6-4E43-8BEC-CFA41C6B1C30}"/>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'CM Calculator (BL)'!$E$131:$E$135</c:f>
              <c:numCache>
                <c:formatCode>#,##0</c:formatCode>
                <c:ptCount val="5"/>
                <c:pt idx="0">
                  <c:v>162.77090836516044</c:v>
                </c:pt>
                <c:pt idx="1">
                  <c:v>87.235078274853933</c:v>
                </c:pt>
                <c:pt idx="2">
                  <c:v>1.2454629992038873</c:v>
                </c:pt>
                <c:pt idx="3">
                  <c:v>7215.5743232985378</c:v>
                </c:pt>
                <c:pt idx="4">
                  <c:v>-37.701220919704987</c:v>
                </c:pt>
              </c:numCache>
            </c:numRef>
          </c:val>
          <c:extLst>
            <c:ext xmlns:c16="http://schemas.microsoft.com/office/drawing/2014/chart" uri="{C3380CC4-5D6E-409C-BE32-E72D297353CC}">
              <c16:uniqueId val="{00000000-633A-4F93-858E-3CAA512539FB}"/>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(BL)'!$D$156:$D$160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537-4568-89BD-98AF4F621BE2}"/>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(BL)'!$E$156:$E$160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450-43C1-92FB-78F8F8FB1E09}"/>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3"/>
            </a:solidFill>
            <a:ln>
              <a:solidFill>
                <a:schemeClr val="tx1"/>
              </a:solid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(Alt)'!$D$178:$D$182</c:f>
              <c:numCache>
                <c:formatCode>#,##0</c:formatCode>
                <c:ptCount val="5"/>
                <c:pt idx="0">
                  <c:v>371877.74224473874</c:v>
                </c:pt>
                <c:pt idx="1">
                  <c:v>745359.39267916675</c:v>
                </c:pt>
                <c:pt idx="2">
                  <c:v>14161.915377462581</c:v>
                </c:pt>
                <c:pt idx="3">
                  <c:v>34854315.505380012</c:v>
                </c:pt>
                <c:pt idx="4">
                  <c:v>-154706.89266386066</c:v>
                </c:pt>
              </c:numCache>
            </c:numRef>
          </c:val>
          <c:extLst>
            <c:ext xmlns:c16="http://schemas.microsoft.com/office/drawing/2014/chart" uri="{C3380CC4-5D6E-409C-BE32-E72D297353CC}">
              <c16:uniqueId val="{00000000-9E76-4DD3-890C-60235B0387D2}"/>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3"/>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(Alt)'!$E$178:$E$182</c:f>
              <c:numCache>
                <c:formatCode>#,##0</c:formatCode>
                <c:ptCount val="5"/>
                <c:pt idx="0">
                  <c:v>27.090382923134143</c:v>
                </c:pt>
                <c:pt idx="1">
                  <c:v>81.440291392499987</c:v>
                </c:pt>
                <c:pt idx="2">
                  <c:v>0.43591204972136055</c:v>
                </c:pt>
                <c:pt idx="3">
                  <c:v>2525.451013154488</c:v>
                </c:pt>
                <c:pt idx="4">
                  <c:v>-11.612364225671545</c:v>
                </c:pt>
              </c:numCache>
            </c:numRef>
          </c:val>
          <c:extLst>
            <c:ext xmlns:c16="http://schemas.microsoft.com/office/drawing/2014/chart" uri="{C3380CC4-5D6E-409C-BE32-E72D297353CC}">
              <c16:uniqueId val="{00000000-AC36-4724-AAE4-591E4E4FA5E7}"/>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(Alt)'!$D$178:$D$182</c:f>
              <c:numCache>
                <c:formatCode>#,##0</c:formatCode>
                <c:ptCount val="5"/>
                <c:pt idx="0">
                  <c:v>371877.74224473874</c:v>
                </c:pt>
                <c:pt idx="1">
                  <c:v>745359.39267916675</c:v>
                </c:pt>
                <c:pt idx="2">
                  <c:v>14161.915377462581</c:v>
                </c:pt>
                <c:pt idx="3">
                  <c:v>34854315.505380012</c:v>
                </c:pt>
                <c:pt idx="4">
                  <c:v>-154706.89266386066</c:v>
                </c:pt>
              </c:numCache>
            </c:numRef>
          </c:val>
          <c:extLst>
            <c:ext xmlns:c16="http://schemas.microsoft.com/office/drawing/2014/chart" uri="{C3380CC4-5D6E-409C-BE32-E72D297353CC}">
              <c16:uniqueId val="{00000000-93FE-4FF2-A350-9DDBAA49E1E9}"/>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(Alt)'!$E$178:$E$182</c:f>
              <c:numCache>
                <c:formatCode>#,##0</c:formatCode>
                <c:ptCount val="5"/>
                <c:pt idx="0">
                  <c:v>27.090382923134143</c:v>
                </c:pt>
                <c:pt idx="1">
                  <c:v>81.440291392499987</c:v>
                </c:pt>
                <c:pt idx="2">
                  <c:v>0.43591204972136055</c:v>
                </c:pt>
                <c:pt idx="3">
                  <c:v>2525.451013154488</c:v>
                </c:pt>
                <c:pt idx="4">
                  <c:v>-11.612364225671545</c:v>
                </c:pt>
              </c:numCache>
            </c:numRef>
          </c:val>
          <c:extLst>
            <c:ext xmlns:c16="http://schemas.microsoft.com/office/drawing/2014/chart" uri="{C3380CC4-5D6E-409C-BE32-E72D297353CC}">
              <c16:uniqueId val="{00000000-5C3E-419A-BCA0-640918A0DBBD}"/>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Results!$AA$6</c:f>
              <c:strCache>
                <c:ptCount val="1"/>
                <c:pt idx="0">
                  <c:v>Conventional Manufacturing (BL)</c:v>
                </c:pt>
              </c:strCache>
            </c:strRef>
          </c:tx>
          <c:spPr>
            <a:solidFill>
              <a:srgbClr val="00B050"/>
            </a:solidFill>
          </c:spPr>
          <c:invertIfNegative val="0"/>
          <c:cat>
            <c:strRef>
              <c:f>Results!$B$7:$B$11</c:f>
              <c:strCache>
                <c:ptCount val="5"/>
                <c:pt idx="0">
                  <c:v>Material </c:v>
                </c:pt>
                <c:pt idx="1">
                  <c:v>Manufacturing</c:v>
                </c:pt>
                <c:pt idx="2">
                  <c:v>Freight and Distribution</c:v>
                </c:pt>
                <c:pt idx="3">
                  <c:v>Use Phase</c:v>
                </c:pt>
                <c:pt idx="4">
                  <c:v>Disposal</c:v>
                </c:pt>
              </c:strCache>
            </c:strRef>
          </c:cat>
          <c:val>
            <c:numRef>
              <c:f>Results!$AA$7:$AA$11</c:f>
              <c:numCache>
                <c:formatCode>#,##0.00</c:formatCode>
                <c:ptCount val="5"/>
                <c:pt idx="0">
                  <c:v>2337672.0086836056</c:v>
                </c:pt>
                <c:pt idx="1">
                  <c:v>800009.65500000003</c:v>
                </c:pt>
                <c:pt idx="2">
                  <c:v>40462.615364178804</c:v>
                </c:pt>
                <c:pt idx="3">
                  <c:v>0</c:v>
                </c:pt>
                <c:pt idx="4">
                  <c:v>0</c:v>
                </c:pt>
              </c:numCache>
            </c:numRef>
          </c:val>
          <c:extLst>
            <c:ext xmlns:c16="http://schemas.microsoft.com/office/drawing/2014/chart" uri="{C3380CC4-5D6E-409C-BE32-E72D297353CC}">
              <c16:uniqueId val="{00000000-E94B-4619-BD1F-BA4D77F43877}"/>
            </c:ext>
          </c:extLst>
        </c:ser>
        <c:ser>
          <c:idx val="2"/>
          <c:order val="1"/>
          <c:tx>
            <c:strRef>
              <c:f>Results!$AC$6</c:f>
              <c:strCache>
                <c:ptCount val="1"/>
                <c:pt idx="0">
                  <c:v>Additive Manufacturing (Alternate)</c:v>
                </c:pt>
              </c:strCache>
            </c:strRef>
          </c:tx>
          <c:spPr>
            <a:solidFill>
              <a:srgbClr val="00B0F0"/>
            </a:solidFill>
          </c:spPr>
          <c:invertIfNegative val="0"/>
          <c:cat>
            <c:strRef>
              <c:f>Results!$B$7:$B$11</c:f>
              <c:strCache>
                <c:ptCount val="5"/>
                <c:pt idx="0">
                  <c:v>Material </c:v>
                </c:pt>
                <c:pt idx="1">
                  <c:v>Manufacturing</c:v>
                </c:pt>
                <c:pt idx="2">
                  <c:v>Freight and Distribution</c:v>
                </c:pt>
                <c:pt idx="3">
                  <c:v>Use Phase</c:v>
                </c:pt>
                <c:pt idx="4">
                  <c:v>Disposal</c:v>
                </c:pt>
              </c:strCache>
            </c:strRef>
          </c:cat>
          <c:val>
            <c:numRef>
              <c:f>Results!$AC$7:$AC$11</c:f>
              <c:numCache>
                <c:formatCode>#,##0.00</c:formatCode>
                <c:ptCount val="5"/>
                <c:pt idx="0">
                  <c:v>371877.74224473874</c:v>
                </c:pt>
                <c:pt idx="1">
                  <c:v>745359.39267916675</c:v>
                </c:pt>
                <c:pt idx="2">
                  <c:v>14161.915377462581</c:v>
                </c:pt>
                <c:pt idx="3">
                  <c:v>0</c:v>
                </c:pt>
                <c:pt idx="4">
                  <c:v>0</c:v>
                </c:pt>
              </c:numCache>
            </c:numRef>
          </c:val>
          <c:extLst>
            <c:ext xmlns:c16="http://schemas.microsoft.com/office/drawing/2014/chart" uri="{C3380CC4-5D6E-409C-BE32-E72D297353CC}">
              <c16:uniqueId val="{00000001-E94B-4619-BD1F-BA4D77F43877}"/>
            </c:ext>
          </c:extLst>
        </c:ser>
        <c:dLbls>
          <c:showLegendKey val="0"/>
          <c:showVal val="0"/>
          <c:showCatName val="0"/>
          <c:showSerName val="0"/>
          <c:showPercent val="0"/>
          <c:showBubbleSize val="0"/>
        </c:dLbls>
        <c:gapWidth val="75"/>
        <c:overlap val="-25"/>
        <c:axId val="226422144"/>
        <c:axId val="226423936"/>
      </c:barChart>
      <c:catAx>
        <c:axId val="226422144"/>
        <c:scaling>
          <c:orientation val="minMax"/>
        </c:scaling>
        <c:delete val="0"/>
        <c:axPos val="b"/>
        <c:numFmt formatCode="General" sourceLinked="0"/>
        <c:majorTickMark val="none"/>
        <c:minorTickMark val="none"/>
        <c:tickLblPos val="low"/>
        <c:spPr>
          <a:ln>
            <a:solidFill>
              <a:schemeClr val="tx1"/>
            </a:solidFill>
          </a:ln>
        </c:spPr>
        <c:crossAx val="226423936"/>
        <c:crosses val="autoZero"/>
        <c:auto val="1"/>
        <c:lblAlgn val="ctr"/>
        <c:lblOffset val="100"/>
        <c:noMultiLvlLbl val="0"/>
      </c:catAx>
      <c:valAx>
        <c:axId val="226423936"/>
        <c:scaling>
          <c:orientation val="minMax"/>
        </c:scaling>
        <c:delete val="0"/>
        <c:axPos val="l"/>
        <c:majorGridlines>
          <c:spPr>
            <a:ln>
              <a:solidFill>
                <a:schemeClr val="bg2"/>
              </a:solidFill>
            </a:ln>
          </c:spPr>
        </c:majorGridlines>
        <c:title>
          <c:tx>
            <c:strRef>
              <c:f>Results!$D$6</c:f>
              <c:strCache>
                <c:ptCount val="1"/>
                <c:pt idx="0">
                  <c:v>Stage Energy (Btu/part)</c:v>
                </c:pt>
              </c:strCache>
            </c:strRef>
          </c:tx>
          <c:overlay val="0"/>
        </c:title>
        <c:numFmt formatCode="#,##0" sourceLinked="0"/>
        <c:majorTickMark val="none"/>
        <c:minorTickMark val="none"/>
        <c:tickLblPos val="nextTo"/>
        <c:spPr>
          <a:ln w="9525">
            <a:noFill/>
          </a:ln>
        </c:spPr>
        <c:crossAx val="226422144"/>
        <c:crosses val="autoZero"/>
        <c:crossBetween val="between"/>
      </c:valAx>
      <c:spPr>
        <a:ln>
          <a:solidFill>
            <a:schemeClr val="tx1"/>
          </a:solidFill>
        </a:ln>
      </c:spPr>
    </c:plotArea>
    <c:legend>
      <c:legendPos val="b"/>
      <c:overlay val="0"/>
    </c:legend>
    <c:plotVisOnly val="0"/>
    <c:dispBlanksAs val="gap"/>
    <c:showDLblsOverMax val="0"/>
  </c:chart>
  <c:spPr>
    <a:solidFill>
      <a:schemeClr val="bg1"/>
    </a:solidFill>
    <a:ln w="12700">
      <a:solidFill>
        <a:schemeClr val="tx1"/>
      </a:solidFill>
    </a:ln>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Results!$B$7</c:f>
              <c:strCache>
                <c:ptCount val="1"/>
                <c:pt idx="0">
                  <c:v>Material </c:v>
                </c:pt>
              </c:strCache>
            </c:strRef>
          </c:tx>
          <c:spPr>
            <a:solidFill>
              <a:schemeClr val="accent2"/>
            </a:solidFill>
            <a:ln>
              <a:noFill/>
            </a:ln>
            <a:effectLst/>
          </c:spPr>
          <c:invertIfNegative val="0"/>
          <c:cat>
            <c:strRef>
              <c:extLst>
                <c:ext xmlns:c15="http://schemas.microsoft.com/office/drawing/2012/chart" uri="{02D57815-91ED-43cb-92C2-25804820EDAC}">
                  <c15:fullRef>
                    <c15:sqref>Results!$AA$6:$AC$6</c15:sqref>
                  </c15:fullRef>
                </c:ext>
              </c:extLst>
              <c:f>(Results!$AA$6,Results!$AC$6)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Results!$AA$7:$AC$7</c15:sqref>
                  </c15:fullRef>
                </c:ext>
              </c:extLst>
              <c:f>(Results!$AA$7,Results!$AC$7)</c:f>
              <c:numCache>
                <c:formatCode>#,##0.00</c:formatCode>
                <c:ptCount val="2"/>
                <c:pt idx="0">
                  <c:v>2337672.0086836056</c:v>
                </c:pt>
                <c:pt idx="1">
                  <c:v>371877.74224473874</c:v>
                </c:pt>
              </c:numCache>
            </c:numRef>
          </c:val>
          <c:extLst>
            <c:ext xmlns:c16="http://schemas.microsoft.com/office/drawing/2014/chart" uri="{C3380CC4-5D6E-409C-BE32-E72D297353CC}">
              <c16:uniqueId val="{00000001-F639-4215-9767-D6BC89EFE22A}"/>
            </c:ext>
          </c:extLst>
        </c:ser>
        <c:ser>
          <c:idx val="2"/>
          <c:order val="1"/>
          <c:tx>
            <c:strRef>
              <c:f>Results!$B$8</c:f>
              <c:strCache>
                <c:ptCount val="1"/>
                <c:pt idx="0">
                  <c:v>Manufacturing</c:v>
                </c:pt>
              </c:strCache>
            </c:strRef>
          </c:tx>
          <c:spPr>
            <a:solidFill>
              <a:schemeClr val="accent3"/>
            </a:solidFill>
            <a:ln>
              <a:noFill/>
            </a:ln>
            <a:effectLst/>
          </c:spPr>
          <c:invertIfNegative val="0"/>
          <c:cat>
            <c:strRef>
              <c:extLst>
                <c:ext xmlns:c15="http://schemas.microsoft.com/office/drawing/2012/chart" uri="{02D57815-91ED-43cb-92C2-25804820EDAC}">
                  <c15:fullRef>
                    <c15:sqref>Results!$AA$6:$AC$6</c15:sqref>
                  </c15:fullRef>
                </c:ext>
              </c:extLst>
              <c:f>(Results!$AA$6,Results!$AC$6)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Results!$AA$8:$AC$8</c15:sqref>
                  </c15:fullRef>
                </c:ext>
              </c:extLst>
              <c:f>(Results!$AA$8,Results!$AC$8)</c:f>
              <c:numCache>
                <c:formatCode>#,##0.00</c:formatCode>
                <c:ptCount val="2"/>
                <c:pt idx="0">
                  <c:v>800009.65500000003</c:v>
                </c:pt>
                <c:pt idx="1">
                  <c:v>745359.39267916675</c:v>
                </c:pt>
              </c:numCache>
            </c:numRef>
          </c:val>
          <c:extLst>
            <c:ext xmlns:c16="http://schemas.microsoft.com/office/drawing/2014/chart" uri="{C3380CC4-5D6E-409C-BE32-E72D297353CC}">
              <c16:uniqueId val="{00000002-F639-4215-9767-D6BC89EFE22A}"/>
            </c:ext>
          </c:extLst>
        </c:ser>
        <c:ser>
          <c:idx val="0"/>
          <c:order val="2"/>
          <c:tx>
            <c:strRef>
              <c:f>Results!$B$9</c:f>
              <c:strCache>
                <c:ptCount val="1"/>
                <c:pt idx="0">
                  <c:v>Freight and Distribution</c:v>
                </c:pt>
              </c:strCache>
            </c:strRef>
          </c:tx>
          <c:spPr>
            <a:solidFill>
              <a:schemeClr val="accent1"/>
            </a:solidFill>
            <a:ln>
              <a:noFill/>
            </a:ln>
            <a:effectLst/>
          </c:spPr>
          <c:invertIfNegative val="0"/>
          <c:cat>
            <c:strRef>
              <c:extLst>
                <c:ext xmlns:c15="http://schemas.microsoft.com/office/drawing/2012/chart" uri="{02D57815-91ED-43cb-92C2-25804820EDAC}">
                  <c15:fullRef>
                    <c15:sqref>Results!$AA$6:$AC$6</c15:sqref>
                  </c15:fullRef>
                </c:ext>
              </c:extLst>
              <c:f>(Results!$AA$6,Results!$AC$6)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Results!$AA$9:$AC$9</c15:sqref>
                  </c15:fullRef>
                </c:ext>
              </c:extLst>
              <c:f>(Results!$AA$9,Results!$AC$9)</c:f>
              <c:numCache>
                <c:formatCode>#,##0.00</c:formatCode>
                <c:ptCount val="2"/>
                <c:pt idx="0">
                  <c:v>40462.615364178804</c:v>
                </c:pt>
                <c:pt idx="1">
                  <c:v>14161.915377462581</c:v>
                </c:pt>
              </c:numCache>
            </c:numRef>
          </c:val>
          <c:extLst>
            <c:ext xmlns:c16="http://schemas.microsoft.com/office/drawing/2014/chart" uri="{C3380CC4-5D6E-409C-BE32-E72D297353CC}">
              <c16:uniqueId val="{00000003-F639-4215-9767-D6BC89EFE22A}"/>
            </c:ext>
          </c:extLst>
        </c:ser>
        <c:ser>
          <c:idx val="3"/>
          <c:order val="3"/>
          <c:tx>
            <c:strRef>
              <c:f>Results!$B$10</c:f>
              <c:strCache>
                <c:ptCount val="1"/>
                <c:pt idx="0">
                  <c:v>Use Phase</c:v>
                </c:pt>
              </c:strCache>
            </c:strRef>
          </c:tx>
          <c:spPr>
            <a:solidFill>
              <a:schemeClr val="accent4"/>
            </a:solidFill>
            <a:ln>
              <a:noFill/>
            </a:ln>
            <a:effectLst/>
          </c:spPr>
          <c:invertIfNegative val="0"/>
          <c:cat>
            <c:strRef>
              <c:extLst>
                <c:ext xmlns:c15="http://schemas.microsoft.com/office/drawing/2012/chart" uri="{02D57815-91ED-43cb-92C2-25804820EDAC}">
                  <c15:fullRef>
                    <c15:sqref>Results!$AA$6:$AC$6</c15:sqref>
                  </c15:fullRef>
                </c:ext>
              </c:extLst>
              <c:f>(Results!$AA$6,Results!$AC$6)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Results!$AA$10:$AC$10</c15:sqref>
                  </c15:fullRef>
                </c:ext>
              </c:extLst>
              <c:f>(Results!$AA$10,Results!$AC$10)</c:f>
              <c:numCache>
                <c:formatCode>#,##0.00</c:formatCode>
                <c:ptCount val="2"/>
                <c:pt idx="0">
                  <c:v>0</c:v>
                </c:pt>
                <c:pt idx="1">
                  <c:v>0</c:v>
                </c:pt>
              </c:numCache>
            </c:numRef>
          </c:val>
          <c:extLst>
            <c:ext xmlns:c16="http://schemas.microsoft.com/office/drawing/2014/chart" uri="{C3380CC4-5D6E-409C-BE32-E72D297353CC}">
              <c16:uniqueId val="{00000004-F639-4215-9767-D6BC89EFE22A}"/>
            </c:ext>
          </c:extLst>
        </c:ser>
        <c:ser>
          <c:idx val="4"/>
          <c:order val="4"/>
          <c:tx>
            <c:strRef>
              <c:f>Results!$B$11</c:f>
              <c:strCache>
                <c:ptCount val="1"/>
                <c:pt idx="0">
                  <c:v>Disposal</c:v>
                </c:pt>
              </c:strCache>
            </c:strRef>
          </c:tx>
          <c:spPr>
            <a:solidFill>
              <a:schemeClr val="accent5"/>
            </a:solidFill>
            <a:ln>
              <a:noFill/>
            </a:ln>
            <a:effectLst/>
          </c:spPr>
          <c:invertIfNegative val="0"/>
          <c:cat>
            <c:strRef>
              <c:extLst>
                <c:ext xmlns:c15="http://schemas.microsoft.com/office/drawing/2012/chart" uri="{02D57815-91ED-43cb-92C2-25804820EDAC}">
                  <c15:fullRef>
                    <c15:sqref>Results!$AA$6:$AC$6</c15:sqref>
                  </c15:fullRef>
                </c:ext>
              </c:extLst>
              <c:f>(Results!$AA$6,Results!$AC$6)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Results!$AA$11:$AC$11</c15:sqref>
                  </c15:fullRef>
                </c:ext>
              </c:extLst>
              <c:f>(Results!$AA$11,Results!$AC$11)</c:f>
              <c:numCache>
                <c:formatCode>#,##0.00</c:formatCode>
                <c:ptCount val="2"/>
                <c:pt idx="0">
                  <c:v>0</c:v>
                </c:pt>
                <c:pt idx="1">
                  <c:v>0</c:v>
                </c:pt>
              </c:numCache>
            </c:numRef>
          </c:val>
          <c:extLst>
            <c:ext xmlns:c16="http://schemas.microsoft.com/office/drawing/2014/chart" uri="{C3380CC4-5D6E-409C-BE32-E72D297353CC}">
              <c16:uniqueId val="{00000005-F639-4215-9767-D6BC89EFE22A}"/>
            </c:ext>
          </c:extLst>
        </c:ser>
        <c:dLbls>
          <c:showLegendKey val="0"/>
          <c:showVal val="0"/>
          <c:showCatName val="0"/>
          <c:showSerName val="0"/>
          <c:showPercent val="0"/>
          <c:showBubbleSize val="0"/>
        </c:dLbls>
        <c:gapWidth val="150"/>
        <c:overlap val="100"/>
        <c:axId val="1955254592"/>
        <c:axId val="1955255008"/>
      </c:barChart>
      <c:catAx>
        <c:axId val="195525459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1955255008"/>
        <c:crosses val="autoZero"/>
        <c:auto val="1"/>
        <c:lblAlgn val="ctr"/>
        <c:lblOffset val="100"/>
        <c:noMultiLvlLbl val="0"/>
      </c:catAx>
      <c:valAx>
        <c:axId val="1955255008"/>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Results!$D$6</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195525459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Results!$D$38</c:f>
              <c:strCache>
                <c:ptCount val="1"/>
                <c:pt idx="0">
                  <c:v>Energy Savings per Part (Btu)</c:v>
                </c:pt>
              </c:strCache>
            </c:strRef>
          </c:tx>
          <c:spPr>
            <a:solidFill>
              <a:srgbClr val="00B0F0"/>
            </a:solidFill>
          </c:spPr>
          <c:invertIfNegative val="0"/>
          <c:dPt>
            <c:idx val="5"/>
            <c:invertIfNegative val="0"/>
            <c:bubble3D val="0"/>
            <c:spPr>
              <a:solidFill>
                <a:schemeClr val="tx2">
                  <a:lumMod val="75000"/>
                </a:schemeClr>
              </a:solidFill>
            </c:spPr>
            <c:extLst>
              <c:ext xmlns:c16="http://schemas.microsoft.com/office/drawing/2014/chart" uri="{C3380CC4-5D6E-409C-BE32-E72D297353CC}">
                <c16:uniqueId val="{00000001-7CFB-4C82-887C-F47C5E8C2183}"/>
              </c:ext>
            </c:extLst>
          </c:dPt>
          <c:cat>
            <c:strRef>
              <c:f>Results!$B$39:$C$44</c:f>
              <c:strCache>
                <c:ptCount val="6"/>
                <c:pt idx="0">
                  <c:v>Material </c:v>
                </c:pt>
                <c:pt idx="1">
                  <c:v>Manufacturing</c:v>
                </c:pt>
                <c:pt idx="2">
                  <c:v>Freight and Distribution</c:v>
                </c:pt>
                <c:pt idx="3">
                  <c:v>Use Phase</c:v>
                </c:pt>
                <c:pt idx="4">
                  <c:v>Disposal</c:v>
                </c:pt>
                <c:pt idx="5">
                  <c:v>Total Energy Savings per Part</c:v>
                </c:pt>
              </c:strCache>
            </c:strRef>
          </c:cat>
          <c:val>
            <c:numRef>
              <c:f>Results!$AF$7:$AF$12</c:f>
              <c:numCache>
                <c:formatCode>#,##0.00</c:formatCode>
                <c:ptCount val="6"/>
                <c:pt idx="0">
                  <c:v>1965794.266438867</c:v>
                </c:pt>
                <c:pt idx="1">
                  <c:v>54650.262320833281</c:v>
                </c:pt>
                <c:pt idx="2">
                  <c:v>26300.699986716223</c:v>
                </c:pt>
                <c:pt idx="3">
                  <c:v>0</c:v>
                </c:pt>
                <c:pt idx="4">
                  <c:v>0</c:v>
                </c:pt>
                <c:pt idx="5">
                  <c:v>2046745.2287464165</c:v>
                </c:pt>
              </c:numCache>
            </c:numRef>
          </c:val>
          <c:extLst>
            <c:ext xmlns:c16="http://schemas.microsoft.com/office/drawing/2014/chart" uri="{C3380CC4-5D6E-409C-BE32-E72D297353CC}">
              <c16:uniqueId val="{00000002-7CFB-4C82-887C-F47C5E8C2183}"/>
            </c:ext>
          </c:extLst>
        </c:ser>
        <c:dLbls>
          <c:showLegendKey val="0"/>
          <c:showVal val="0"/>
          <c:showCatName val="0"/>
          <c:showSerName val="0"/>
          <c:showPercent val="0"/>
          <c:showBubbleSize val="0"/>
        </c:dLbls>
        <c:gapWidth val="150"/>
        <c:axId val="224375936"/>
        <c:axId val="224377472"/>
      </c:barChart>
      <c:catAx>
        <c:axId val="224375936"/>
        <c:scaling>
          <c:orientation val="minMax"/>
        </c:scaling>
        <c:delete val="0"/>
        <c:axPos val="b"/>
        <c:numFmt formatCode="General" sourceLinked="0"/>
        <c:majorTickMark val="none"/>
        <c:minorTickMark val="none"/>
        <c:tickLblPos val="low"/>
        <c:crossAx val="224377472"/>
        <c:crosses val="autoZero"/>
        <c:auto val="1"/>
        <c:lblAlgn val="ctr"/>
        <c:lblOffset val="100"/>
        <c:noMultiLvlLbl val="0"/>
      </c:catAx>
      <c:valAx>
        <c:axId val="224377472"/>
        <c:scaling>
          <c:orientation val="minMax"/>
        </c:scaling>
        <c:delete val="0"/>
        <c:axPos val="l"/>
        <c:majorGridlines>
          <c:spPr>
            <a:ln>
              <a:solidFill>
                <a:schemeClr val="bg2"/>
              </a:solidFill>
            </a:ln>
          </c:spPr>
        </c:majorGridlines>
        <c:title>
          <c:tx>
            <c:strRef>
              <c:f>Results!$D$38</c:f>
              <c:strCache>
                <c:ptCount val="1"/>
                <c:pt idx="0">
                  <c:v>Energy Savings per Part (Btu)</c:v>
                </c:pt>
              </c:strCache>
            </c:strRef>
          </c:tx>
          <c:overlay val="0"/>
        </c:title>
        <c:numFmt formatCode="#,##0" sourceLinked="0"/>
        <c:majorTickMark val="none"/>
        <c:minorTickMark val="none"/>
        <c:tickLblPos val="nextTo"/>
        <c:spPr>
          <a:ln>
            <a:solidFill>
              <a:schemeClr val="tx1"/>
            </a:solidFill>
          </a:ln>
        </c:spPr>
        <c:crossAx val="224375936"/>
        <c:crosses val="autoZero"/>
        <c:crossBetween val="between"/>
      </c:valAx>
      <c:spPr>
        <a:ln>
          <a:solidFill>
            <a:schemeClr val="tx1"/>
          </a:solidFill>
        </a:ln>
      </c:spPr>
    </c:plotArea>
    <c:plotVisOnly val="0"/>
    <c:dispBlanksAs val="gap"/>
    <c:showDLblsOverMax val="0"/>
  </c:chart>
  <c:spPr>
    <a:ln w="19050">
      <a:solidFill>
        <a:schemeClr val="tx1"/>
      </a:solidFill>
    </a:ln>
  </c:spPr>
  <c:txPr>
    <a:bodyPr/>
    <a:lstStyle/>
    <a:p>
      <a:pPr>
        <a:defRPr sz="1400"/>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r>
              <a:rPr lang="en-US"/>
              <a:t>Baseline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autoTitleDeleted val="0"/>
    <c:plotArea>
      <c:layout/>
      <c:barChart>
        <c:barDir val="col"/>
        <c:grouping val="stacked"/>
        <c:varyColors val="0"/>
        <c:ser>
          <c:idx val="0"/>
          <c:order val="0"/>
          <c:tx>
            <c:strRef>
              <c:f>Results!$AV$50</c:f>
              <c:strCache>
                <c:ptCount val="1"/>
                <c:pt idx="0">
                  <c:v>Material 1</c:v>
                </c:pt>
              </c:strCache>
            </c:strRef>
          </c:tx>
          <c:spPr>
            <a:solidFill>
              <a:schemeClr val="accent1"/>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Results!$AV$51:$AV$55</c:f>
              <c:numCache>
                <c:formatCode>#,##0</c:formatCode>
                <c:ptCount val="5"/>
                <c:pt idx="0">
                  <c:v>2337672.0086836056</c:v>
                </c:pt>
                <c:pt idx="4">
                  <c:v>-515071.94563820481</c:v>
                </c:pt>
              </c:numCache>
            </c:numRef>
          </c:val>
          <c:extLst>
            <c:ext xmlns:c16="http://schemas.microsoft.com/office/drawing/2014/chart" uri="{C3380CC4-5D6E-409C-BE32-E72D297353CC}">
              <c16:uniqueId val="{00000000-A4AD-4649-B984-343F45700381}"/>
            </c:ext>
          </c:extLst>
        </c:ser>
        <c:ser>
          <c:idx val="1"/>
          <c:order val="1"/>
          <c:tx>
            <c:strRef>
              <c:f>Results!$AW$50</c:f>
              <c:strCache>
                <c:ptCount val="1"/>
                <c:pt idx="0">
                  <c:v>Material 2</c:v>
                </c:pt>
              </c:strCache>
            </c:strRef>
          </c:tx>
          <c:spPr>
            <a:solidFill>
              <a:schemeClr val="accent1">
                <a:lumMod val="50000"/>
              </a:schemeClr>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Results!$AW$51:$AW$55</c:f>
              <c:numCache>
                <c:formatCode>#,##0</c:formatCode>
                <c:ptCount val="5"/>
                <c:pt idx="0">
                  <c:v>0</c:v>
                </c:pt>
                <c:pt idx="4">
                  <c:v>-154706.89266386066</c:v>
                </c:pt>
              </c:numCache>
            </c:numRef>
          </c:val>
          <c:extLst>
            <c:ext xmlns:c16="http://schemas.microsoft.com/office/drawing/2014/chart" uri="{C3380CC4-5D6E-409C-BE32-E72D297353CC}">
              <c16:uniqueId val="{00000001-A4AD-4649-B984-343F45700381}"/>
            </c:ext>
          </c:extLst>
        </c:ser>
        <c:ser>
          <c:idx val="2"/>
          <c:order val="2"/>
          <c:tx>
            <c:strRef>
              <c:f>Results!$AX$50</c:f>
              <c:strCache>
                <c:ptCount val="1"/>
                <c:pt idx="0">
                  <c:v>Primary</c:v>
                </c:pt>
              </c:strCache>
            </c:strRef>
          </c:tx>
          <c:spPr>
            <a:solidFill>
              <a:schemeClr val="accent2"/>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Results!$AX$51:$AX$55</c:f>
              <c:numCache>
                <c:formatCode>#,##0</c:formatCode>
                <c:ptCount val="5"/>
                <c:pt idx="1">
                  <c:v>4128</c:v>
                </c:pt>
              </c:numCache>
            </c:numRef>
          </c:val>
          <c:extLst>
            <c:ext xmlns:c16="http://schemas.microsoft.com/office/drawing/2014/chart" uri="{C3380CC4-5D6E-409C-BE32-E72D297353CC}">
              <c16:uniqueId val="{00000002-A4AD-4649-B984-343F45700381}"/>
            </c:ext>
          </c:extLst>
        </c:ser>
        <c:ser>
          <c:idx val="3"/>
          <c:order val="3"/>
          <c:tx>
            <c:strRef>
              <c:f>Results!$AY$50</c:f>
              <c:strCache>
                <c:ptCount val="1"/>
                <c:pt idx="0">
                  <c:v>Secondary</c:v>
                </c:pt>
              </c:strCache>
            </c:strRef>
          </c:tx>
          <c:spPr>
            <a:solidFill>
              <a:schemeClr val="accent2">
                <a:lumMod val="60000"/>
                <a:lumOff val="40000"/>
              </a:schemeClr>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Results!$AY$51:$AY$55</c:f>
              <c:numCache>
                <c:formatCode>#,##0</c:formatCode>
                <c:ptCount val="5"/>
                <c:pt idx="1">
                  <c:v>795881.65500000003</c:v>
                </c:pt>
              </c:numCache>
            </c:numRef>
          </c:val>
          <c:extLst>
            <c:ext xmlns:c16="http://schemas.microsoft.com/office/drawing/2014/chart" uri="{C3380CC4-5D6E-409C-BE32-E72D297353CC}">
              <c16:uniqueId val="{00000003-A4AD-4649-B984-343F45700381}"/>
            </c:ext>
          </c:extLst>
        </c:ser>
        <c:ser>
          <c:idx val="4"/>
          <c:order val="4"/>
          <c:tx>
            <c:strRef>
              <c:f>Results!$AZ$50</c:f>
              <c:strCache>
                <c:ptCount val="1"/>
                <c:pt idx="0">
                  <c:v>Tooling</c:v>
                </c:pt>
              </c:strCache>
            </c:strRef>
          </c:tx>
          <c:spPr>
            <a:solidFill>
              <a:schemeClr val="accent2">
                <a:lumMod val="40000"/>
                <a:lumOff val="60000"/>
              </a:schemeClr>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Results!$AZ$51:$AZ$55</c:f>
              <c:numCache>
                <c:formatCode>#,##0</c:formatCode>
                <c:ptCount val="5"/>
                <c:pt idx="1">
                  <c:v>0</c:v>
                </c:pt>
              </c:numCache>
            </c:numRef>
          </c:val>
          <c:extLst>
            <c:ext xmlns:c16="http://schemas.microsoft.com/office/drawing/2014/chart" uri="{C3380CC4-5D6E-409C-BE32-E72D297353CC}">
              <c16:uniqueId val="{00000004-A4AD-4649-B984-343F45700381}"/>
            </c:ext>
          </c:extLst>
        </c:ser>
        <c:ser>
          <c:idx val="5"/>
          <c:order val="5"/>
          <c:tx>
            <c:strRef>
              <c:f>Results!$BA$50</c:f>
              <c:strCache>
                <c:ptCount val="1"/>
                <c:pt idx="0">
                  <c:v>Stage 1</c:v>
                </c:pt>
              </c:strCache>
            </c:strRef>
          </c:tx>
          <c:spPr>
            <a:solidFill>
              <a:schemeClr val="accent3"/>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Results!$BA$51:$BA$55</c:f>
              <c:numCache>
                <c:formatCode>#,##0</c:formatCode>
                <c:ptCount val="5"/>
                <c:pt idx="2">
                  <c:v>22838.186192296751</c:v>
                </c:pt>
              </c:numCache>
            </c:numRef>
          </c:val>
          <c:extLst>
            <c:ext xmlns:c16="http://schemas.microsoft.com/office/drawing/2014/chart" uri="{C3380CC4-5D6E-409C-BE32-E72D297353CC}">
              <c16:uniqueId val="{00000005-A4AD-4649-B984-343F45700381}"/>
            </c:ext>
          </c:extLst>
        </c:ser>
        <c:ser>
          <c:idx val="6"/>
          <c:order val="6"/>
          <c:tx>
            <c:strRef>
              <c:f>Results!$BB$50</c:f>
              <c:strCache>
                <c:ptCount val="1"/>
                <c:pt idx="0">
                  <c:v>Stage 2</c:v>
                </c:pt>
              </c:strCache>
            </c:strRef>
          </c:tx>
          <c:spPr>
            <a:solidFill>
              <a:schemeClr val="accent3">
                <a:lumMod val="20000"/>
                <a:lumOff val="80000"/>
              </a:schemeClr>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Results!$BB$51:$BB$55</c:f>
              <c:numCache>
                <c:formatCode>#,##0</c:formatCode>
                <c:ptCount val="5"/>
                <c:pt idx="2">
                  <c:v>17624.429171882057</c:v>
                </c:pt>
              </c:numCache>
            </c:numRef>
          </c:val>
          <c:extLst>
            <c:ext xmlns:c16="http://schemas.microsoft.com/office/drawing/2014/chart" uri="{C3380CC4-5D6E-409C-BE32-E72D297353CC}">
              <c16:uniqueId val="{00000006-A4AD-4649-B984-343F45700381}"/>
            </c:ext>
          </c:extLst>
        </c:ser>
        <c:ser>
          <c:idx val="7"/>
          <c:order val="7"/>
          <c:tx>
            <c:strRef>
              <c:f>Results!$BC$50</c:f>
              <c:strCache>
                <c:ptCount val="1"/>
                <c:pt idx="0">
                  <c:v>Mobile</c:v>
                </c:pt>
              </c:strCache>
            </c:strRef>
          </c:tx>
          <c:spPr>
            <a:solidFill>
              <a:schemeClr val="accent4"/>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Results!$BC$51:$BC$55</c:f>
              <c:numCache>
                <c:formatCode>#,##0</c:formatCode>
                <c:ptCount val="5"/>
                <c:pt idx="3">
                  <c:v>99583758.586800039</c:v>
                </c:pt>
              </c:numCache>
            </c:numRef>
          </c:val>
          <c:extLst>
            <c:ext xmlns:c16="http://schemas.microsoft.com/office/drawing/2014/chart" uri="{C3380CC4-5D6E-409C-BE32-E72D297353CC}">
              <c16:uniqueId val="{00000007-A4AD-4649-B984-343F45700381}"/>
            </c:ext>
          </c:extLst>
        </c:ser>
        <c:ser>
          <c:idx val="8"/>
          <c:order val="8"/>
          <c:tx>
            <c:strRef>
              <c:f>Results!$BD$50</c:f>
              <c:strCache>
                <c:ptCount val="1"/>
                <c:pt idx="0">
                  <c:v>Stationary</c:v>
                </c:pt>
              </c:strCache>
            </c:strRef>
          </c:tx>
          <c:spPr>
            <a:solidFill>
              <a:schemeClr val="accent4">
                <a:lumMod val="75000"/>
              </a:schemeClr>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Results!$BD$51:$BD$55</c:f>
              <c:numCache>
                <c:formatCode>#,##0</c:formatCode>
                <c:ptCount val="5"/>
                <c:pt idx="3">
                  <c:v>0</c:v>
                </c:pt>
              </c:numCache>
            </c:numRef>
          </c:val>
          <c:extLst>
            <c:ext xmlns:c16="http://schemas.microsoft.com/office/drawing/2014/chart" uri="{C3380CC4-5D6E-409C-BE32-E72D297353CC}">
              <c16:uniqueId val="{00000008-A4AD-4649-B984-343F45700381}"/>
            </c:ext>
          </c:extLst>
        </c:ser>
        <c:dLbls>
          <c:showLegendKey val="0"/>
          <c:showVal val="0"/>
          <c:showCatName val="0"/>
          <c:showSerName val="0"/>
          <c:showPercent val="0"/>
          <c:showBubbleSize val="0"/>
        </c:dLbls>
        <c:gapWidth val="150"/>
        <c:overlap val="100"/>
        <c:axId val="803256432"/>
        <c:axId val="803252272"/>
      </c:barChart>
      <c:catAx>
        <c:axId val="8032564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2272"/>
        <c:crosses val="autoZero"/>
        <c:auto val="1"/>
        <c:lblAlgn val="ctr"/>
        <c:lblOffset val="100"/>
        <c:noMultiLvlLbl val="0"/>
      </c:catAx>
      <c:valAx>
        <c:axId val="80325227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Results!$D$50</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643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Results!$D$38</c:f>
              <c:strCache>
                <c:ptCount val="1"/>
                <c:pt idx="0">
                  <c:v>Energy Savings per Part (Btu)</c:v>
                </c:pt>
              </c:strCache>
            </c:strRef>
          </c:tx>
          <c:spPr>
            <a:solidFill>
              <a:srgbClr val="00B0F0"/>
            </a:solidFill>
          </c:spPr>
          <c:invertIfNegative val="0"/>
          <c:dPt>
            <c:idx val="5"/>
            <c:invertIfNegative val="0"/>
            <c:bubble3D val="0"/>
            <c:spPr>
              <a:solidFill>
                <a:schemeClr val="tx2">
                  <a:lumMod val="75000"/>
                </a:schemeClr>
              </a:solidFill>
            </c:spPr>
            <c:extLst>
              <c:ext xmlns:c16="http://schemas.microsoft.com/office/drawing/2014/chart" uri="{C3380CC4-5D6E-409C-BE32-E72D297353CC}">
                <c16:uniqueId val="{00000001-5792-4604-B187-459578678B98}"/>
              </c:ext>
            </c:extLst>
          </c:dPt>
          <c:cat>
            <c:strRef>
              <c:f>Results!$B$39:$C$44</c:f>
              <c:strCache>
                <c:ptCount val="6"/>
                <c:pt idx="0">
                  <c:v>Material </c:v>
                </c:pt>
                <c:pt idx="1">
                  <c:v>Manufacturing</c:v>
                </c:pt>
                <c:pt idx="2">
                  <c:v>Freight and Distribution</c:v>
                </c:pt>
                <c:pt idx="3">
                  <c:v>Use Phase</c:v>
                </c:pt>
                <c:pt idx="4">
                  <c:v>Disposal</c:v>
                </c:pt>
                <c:pt idx="5">
                  <c:v>Total Energy Savings per Part</c:v>
                </c:pt>
              </c:strCache>
            </c:strRef>
          </c:cat>
          <c:val>
            <c:numRef>
              <c:f>Results!$AG$7:$AG$12</c:f>
              <c:numCache>
                <c:formatCode>#,##0.00</c:formatCode>
                <c:ptCount val="6"/>
                <c:pt idx="0">
                  <c:v>135.68052544202629</c:v>
                </c:pt>
                <c:pt idx="1">
                  <c:v>5.7947868823539466</c:v>
                </c:pt>
                <c:pt idx="2">
                  <c:v>0.8095509494825267</c:v>
                </c:pt>
                <c:pt idx="3">
                  <c:v>0</c:v>
                </c:pt>
                <c:pt idx="4">
                  <c:v>0</c:v>
                </c:pt>
                <c:pt idx="5">
                  <c:v>142.28486327386275</c:v>
                </c:pt>
              </c:numCache>
            </c:numRef>
          </c:val>
          <c:extLst>
            <c:ext xmlns:c16="http://schemas.microsoft.com/office/drawing/2014/chart" uri="{C3380CC4-5D6E-409C-BE32-E72D297353CC}">
              <c16:uniqueId val="{00000002-5792-4604-B187-459578678B98}"/>
            </c:ext>
          </c:extLst>
        </c:ser>
        <c:dLbls>
          <c:showLegendKey val="0"/>
          <c:showVal val="0"/>
          <c:showCatName val="0"/>
          <c:showSerName val="0"/>
          <c:showPercent val="0"/>
          <c:showBubbleSize val="0"/>
        </c:dLbls>
        <c:gapWidth val="150"/>
        <c:axId val="224375936"/>
        <c:axId val="224377472"/>
      </c:barChart>
      <c:catAx>
        <c:axId val="224375936"/>
        <c:scaling>
          <c:orientation val="minMax"/>
        </c:scaling>
        <c:delete val="0"/>
        <c:axPos val="b"/>
        <c:numFmt formatCode="General" sourceLinked="0"/>
        <c:majorTickMark val="none"/>
        <c:minorTickMark val="none"/>
        <c:tickLblPos val="low"/>
        <c:crossAx val="224377472"/>
        <c:crosses val="autoZero"/>
        <c:auto val="1"/>
        <c:lblAlgn val="ctr"/>
        <c:lblOffset val="100"/>
        <c:noMultiLvlLbl val="0"/>
      </c:catAx>
      <c:valAx>
        <c:axId val="224377472"/>
        <c:scaling>
          <c:orientation val="minMax"/>
        </c:scaling>
        <c:delete val="0"/>
        <c:axPos val="l"/>
        <c:majorGridlines>
          <c:spPr>
            <a:ln>
              <a:solidFill>
                <a:schemeClr val="bg2"/>
              </a:solidFill>
            </a:ln>
          </c:spPr>
        </c:majorGridlines>
        <c:title>
          <c:tx>
            <c:strRef>
              <c:f>Results!$E$38</c:f>
              <c:strCache>
                <c:ptCount val="1"/>
                <c:pt idx="0">
                  <c:v>Carbon Savings per Part (kg)</c:v>
                </c:pt>
              </c:strCache>
            </c:strRef>
          </c:tx>
          <c:overlay val="0"/>
        </c:title>
        <c:numFmt formatCode="#,##0" sourceLinked="0"/>
        <c:majorTickMark val="none"/>
        <c:minorTickMark val="none"/>
        <c:tickLblPos val="nextTo"/>
        <c:spPr>
          <a:ln>
            <a:solidFill>
              <a:schemeClr val="tx1"/>
            </a:solidFill>
          </a:ln>
        </c:spPr>
        <c:crossAx val="224375936"/>
        <c:crosses val="autoZero"/>
        <c:crossBetween val="between"/>
      </c:valAx>
      <c:spPr>
        <a:ln>
          <a:solidFill>
            <a:schemeClr val="tx1"/>
          </a:solidFill>
        </a:ln>
      </c:spPr>
    </c:plotArea>
    <c:plotVisOnly val="0"/>
    <c:dispBlanksAs val="gap"/>
    <c:showDLblsOverMax val="0"/>
  </c:chart>
  <c:spPr>
    <a:ln w="19050">
      <a:solidFill>
        <a:schemeClr val="tx1"/>
      </a:solidFill>
    </a:ln>
  </c:spPr>
  <c:txPr>
    <a:bodyPr/>
    <a:lstStyle/>
    <a:p>
      <a:pPr>
        <a:defRPr sz="140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Results!$AB$6</c:f>
              <c:strCache>
                <c:ptCount val="1"/>
                <c:pt idx="0">
                  <c:v>Conventional Manufacturing (BL)</c:v>
                </c:pt>
              </c:strCache>
            </c:strRef>
          </c:tx>
          <c:spPr>
            <a:solidFill>
              <a:srgbClr val="00B050"/>
            </a:solidFill>
          </c:spPr>
          <c:invertIfNegative val="0"/>
          <c:cat>
            <c:strRef>
              <c:f>Results!$B$7:$B$11</c:f>
              <c:strCache>
                <c:ptCount val="5"/>
                <c:pt idx="0">
                  <c:v>Material </c:v>
                </c:pt>
                <c:pt idx="1">
                  <c:v>Manufacturing</c:v>
                </c:pt>
                <c:pt idx="2">
                  <c:v>Freight and Distribution</c:v>
                </c:pt>
                <c:pt idx="3">
                  <c:v>Use Phase</c:v>
                </c:pt>
                <c:pt idx="4">
                  <c:v>Disposal</c:v>
                </c:pt>
              </c:strCache>
            </c:strRef>
          </c:cat>
          <c:val>
            <c:numRef>
              <c:f>Results!$AB$7:$AB$11</c:f>
              <c:numCache>
                <c:formatCode>#,##0.00</c:formatCode>
                <c:ptCount val="5"/>
                <c:pt idx="0">
                  <c:v>162.77090836516044</c:v>
                </c:pt>
                <c:pt idx="1">
                  <c:v>87.235078274853933</c:v>
                </c:pt>
                <c:pt idx="2">
                  <c:v>1.2454629992038873</c:v>
                </c:pt>
                <c:pt idx="3">
                  <c:v>0</c:v>
                </c:pt>
                <c:pt idx="4">
                  <c:v>0</c:v>
                </c:pt>
              </c:numCache>
            </c:numRef>
          </c:val>
          <c:extLst>
            <c:ext xmlns:c16="http://schemas.microsoft.com/office/drawing/2014/chart" uri="{C3380CC4-5D6E-409C-BE32-E72D297353CC}">
              <c16:uniqueId val="{00000000-800A-4454-87BF-7F8949B2123E}"/>
            </c:ext>
          </c:extLst>
        </c:ser>
        <c:ser>
          <c:idx val="2"/>
          <c:order val="1"/>
          <c:tx>
            <c:strRef>
              <c:f>Results!$AD$6</c:f>
              <c:strCache>
                <c:ptCount val="1"/>
                <c:pt idx="0">
                  <c:v>Additive Manufacturing (Alternate)</c:v>
                </c:pt>
              </c:strCache>
            </c:strRef>
          </c:tx>
          <c:spPr>
            <a:solidFill>
              <a:srgbClr val="00B0F0"/>
            </a:solidFill>
          </c:spPr>
          <c:invertIfNegative val="0"/>
          <c:cat>
            <c:strRef>
              <c:f>Results!$B$7:$B$11</c:f>
              <c:strCache>
                <c:ptCount val="5"/>
                <c:pt idx="0">
                  <c:v>Material </c:v>
                </c:pt>
                <c:pt idx="1">
                  <c:v>Manufacturing</c:v>
                </c:pt>
                <c:pt idx="2">
                  <c:v>Freight and Distribution</c:v>
                </c:pt>
                <c:pt idx="3">
                  <c:v>Use Phase</c:v>
                </c:pt>
                <c:pt idx="4">
                  <c:v>Disposal</c:v>
                </c:pt>
              </c:strCache>
            </c:strRef>
          </c:cat>
          <c:val>
            <c:numRef>
              <c:f>Results!$AD$7:$AD$11</c:f>
              <c:numCache>
                <c:formatCode>#,##0.00</c:formatCode>
                <c:ptCount val="5"/>
                <c:pt idx="0">
                  <c:v>27.090382923134143</c:v>
                </c:pt>
                <c:pt idx="1">
                  <c:v>81.440291392499987</c:v>
                </c:pt>
                <c:pt idx="2">
                  <c:v>0.43591204972136055</c:v>
                </c:pt>
                <c:pt idx="3">
                  <c:v>0</c:v>
                </c:pt>
                <c:pt idx="4">
                  <c:v>0</c:v>
                </c:pt>
              </c:numCache>
            </c:numRef>
          </c:val>
          <c:extLst>
            <c:ext xmlns:c16="http://schemas.microsoft.com/office/drawing/2014/chart" uri="{C3380CC4-5D6E-409C-BE32-E72D297353CC}">
              <c16:uniqueId val="{00000001-800A-4454-87BF-7F8949B2123E}"/>
            </c:ext>
          </c:extLst>
        </c:ser>
        <c:dLbls>
          <c:showLegendKey val="0"/>
          <c:showVal val="0"/>
          <c:showCatName val="0"/>
          <c:showSerName val="0"/>
          <c:showPercent val="0"/>
          <c:showBubbleSize val="0"/>
        </c:dLbls>
        <c:gapWidth val="75"/>
        <c:overlap val="-25"/>
        <c:axId val="226422144"/>
        <c:axId val="226423936"/>
      </c:barChart>
      <c:catAx>
        <c:axId val="226422144"/>
        <c:scaling>
          <c:orientation val="minMax"/>
        </c:scaling>
        <c:delete val="0"/>
        <c:axPos val="b"/>
        <c:numFmt formatCode="General" sourceLinked="0"/>
        <c:majorTickMark val="none"/>
        <c:minorTickMark val="none"/>
        <c:tickLblPos val="low"/>
        <c:spPr>
          <a:ln>
            <a:solidFill>
              <a:schemeClr val="tx1"/>
            </a:solidFill>
          </a:ln>
        </c:spPr>
        <c:crossAx val="226423936"/>
        <c:crosses val="autoZero"/>
        <c:auto val="1"/>
        <c:lblAlgn val="ctr"/>
        <c:lblOffset val="100"/>
        <c:noMultiLvlLbl val="0"/>
      </c:catAx>
      <c:valAx>
        <c:axId val="226423936"/>
        <c:scaling>
          <c:orientation val="minMax"/>
        </c:scaling>
        <c:delete val="0"/>
        <c:axPos val="l"/>
        <c:majorGridlines>
          <c:spPr>
            <a:ln>
              <a:solidFill>
                <a:schemeClr val="bg2"/>
              </a:solidFill>
            </a:ln>
          </c:spPr>
        </c:majorGridlines>
        <c:title>
          <c:tx>
            <c:strRef>
              <c:f>Results!$E$6</c:f>
              <c:strCache>
                <c:ptCount val="1"/>
                <c:pt idx="0">
                  <c:v>Stage Carbon (kg/part)</c:v>
                </c:pt>
              </c:strCache>
            </c:strRef>
          </c:tx>
          <c:overlay val="0"/>
        </c:title>
        <c:numFmt formatCode="#,##0" sourceLinked="0"/>
        <c:majorTickMark val="none"/>
        <c:minorTickMark val="none"/>
        <c:tickLblPos val="nextTo"/>
        <c:spPr>
          <a:ln w="9525">
            <a:noFill/>
          </a:ln>
        </c:spPr>
        <c:crossAx val="226422144"/>
        <c:crosses val="autoZero"/>
        <c:crossBetween val="between"/>
      </c:valAx>
      <c:spPr>
        <a:ln>
          <a:solidFill>
            <a:schemeClr val="tx1"/>
          </a:solidFill>
        </a:ln>
      </c:spPr>
    </c:plotArea>
    <c:legend>
      <c:legendPos val="b"/>
      <c:overlay val="0"/>
    </c:legend>
    <c:plotVisOnly val="0"/>
    <c:dispBlanksAs val="gap"/>
    <c:showDLblsOverMax val="0"/>
  </c:chart>
  <c:spPr>
    <a:solidFill>
      <a:schemeClr val="bg1"/>
    </a:solidFill>
    <a:ln w="12700">
      <a:solidFill>
        <a:schemeClr val="tx1"/>
      </a:solidFill>
    </a:ln>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Results!$B$7</c:f>
              <c:strCache>
                <c:ptCount val="1"/>
                <c:pt idx="0">
                  <c:v>Material </c:v>
                </c:pt>
              </c:strCache>
            </c:strRef>
          </c:tx>
          <c:spPr>
            <a:solidFill>
              <a:schemeClr val="accent2"/>
            </a:solidFill>
            <a:ln>
              <a:noFill/>
            </a:ln>
            <a:effectLst/>
          </c:spPr>
          <c:invertIfNegative val="0"/>
          <c:cat>
            <c:strRef>
              <c:extLst>
                <c:ext xmlns:c15="http://schemas.microsoft.com/office/drawing/2012/chart" uri="{02D57815-91ED-43cb-92C2-25804820EDAC}">
                  <c15:fullRef>
                    <c15:sqref>Results!$AB$6:$AD$6</c15:sqref>
                  </c15:fullRef>
                </c:ext>
              </c:extLst>
              <c:f>(Results!$AB$6,Results!$AD$6)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Results!$AB$7:$AD$7</c15:sqref>
                  </c15:fullRef>
                </c:ext>
              </c:extLst>
              <c:f>(Results!$AB$7,Results!$AD$7)</c:f>
              <c:numCache>
                <c:formatCode>#,##0.00</c:formatCode>
                <c:ptCount val="2"/>
                <c:pt idx="0">
                  <c:v>162.77090836516044</c:v>
                </c:pt>
                <c:pt idx="1">
                  <c:v>27.090382923134143</c:v>
                </c:pt>
              </c:numCache>
            </c:numRef>
          </c:val>
          <c:extLst>
            <c:ext xmlns:c16="http://schemas.microsoft.com/office/drawing/2014/chart" uri="{C3380CC4-5D6E-409C-BE32-E72D297353CC}">
              <c16:uniqueId val="{00000000-0097-4513-8795-15266FDA1DDE}"/>
            </c:ext>
          </c:extLst>
        </c:ser>
        <c:ser>
          <c:idx val="2"/>
          <c:order val="1"/>
          <c:tx>
            <c:strRef>
              <c:f>Results!$B$8</c:f>
              <c:strCache>
                <c:ptCount val="1"/>
                <c:pt idx="0">
                  <c:v>Manufacturing</c:v>
                </c:pt>
              </c:strCache>
            </c:strRef>
          </c:tx>
          <c:spPr>
            <a:solidFill>
              <a:schemeClr val="accent3"/>
            </a:solidFill>
            <a:ln>
              <a:noFill/>
            </a:ln>
            <a:effectLst/>
          </c:spPr>
          <c:invertIfNegative val="0"/>
          <c:cat>
            <c:strRef>
              <c:extLst>
                <c:ext xmlns:c15="http://schemas.microsoft.com/office/drawing/2012/chart" uri="{02D57815-91ED-43cb-92C2-25804820EDAC}">
                  <c15:fullRef>
                    <c15:sqref>Results!$AB$6:$AD$6</c15:sqref>
                  </c15:fullRef>
                </c:ext>
              </c:extLst>
              <c:f>(Results!$AB$6,Results!$AD$6)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Results!$AB$8:$AD$8</c15:sqref>
                  </c15:fullRef>
                </c:ext>
              </c:extLst>
              <c:f>(Results!$AB$8,Results!$AD$8)</c:f>
              <c:numCache>
                <c:formatCode>#,##0.00</c:formatCode>
                <c:ptCount val="2"/>
                <c:pt idx="0">
                  <c:v>87.235078274853933</c:v>
                </c:pt>
                <c:pt idx="1">
                  <c:v>81.440291392499987</c:v>
                </c:pt>
              </c:numCache>
            </c:numRef>
          </c:val>
          <c:extLst>
            <c:ext xmlns:c16="http://schemas.microsoft.com/office/drawing/2014/chart" uri="{C3380CC4-5D6E-409C-BE32-E72D297353CC}">
              <c16:uniqueId val="{00000001-0097-4513-8795-15266FDA1DDE}"/>
            </c:ext>
          </c:extLst>
        </c:ser>
        <c:ser>
          <c:idx val="0"/>
          <c:order val="2"/>
          <c:tx>
            <c:strRef>
              <c:f>Results!$B$9</c:f>
              <c:strCache>
                <c:ptCount val="1"/>
                <c:pt idx="0">
                  <c:v>Freight and Distribution</c:v>
                </c:pt>
              </c:strCache>
            </c:strRef>
          </c:tx>
          <c:spPr>
            <a:solidFill>
              <a:schemeClr val="accent1"/>
            </a:solidFill>
            <a:ln>
              <a:noFill/>
            </a:ln>
            <a:effectLst/>
          </c:spPr>
          <c:invertIfNegative val="0"/>
          <c:cat>
            <c:strRef>
              <c:extLst>
                <c:ext xmlns:c15="http://schemas.microsoft.com/office/drawing/2012/chart" uri="{02D57815-91ED-43cb-92C2-25804820EDAC}">
                  <c15:fullRef>
                    <c15:sqref>Results!$AB$6:$AD$6</c15:sqref>
                  </c15:fullRef>
                </c:ext>
              </c:extLst>
              <c:f>(Results!$AB$6,Results!$AD$6)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Results!$AB$9:$AD$9</c15:sqref>
                  </c15:fullRef>
                </c:ext>
              </c:extLst>
              <c:f>(Results!$AB$9,Results!$AD$9)</c:f>
              <c:numCache>
                <c:formatCode>#,##0.00</c:formatCode>
                <c:ptCount val="2"/>
                <c:pt idx="0">
                  <c:v>1.2454629992038873</c:v>
                </c:pt>
                <c:pt idx="1">
                  <c:v>0.43591204972136055</c:v>
                </c:pt>
              </c:numCache>
            </c:numRef>
          </c:val>
          <c:extLst>
            <c:ext xmlns:c16="http://schemas.microsoft.com/office/drawing/2014/chart" uri="{C3380CC4-5D6E-409C-BE32-E72D297353CC}">
              <c16:uniqueId val="{00000002-0097-4513-8795-15266FDA1DDE}"/>
            </c:ext>
          </c:extLst>
        </c:ser>
        <c:ser>
          <c:idx val="3"/>
          <c:order val="3"/>
          <c:tx>
            <c:strRef>
              <c:f>Results!$B$10</c:f>
              <c:strCache>
                <c:ptCount val="1"/>
                <c:pt idx="0">
                  <c:v>Use Phase</c:v>
                </c:pt>
              </c:strCache>
            </c:strRef>
          </c:tx>
          <c:spPr>
            <a:solidFill>
              <a:schemeClr val="accent4"/>
            </a:solidFill>
            <a:ln>
              <a:noFill/>
            </a:ln>
            <a:effectLst/>
          </c:spPr>
          <c:invertIfNegative val="0"/>
          <c:cat>
            <c:strRef>
              <c:extLst>
                <c:ext xmlns:c15="http://schemas.microsoft.com/office/drawing/2012/chart" uri="{02D57815-91ED-43cb-92C2-25804820EDAC}">
                  <c15:fullRef>
                    <c15:sqref>Results!$AB$6:$AD$6</c15:sqref>
                  </c15:fullRef>
                </c:ext>
              </c:extLst>
              <c:f>(Results!$AB$6,Results!$AD$6)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Results!$AB$10:$AD$10</c15:sqref>
                  </c15:fullRef>
                </c:ext>
              </c:extLst>
              <c:f>(Results!$AB$10,Results!$AD$10)</c:f>
              <c:numCache>
                <c:formatCode>#,##0.00</c:formatCode>
                <c:ptCount val="2"/>
                <c:pt idx="0">
                  <c:v>0</c:v>
                </c:pt>
                <c:pt idx="1">
                  <c:v>0</c:v>
                </c:pt>
              </c:numCache>
            </c:numRef>
          </c:val>
          <c:extLst>
            <c:ext xmlns:c16="http://schemas.microsoft.com/office/drawing/2014/chart" uri="{C3380CC4-5D6E-409C-BE32-E72D297353CC}">
              <c16:uniqueId val="{00000003-0097-4513-8795-15266FDA1DDE}"/>
            </c:ext>
          </c:extLst>
        </c:ser>
        <c:ser>
          <c:idx val="4"/>
          <c:order val="4"/>
          <c:tx>
            <c:strRef>
              <c:f>Results!$B$11</c:f>
              <c:strCache>
                <c:ptCount val="1"/>
                <c:pt idx="0">
                  <c:v>Disposal</c:v>
                </c:pt>
              </c:strCache>
            </c:strRef>
          </c:tx>
          <c:spPr>
            <a:solidFill>
              <a:schemeClr val="accent5"/>
            </a:solidFill>
            <a:ln>
              <a:noFill/>
            </a:ln>
            <a:effectLst/>
          </c:spPr>
          <c:invertIfNegative val="0"/>
          <c:cat>
            <c:strRef>
              <c:extLst>
                <c:ext xmlns:c15="http://schemas.microsoft.com/office/drawing/2012/chart" uri="{02D57815-91ED-43cb-92C2-25804820EDAC}">
                  <c15:fullRef>
                    <c15:sqref>Results!$AB$6:$AD$6</c15:sqref>
                  </c15:fullRef>
                </c:ext>
              </c:extLst>
              <c:f>(Results!$AB$6,Results!$AD$6)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Results!$AB$11:$AD$11</c15:sqref>
                  </c15:fullRef>
                </c:ext>
              </c:extLst>
              <c:f>(Results!$AB$11,Results!$AD$11)</c:f>
              <c:numCache>
                <c:formatCode>#,##0.00</c:formatCode>
                <c:ptCount val="2"/>
                <c:pt idx="0">
                  <c:v>0</c:v>
                </c:pt>
                <c:pt idx="1">
                  <c:v>0</c:v>
                </c:pt>
              </c:numCache>
            </c:numRef>
          </c:val>
          <c:extLst>
            <c:ext xmlns:c16="http://schemas.microsoft.com/office/drawing/2014/chart" uri="{C3380CC4-5D6E-409C-BE32-E72D297353CC}">
              <c16:uniqueId val="{00000004-0097-4513-8795-15266FDA1DDE}"/>
            </c:ext>
          </c:extLst>
        </c:ser>
        <c:dLbls>
          <c:showLegendKey val="0"/>
          <c:showVal val="0"/>
          <c:showCatName val="0"/>
          <c:showSerName val="0"/>
          <c:showPercent val="0"/>
          <c:showBubbleSize val="0"/>
        </c:dLbls>
        <c:gapWidth val="150"/>
        <c:overlap val="100"/>
        <c:axId val="1955254592"/>
        <c:axId val="1955255008"/>
      </c:barChart>
      <c:catAx>
        <c:axId val="195525459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1955255008"/>
        <c:crosses val="autoZero"/>
        <c:auto val="1"/>
        <c:lblAlgn val="ctr"/>
        <c:lblOffset val="100"/>
        <c:noMultiLvlLbl val="0"/>
      </c:catAx>
      <c:valAx>
        <c:axId val="1955255008"/>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Results!$E$6</c:f>
              <c:strCache>
                <c:ptCount val="1"/>
                <c:pt idx="0">
                  <c:v>Stage Carbon (kg/part)</c:v>
                </c:pt>
              </c:strCache>
            </c:strRef>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195525459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r>
              <a:rPr lang="en-US"/>
              <a:t>Baseline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autoTitleDeleted val="0"/>
    <c:plotArea>
      <c:layout/>
      <c:barChart>
        <c:barDir val="col"/>
        <c:grouping val="stacked"/>
        <c:varyColors val="0"/>
        <c:ser>
          <c:idx val="0"/>
          <c:order val="0"/>
          <c:tx>
            <c:strRef>
              <c:f>Results!$AV$50</c:f>
              <c:strCache>
                <c:ptCount val="1"/>
                <c:pt idx="0">
                  <c:v>Material 1</c:v>
                </c:pt>
              </c:strCache>
            </c:strRef>
          </c:tx>
          <c:spPr>
            <a:solidFill>
              <a:schemeClr val="accent1"/>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Results!$AV$65:$AV$69</c:f>
              <c:numCache>
                <c:formatCode>#,##0</c:formatCode>
                <c:ptCount val="5"/>
                <c:pt idx="0">
                  <c:v>162.77090836516044</c:v>
                </c:pt>
                <c:pt idx="4">
                  <c:v>-37.701220919704987</c:v>
                </c:pt>
              </c:numCache>
            </c:numRef>
          </c:val>
          <c:extLst>
            <c:ext xmlns:c16="http://schemas.microsoft.com/office/drawing/2014/chart" uri="{C3380CC4-5D6E-409C-BE32-E72D297353CC}">
              <c16:uniqueId val="{00000000-0DDE-4BC5-B282-399CEF283881}"/>
            </c:ext>
          </c:extLst>
        </c:ser>
        <c:ser>
          <c:idx val="1"/>
          <c:order val="1"/>
          <c:tx>
            <c:strRef>
              <c:f>Results!$AW$50</c:f>
              <c:strCache>
                <c:ptCount val="1"/>
                <c:pt idx="0">
                  <c:v>Material 2</c:v>
                </c:pt>
              </c:strCache>
            </c:strRef>
          </c:tx>
          <c:spPr>
            <a:solidFill>
              <a:schemeClr val="accent1">
                <a:lumMod val="50000"/>
              </a:schemeClr>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Results!$AW$65:$AW$69</c:f>
              <c:numCache>
                <c:formatCode>#,##0</c:formatCode>
                <c:ptCount val="5"/>
                <c:pt idx="0">
                  <c:v>0</c:v>
                </c:pt>
                <c:pt idx="4">
                  <c:v>-11.612364225671545</c:v>
                </c:pt>
              </c:numCache>
            </c:numRef>
          </c:val>
          <c:extLst>
            <c:ext xmlns:c16="http://schemas.microsoft.com/office/drawing/2014/chart" uri="{C3380CC4-5D6E-409C-BE32-E72D297353CC}">
              <c16:uniqueId val="{00000001-0DDE-4BC5-B282-399CEF283881}"/>
            </c:ext>
          </c:extLst>
        </c:ser>
        <c:ser>
          <c:idx val="2"/>
          <c:order val="2"/>
          <c:tx>
            <c:strRef>
              <c:f>Results!$AX$50</c:f>
              <c:strCache>
                <c:ptCount val="1"/>
                <c:pt idx="0">
                  <c:v>Primary</c:v>
                </c:pt>
              </c:strCache>
            </c:strRef>
          </c:tx>
          <c:spPr>
            <a:solidFill>
              <a:schemeClr val="accent2"/>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Results!$AX$65:$AX$69</c:f>
              <c:numCache>
                <c:formatCode>#,##0</c:formatCode>
                <c:ptCount val="5"/>
                <c:pt idx="1">
                  <c:v>0.21603349616189813</c:v>
                </c:pt>
              </c:numCache>
            </c:numRef>
          </c:val>
          <c:extLst>
            <c:ext xmlns:c16="http://schemas.microsoft.com/office/drawing/2014/chart" uri="{C3380CC4-5D6E-409C-BE32-E72D297353CC}">
              <c16:uniqueId val="{00000002-0DDE-4BC5-B282-399CEF283881}"/>
            </c:ext>
          </c:extLst>
        </c:ser>
        <c:ser>
          <c:idx val="3"/>
          <c:order val="3"/>
          <c:tx>
            <c:strRef>
              <c:f>Results!$AY$50</c:f>
              <c:strCache>
                <c:ptCount val="1"/>
                <c:pt idx="0">
                  <c:v>Secondary</c:v>
                </c:pt>
              </c:strCache>
            </c:strRef>
          </c:tx>
          <c:spPr>
            <a:solidFill>
              <a:schemeClr val="accent2">
                <a:lumMod val="60000"/>
                <a:lumOff val="40000"/>
              </a:schemeClr>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Results!$AY$65:$AY$69</c:f>
              <c:numCache>
                <c:formatCode>#,##0</c:formatCode>
                <c:ptCount val="5"/>
                <c:pt idx="1">
                  <c:v>87.019044778692034</c:v>
                </c:pt>
              </c:numCache>
            </c:numRef>
          </c:val>
          <c:extLst>
            <c:ext xmlns:c16="http://schemas.microsoft.com/office/drawing/2014/chart" uri="{C3380CC4-5D6E-409C-BE32-E72D297353CC}">
              <c16:uniqueId val="{00000003-0DDE-4BC5-B282-399CEF283881}"/>
            </c:ext>
          </c:extLst>
        </c:ser>
        <c:ser>
          <c:idx val="4"/>
          <c:order val="4"/>
          <c:tx>
            <c:strRef>
              <c:f>Results!$AZ$50</c:f>
              <c:strCache>
                <c:ptCount val="1"/>
                <c:pt idx="0">
                  <c:v>Tooling</c:v>
                </c:pt>
              </c:strCache>
            </c:strRef>
          </c:tx>
          <c:spPr>
            <a:solidFill>
              <a:schemeClr val="accent2">
                <a:lumMod val="40000"/>
                <a:lumOff val="60000"/>
              </a:schemeClr>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Results!$AZ$65:$AZ$69</c:f>
              <c:numCache>
                <c:formatCode>#,##0</c:formatCode>
                <c:ptCount val="5"/>
                <c:pt idx="1">
                  <c:v>0</c:v>
                </c:pt>
              </c:numCache>
            </c:numRef>
          </c:val>
          <c:extLst>
            <c:ext xmlns:c16="http://schemas.microsoft.com/office/drawing/2014/chart" uri="{C3380CC4-5D6E-409C-BE32-E72D297353CC}">
              <c16:uniqueId val="{00000004-0DDE-4BC5-B282-399CEF283881}"/>
            </c:ext>
          </c:extLst>
        </c:ser>
        <c:ser>
          <c:idx val="5"/>
          <c:order val="5"/>
          <c:tx>
            <c:strRef>
              <c:f>Results!$BA$50</c:f>
              <c:strCache>
                <c:ptCount val="1"/>
                <c:pt idx="0">
                  <c:v>Stage 1</c:v>
                </c:pt>
              </c:strCache>
            </c:strRef>
          </c:tx>
          <c:spPr>
            <a:solidFill>
              <a:schemeClr val="accent3"/>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Results!$BA$65:$BA$69</c:f>
              <c:numCache>
                <c:formatCode>#,##0</c:formatCode>
                <c:ptCount val="5"/>
                <c:pt idx="2">
                  <c:v>0</c:v>
                </c:pt>
              </c:numCache>
            </c:numRef>
          </c:val>
          <c:extLst>
            <c:ext xmlns:c16="http://schemas.microsoft.com/office/drawing/2014/chart" uri="{C3380CC4-5D6E-409C-BE32-E72D297353CC}">
              <c16:uniqueId val="{00000005-0DDE-4BC5-B282-399CEF283881}"/>
            </c:ext>
          </c:extLst>
        </c:ser>
        <c:ser>
          <c:idx val="6"/>
          <c:order val="6"/>
          <c:tx>
            <c:strRef>
              <c:f>Results!$BB$50</c:f>
              <c:strCache>
                <c:ptCount val="1"/>
                <c:pt idx="0">
                  <c:v>Stage 2</c:v>
                </c:pt>
              </c:strCache>
            </c:strRef>
          </c:tx>
          <c:spPr>
            <a:solidFill>
              <a:schemeClr val="accent3">
                <a:lumMod val="20000"/>
                <a:lumOff val="80000"/>
              </a:schemeClr>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Results!$BB$65:$BB$69</c:f>
              <c:numCache>
                <c:formatCode>#,##0</c:formatCode>
                <c:ptCount val="5"/>
                <c:pt idx="2">
                  <c:v>0</c:v>
                </c:pt>
              </c:numCache>
            </c:numRef>
          </c:val>
          <c:extLst>
            <c:ext xmlns:c16="http://schemas.microsoft.com/office/drawing/2014/chart" uri="{C3380CC4-5D6E-409C-BE32-E72D297353CC}">
              <c16:uniqueId val="{00000006-0DDE-4BC5-B282-399CEF283881}"/>
            </c:ext>
          </c:extLst>
        </c:ser>
        <c:ser>
          <c:idx val="7"/>
          <c:order val="7"/>
          <c:tx>
            <c:strRef>
              <c:f>Results!$BC$50</c:f>
              <c:strCache>
                <c:ptCount val="1"/>
                <c:pt idx="0">
                  <c:v>Mobile</c:v>
                </c:pt>
              </c:strCache>
            </c:strRef>
          </c:tx>
          <c:spPr>
            <a:solidFill>
              <a:schemeClr val="accent4"/>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Results!$BC$65:$BC$69</c:f>
              <c:numCache>
                <c:formatCode>#,##0</c:formatCode>
                <c:ptCount val="5"/>
                <c:pt idx="3">
                  <c:v>7215.5743232985378</c:v>
                </c:pt>
              </c:numCache>
            </c:numRef>
          </c:val>
          <c:extLst>
            <c:ext xmlns:c16="http://schemas.microsoft.com/office/drawing/2014/chart" uri="{C3380CC4-5D6E-409C-BE32-E72D297353CC}">
              <c16:uniqueId val="{00000007-0DDE-4BC5-B282-399CEF283881}"/>
            </c:ext>
          </c:extLst>
        </c:ser>
        <c:ser>
          <c:idx val="8"/>
          <c:order val="8"/>
          <c:tx>
            <c:strRef>
              <c:f>Results!$BD$50</c:f>
              <c:strCache>
                <c:ptCount val="1"/>
                <c:pt idx="0">
                  <c:v>Stationary</c:v>
                </c:pt>
              </c:strCache>
            </c:strRef>
          </c:tx>
          <c:spPr>
            <a:solidFill>
              <a:schemeClr val="accent4">
                <a:lumMod val="75000"/>
              </a:schemeClr>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Results!$BD$65:$BD$69</c:f>
              <c:numCache>
                <c:formatCode>#,##0</c:formatCode>
                <c:ptCount val="5"/>
                <c:pt idx="3">
                  <c:v>0</c:v>
                </c:pt>
              </c:numCache>
            </c:numRef>
          </c:val>
          <c:extLst>
            <c:ext xmlns:c16="http://schemas.microsoft.com/office/drawing/2014/chart" uri="{C3380CC4-5D6E-409C-BE32-E72D297353CC}">
              <c16:uniqueId val="{00000008-0DDE-4BC5-B282-399CEF283881}"/>
            </c:ext>
          </c:extLst>
        </c:ser>
        <c:dLbls>
          <c:showLegendKey val="0"/>
          <c:showVal val="0"/>
          <c:showCatName val="0"/>
          <c:showSerName val="0"/>
          <c:showPercent val="0"/>
          <c:showBubbleSize val="0"/>
        </c:dLbls>
        <c:gapWidth val="150"/>
        <c:overlap val="100"/>
        <c:axId val="803256432"/>
        <c:axId val="803252272"/>
      </c:barChart>
      <c:catAx>
        <c:axId val="8032564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2272"/>
        <c:crosses val="autoZero"/>
        <c:auto val="1"/>
        <c:lblAlgn val="ctr"/>
        <c:lblOffset val="100"/>
        <c:noMultiLvlLbl val="0"/>
      </c:catAx>
      <c:valAx>
        <c:axId val="80325227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Results!$E$50</c:f>
              <c:strCache>
                <c:ptCount val="1"/>
                <c:pt idx="0">
                  <c:v>Stage Carbon (kg/part)</c:v>
                </c:pt>
              </c:strCache>
            </c:strRef>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643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r>
              <a:rPr lang="en-US"/>
              <a:t>Alternate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autoTitleDeleted val="0"/>
    <c:plotArea>
      <c:layout/>
      <c:barChart>
        <c:barDir val="col"/>
        <c:grouping val="stacked"/>
        <c:varyColors val="0"/>
        <c:ser>
          <c:idx val="0"/>
          <c:order val="0"/>
          <c:tx>
            <c:strRef>
              <c:f>Results!$AV$50</c:f>
              <c:strCache>
                <c:ptCount val="1"/>
                <c:pt idx="0">
                  <c:v>Material 1</c:v>
                </c:pt>
              </c:strCache>
            </c:strRef>
          </c:tx>
          <c:spPr>
            <a:solidFill>
              <a:schemeClr val="accent1"/>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Results!$AV$57:$AV$61</c:f>
              <c:numCache>
                <c:formatCode>#,##0</c:formatCode>
                <c:ptCount val="5"/>
                <c:pt idx="0">
                  <c:v>371877.74224473874</c:v>
                </c:pt>
                <c:pt idx="4">
                  <c:v>-154706.89266386066</c:v>
                </c:pt>
              </c:numCache>
            </c:numRef>
          </c:val>
          <c:extLst>
            <c:ext xmlns:c16="http://schemas.microsoft.com/office/drawing/2014/chart" uri="{C3380CC4-5D6E-409C-BE32-E72D297353CC}">
              <c16:uniqueId val="{00000000-7C12-42B2-B1F5-B24984E68E00}"/>
            </c:ext>
          </c:extLst>
        </c:ser>
        <c:ser>
          <c:idx val="1"/>
          <c:order val="1"/>
          <c:tx>
            <c:strRef>
              <c:f>Results!$AW$50</c:f>
              <c:strCache>
                <c:ptCount val="1"/>
                <c:pt idx="0">
                  <c:v>Material 2</c:v>
                </c:pt>
              </c:strCache>
            </c:strRef>
          </c:tx>
          <c:spPr>
            <a:solidFill>
              <a:schemeClr val="accent1">
                <a:lumMod val="50000"/>
              </a:schemeClr>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Results!$AW$57:$AW$61</c:f>
              <c:numCache>
                <c:formatCode>#,##0</c:formatCode>
                <c:ptCount val="5"/>
                <c:pt idx="0">
                  <c:v>0</c:v>
                </c:pt>
                <c:pt idx="4">
                  <c:v>0</c:v>
                </c:pt>
              </c:numCache>
            </c:numRef>
          </c:val>
          <c:extLst>
            <c:ext xmlns:c16="http://schemas.microsoft.com/office/drawing/2014/chart" uri="{C3380CC4-5D6E-409C-BE32-E72D297353CC}">
              <c16:uniqueId val="{00000001-7C12-42B2-B1F5-B24984E68E00}"/>
            </c:ext>
          </c:extLst>
        </c:ser>
        <c:ser>
          <c:idx val="2"/>
          <c:order val="2"/>
          <c:tx>
            <c:strRef>
              <c:f>Results!$AX$50</c:f>
              <c:strCache>
                <c:ptCount val="1"/>
                <c:pt idx="0">
                  <c:v>Primary</c:v>
                </c:pt>
              </c:strCache>
            </c:strRef>
          </c:tx>
          <c:spPr>
            <a:solidFill>
              <a:schemeClr val="accent2"/>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Results!$AX$57:$AX$61</c:f>
              <c:numCache>
                <c:formatCode>#,##0</c:formatCode>
                <c:ptCount val="5"/>
                <c:pt idx="1">
                  <c:v>182265.2320691667</c:v>
                </c:pt>
              </c:numCache>
            </c:numRef>
          </c:val>
          <c:extLst>
            <c:ext xmlns:c16="http://schemas.microsoft.com/office/drawing/2014/chart" uri="{C3380CC4-5D6E-409C-BE32-E72D297353CC}">
              <c16:uniqueId val="{00000002-7C12-42B2-B1F5-B24984E68E00}"/>
            </c:ext>
          </c:extLst>
        </c:ser>
        <c:ser>
          <c:idx val="3"/>
          <c:order val="3"/>
          <c:tx>
            <c:strRef>
              <c:f>Results!$AY$50</c:f>
              <c:strCache>
                <c:ptCount val="1"/>
                <c:pt idx="0">
                  <c:v>Secondary</c:v>
                </c:pt>
              </c:strCache>
            </c:strRef>
          </c:tx>
          <c:spPr>
            <a:solidFill>
              <a:schemeClr val="accent2">
                <a:lumMod val="60000"/>
                <a:lumOff val="40000"/>
              </a:schemeClr>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Results!$AY$57:$AY$61</c:f>
              <c:numCache>
                <c:formatCode>#,##0</c:formatCode>
                <c:ptCount val="5"/>
                <c:pt idx="1">
                  <c:v>561035.34</c:v>
                </c:pt>
              </c:numCache>
            </c:numRef>
          </c:val>
          <c:extLst>
            <c:ext xmlns:c16="http://schemas.microsoft.com/office/drawing/2014/chart" uri="{C3380CC4-5D6E-409C-BE32-E72D297353CC}">
              <c16:uniqueId val="{00000003-7C12-42B2-B1F5-B24984E68E00}"/>
            </c:ext>
          </c:extLst>
        </c:ser>
        <c:ser>
          <c:idx val="4"/>
          <c:order val="4"/>
          <c:tx>
            <c:strRef>
              <c:f>Results!$AZ$50</c:f>
              <c:strCache>
                <c:ptCount val="1"/>
                <c:pt idx="0">
                  <c:v>Tooling</c:v>
                </c:pt>
              </c:strCache>
            </c:strRef>
          </c:tx>
          <c:spPr>
            <a:solidFill>
              <a:schemeClr val="accent2">
                <a:lumMod val="40000"/>
                <a:lumOff val="60000"/>
              </a:schemeClr>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Results!$AZ$57:$AZ$61</c:f>
              <c:numCache>
                <c:formatCode>#,##0</c:formatCode>
                <c:ptCount val="5"/>
                <c:pt idx="1">
                  <c:v>2058.8206100000002</c:v>
                </c:pt>
              </c:numCache>
            </c:numRef>
          </c:val>
          <c:extLst>
            <c:ext xmlns:c16="http://schemas.microsoft.com/office/drawing/2014/chart" uri="{C3380CC4-5D6E-409C-BE32-E72D297353CC}">
              <c16:uniqueId val="{00000004-7C12-42B2-B1F5-B24984E68E00}"/>
            </c:ext>
          </c:extLst>
        </c:ser>
        <c:ser>
          <c:idx val="5"/>
          <c:order val="5"/>
          <c:tx>
            <c:strRef>
              <c:f>Results!$BA$50</c:f>
              <c:strCache>
                <c:ptCount val="1"/>
                <c:pt idx="0">
                  <c:v>Stage 1</c:v>
                </c:pt>
              </c:strCache>
            </c:strRef>
          </c:tx>
          <c:spPr>
            <a:solidFill>
              <a:schemeClr val="accent3"/>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Results!$BA$57:$BA$61</c:f>
              <c:numCache>
                <c:formatCode>#,##0</c:formatCode>
                <c:ptCount val="5"/>
                <c:pt idx="2">
                  <c:v>7993.3651673038621</c:v>
                </c:pt>
              </c:numCache>
            </c:numRef>
          </c:val>
          <c:extLst>
            <c:ext xmlns:c16="http://schemas.microsoft.com/office/drawing/2014/chart" uri="{C3380CC4-5D6E-409C-BE32-E72D297353CC}">
              <c16:uniqueId val="{00000005-7C12-42B2-B1F5-B24984E68E00}"/>
            </c:ext>
          </c:extLst>
        </c:ser>
        <c:ser>
          <c:idx val="6"/>
          <c:order val="6"/>
          <c:tx>
            <c:strRef>
              <c:f>Results!$BB$50</c:f>
              <c:strCache>
                <c:ptCount val="1"/>
                <c:pt idx="0">
                  <c:v>Stage 2</c:v>
                </c:pt>
              </c:strCache>
            </c:strRef>
          </c:tx>
          <c:spPr>
            <a:solidFill>
              <a:schemeClr val="accent3">
                <a:lumMod val="20000"/>
                <a:lumOff val="80000"/>
              </a:schemeClr>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Results!$BB$57:$BB$61</c:f>
              <c:numCache>
                <c:formatCode>#,##0</c:formatCode>
                <c:ptCount val="5"/>
                <c:pt idx="2">
                  <c:v>6168.550210158719</c:v>
                </c:pt>
              </c:numCache>
            </c:numRef>
          </c:val>
          <c:extLst>
            <c:ext xmlns:c16="http://schemas.microsoft.com/office/drawing/2014/chart" uri="{C3380CC4-5D6E-409C-BE32-E72D297353CC}">
              <c16:uniqueId val="{00000006-7C12-42B2-B1F5-B24984E68E00}"/>
            </c:ext>
          </c:extLst>
        </c:ser>
        <c:ser>
          <c:idx val="7"/>
          <c:order val="7"/>
          <c:tx>
            <c:strRef>
              <c:f>Results!$BC$50</c:f>
              <c:strCache>
                <c:ptCount val="1"/>
                <c:pt idx="0">
                  <c:v>Mobile</c:v>
                </c:pt>
              </c:strCache>
            </c:strRef>
          </c:tx>
          <c:spPr>
            <a:solidFill>
              <a:schemeClr val="accent4"/>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Results!$BC$57:$BC$61</c:f>
              <c:numCache>
                <c:formatCode>#,##0</c:formatCode>
                <c:ptCount val="5"/>
                <c:pt idx="3">
                  <c:v>34854315.505380012</c:v>
                </c:pt>
              </c:numCache>
            </c:numRef>
          </c:val>
          <c:extLst>
            <c:ext xmlns:c16="http://schemas.microsoft.com/office/drawing/2014/chart" uri="{C3380CC4-5D6E-409C-BE32-E72D297353CC}">
              <c16:uniqueId val="{00000007-7C12-42B2-B1F5-B24984E68E00}"/>
            </c:ext>
          </c:extLst>
        </c:ser>
        <c:ser>
          <c:idx val="8"/>
          <c:order val="8"/>
          <c:tx>
            <c:strRef>
              <c:f>Results!$BD$50</c:f>
              <c:strCache>
                <c:ptCount val="1"/>
                <c:pt idx="0">
                  <c:v>Stationary</c:v>
                </c:pt>
              </c:strCache>
            </c:strRef>
          </c:tx>
          <c:spPr>
            <a:solidFill>
              <a:schemeClr val="accent4">
                <a:lumMod val="75000"/>
              </a:schemeClr>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Results!$BD$57:$BD$61</c:f>
              <c:numCache>
                <c:formatCode>#,##0</c:formatCode>
                <c:ptCount val="5"/>
                <c:pt idx="3">
                  <c:v>0</c:v>
                </c:pt>
              </c:numCache>
            </c:numRef>
          </c:val>
          <c:extLst>
            <c:ext xmlns:c16="http://schemas.microsoft.com/office/drawing/2014/chart" uri="{C3380CC4-5D6E-409C-BE32-E72D297353CC}">
              <c16:uniqueId val="{00000008-7C12-42B2-B1F5-B24984E68E00}"/>
            </c:ext>
          </c:extLst>
        </c:ser>
        <c:dLbls>
          <c:showLegendKey val="0"/>
          <c:showVal val="0"/>
          <c:showCatName val="0"/>
          <c:showSerName val="0"/>
          <c:showPercent val="0"/>
          <c:showBubbleSize val="0"/>
        </c:dLbls>
        <c:gapWidth val="150"/>
        <c:overlap val="100"/>
        <c:axId val="803256432"/>
        <c:axId val="803252272"/>
      </c:barChart>
      <c:catAx>
        <c:axId val="8032564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2272"/>
        <c:crosses val="autoZero"/>
        <c:auto val="1"/>
        <c:lblAlgn val="ctr"/>
        <c:lblOffset val="100"/>
        <c:noMultiLvlLbl val="0"/>
      </c:catAx>
      <c:valAx>
        <c:axId val="80325227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Results!$D$50</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643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r>
              <a:rPr lang="en-US"/>
              <a:t>Alternate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autoTitleDeleted val="0"/>
    <c:plotArea>
      <c:layout/>
      <c:barChart>
        <c:barDir val="col"/>
        <c:grouping val="stacked"/>
        <c:varyColors val="0"/>
        <c:ser>
          <c:idx val="0"/>
          <c:order val="0"/>
          <c:tx>
            <c:strRef>
              <c:f>Results!$AV$50</c:f>
              <c:strCache>
                <c:ptCount val="1"/>
                <c:pt idx="0">
                  <c:v>Material 1</c:v>
                </c:pt>
              </c:strCache>
            </c:strRef>
          </c:tx>
          <c:spPr>
            <a:solidFill>
              <a:schemeClr val="accent1"/>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Results!$AV$71:$AV$75</c:f>
              <c:numCache>
                <c:formatCode>#,##0</c:formatCode>
                <c:ptCount val="5"/>
                <c:pt idx="0">
                  <c:v>27.090382923134143</c:v>
                </c:pt>
                <c:pt idx="4">
                  <c:v>-11.612364225671545</c:v>
                </c:pt>
              </c:numCache>
            </c:numRef>
          </c:val>
          <c:extLst>
            <c:ext xmlns:c16="http://schemas.microsoft.com/office/drawing/2014/chart" uri="{C3380CC4-5D6E-409C-BE32-E72D297353CC}">
              <c16:uniqueId val="{00000000-2BC9-4E34-BE1A-533242703058}"/>
            </c:ext>
          </c:extLst>
        </c:ser>
        <c:ser>
          <c:idx val="1"/>
          <c:order val="1"/>
          <c:tx>
            <c:strRef>
              <c:f>Results!$AW$50</c:f>
              <c:strCache>
                <c:ptCount val="1"/>
                <c:pt idx="0">
                  <c:v>Material 2</c:v>
                </c:pt>
              </c:strCache>
            </c:strRef>
          </c:tx>
          <c:spPr>
            <a:solidFill>
              <a:schemeClr val="accent1">
                <a:lumMod val="50000"/>
              </a:schemeClr>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Results!$AW$71:$AW$75</c:f>
              <c:numCache>
                <c:formatCode>#,##0</c:formatCode>
                <c:ptCount val="5"/>
                <c:pt idx="0">
                  <c:v>0</c:v>
                </c:pt>
                <c:pt idx="4">
                  <c:v>0</c:v>
                </c:pt>
              </c:numCache>
            </c:numRef>
          </c:val>
          <c:extLst>
            <c:ext xmlns:c16="http://schemas.microsoft.com/office/drawing/2014/chart" uri="{C3380CC4-5D6E-409C-BE32-E72D297353CC}">
              <c16:uniqueId val="{00000001-2BC9-4E34-BE1A-533242703058}"/>
            </c:ext>
          </c:extLst>
        </c:ser>
        <c:ser>
          <c:idx val="2"/>
          <c:order val="2"/>
          <c:tx>
            <c:strRef>
              <c:f>Results!$AX$50</c:f>
              <c:strCache>
                <c:ptCount val="1"/>
                <c:pt idx="0">
                  <c:v>Primary</c:v>
                </c:pt>
              </c:strCache>
            </c:strRef>
          </c:tx>
          <c:spPr>
            <a:solidFill>
              <a:schemeClr val="accent2"/>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Results!$AX$71:$AX$75</c:f>
              <c:numCache>
                <c:formatCode>#,##0</c:formatCode>
                <c:ptCount val="5"/>
                <c:pt idx="1">
                  <c:v>19.928262844995206</c:v>
                </c:pt>
              </c:numCache>
            </c:numRef>
          </c:val>
          <c:extLst>
            <c:ext xmlns:c16="http://schemas.microsoft.com/office/drawing/2014/chart" uri="{C3380CC4-5D6E-409C-BE32-E72D297353CC}">
              <c16:uniqueId val="{00000002-2BC9-4E34-BE1A-533242703058}"/>
            </c:ext>
          </c:extLst>
        </c:ser>
        <c:ser>
          <c:idx val="3"/>
          <c:order val="3"/>
          <c:tx>
            <c:strRef>
              <c:f>Results!$AY$50</c:f>
              <c:strCache>
                <c:ptCount val="1"/>
                <c:pt idx="0">
                  <c:v>Secondary</c:v>
                </c:pt>
              </c:strCache>
            </c:strRef>
          </c:tx>
          <c:spPr>
            <a:solidFill>
              <a:schemeClr val="accent2">
                <a:lumMod val="60000"/>
                <a:lumOff val="40000"/>
              </a:schemeClr>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Results!$AY$71:$AY$75</c:f>
              <c:numCache>
                <c:formatCode>#,##0</c:formatCode>
                <c:ptCount val="5"/>
                <c:pt idx="1">
                  <c:v>61.317158547504789</c:v>
                </c:pt>
              </c:numCache>
            </c:numRef>
          </c:val>
          <c:extLst>
            <c:ext xmlns:c16="http://schemas.microsoft.com/office/drawing/2014/chart" uri="{C3380CC4-5D6E-409C-BE32-E72D297353CC}">
              <c16:uniqueId val="{00000003-2BC9-4E34-BE1A-533242703058}"/>
            </c:ext>
          </c:extLst>
        </c:ser>
        <c:ser>
          <c:idx val="4"/>
          <c:order val="4"/>
          <c:tx>
            <c:strRef>
              <c:f>Results!$AZ$50</c:f>
              <c:strCache>
                <c:ptCount val="1"/>
                <c:pt idx="0">
                  <c:v>Tooling</c:v>
                </c:pt>
              </c:strCache>
            </c:strRef>
          </c:tx>
          <c:spPr>
            <a:solidFill>
              <a:schemeClr val="accent2">
                <a:lumMod val="40000"/>
                <a:lumOff val="60000"/>
              </a:schemeClr>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Results!$AZ$71:$AZ$75</c:f>
              <c:numCache>
                <c:formatCode>#,##0</c:formatCode>
                <c:ptCount val="5"/>
                <c:pt idx="1">
                  <c:v>0.19486999999999999</c:v>
                </c:pt>
              </c:numCache>
            </c:numRef>
          </c:val>
          <c:extLst>
            <c:ext xmlns:c16="http://schemas.microsoft.com/office/drawing/2014/chart" uri="{C3380CC4-5D6E-409C-BE32-E72D297353CC}">
              <c16:uniqueId val="{00000004-2BC9-4E34-BE1A-533242703058}"/>
            </c:ext>
          </c:extLst>
        </c:ser>
        <c:ser>
          <c:idx val="5"/>
          <c:order val="5"/>
          <c:tx>
            <c:strRef>
              <c:f>Results!$BA$50</c:f>
              <c:strCache>
                <c:ptCount val="1"/>
                <c:pt idx="0">
                  <c:v>Stage 1</c:v>
                </c:pt>
              </c:strCache>
            </c:strRef>
          </c:tx>
          <c:spPr>
            <a:solidFill>
              <a:schemeClr val="accent3"/>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Results!$BA$71:$BA$75</c:f>
              <c:numCache>
                <c:formatCode>#,##0</c:formatCode>
                <c:ptCount val="5"/>
                <c:pt idx="2">
                  <c:v>0.24604046143333658</c:v>
                </c:pt>
              </c:numCache>
            </c:numRef>
          </c:val>
          <c:extLst>
            <c:ext xmlns:c16="http://schemas.microsoft.com/office/drawing/2014/chart" uri="{C3380CC4-5D6E-409C-BE32-E72D297353CC}">
              <c16:uniqueId val="{00000005-2BC9-4E34-BE1A-533242703058}"/>
            </c:ext>
          </c:extLst>
        </c:ser>
        <c:ser>
          <c:idx val="6"/>
          <c:order val="6"/>
          <c:tx>
            <c:strRef>
              <c:f>Results!$BB$50</c:f>
              <c:strCache>
                <c:ptCount val="1"/>
                <c:pt idx="0">
                  <c:v>Stage 2</c:v>
                </c:pt>
              </c:strCache>
            </c:strRef>
          </c:tx>
          <c:spPr>
            <a:solidFill>
              <a:schemeClr val="accent3">
                <a:lumMod val="20000"/>
                <a:lumOff val="80000"/>
              </a:schemeClr>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Results!$BB$71:$BB$75</c:f>
              <c:numCache>
                <c:formatCode>#,##0</c:formatCode>
                <c:ptCount val="5"/>
                <c:pt idx="2">
                  <c:v>0.18987158828802392</c:v>
                </c:pt>
              </c:numCache>
            </c:numRef>
          </c:val>
          <c:extLst>
            <c:ext xmlns:c16="http://schemas.microsoft.com/office/drawing/2014/chart" uri="{C3380CC4-5D6E-409C-BE32-E72D297353CC}">
              <c16:uniqueId val="{00000006-2BC9-4E34-BE1A-533242703058}"/>
            </c:ext>
          </c:extLst>
        </c:ser>
        <c:ser>
          <c:idx val="7"/>
          <c:order val="7"/>
          <c:tx>
            <c:strRef>
              <c:f>Results!$BC$50</c:f>
              <c:strCache>
                <c:ptCount val="1"/>
                <c:pt idx="0">
                  <c:v>Mobile</c:v>
                </c:pt>
              </c:strCache>
            </c:strRef>
          </c:tx>
          <c:spPr>
            <a:solidFill>
              <a:schemeClr val="accent4"/>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Results!$BC$71:$BC$75</c:f>
              <c:numCache>
                <c:formatCode>#,##0</c:formatCode>
                <c:ptCount val="5"/>
                <c:pt idx="3">
                  <c:v>2525.451013154488</c:v>
                </c:pt>
              </c:numCache>
            </c:numRef>
          </c:val>
          <c:extLst>
            <c:ext xmlns:c16="http://schemas.microsoft.com/office/drawing/2014/chart" uri="{C3380CC4-5D6E-409C-BE32-E72D297353CC}">
              <c16:uniqueId val="{00000007-2BC9-4E34-BE1A-533242703058}"/>
            </c:ext>
          </c:extLst>
        </c:ser>
        <c:ser>
          <c:idx val="8"/>
          <c:order val="8"/>
          <c:tx>
            <c:strRef>
              <c:f>Results!$BD$50</c:f>
              <c:strCache>
                <c:ptCount val="1"/>
                <c:pt idx="0">
                  <c:v>Stationary</c:v>
                </c:pt>
              </c:strCache>
            </c:strRef>
          </c:tx>
          <c:spPr>
            <a:solidFill>
              <a:schemeClr val="accent4">
                <a:lumMod val="75000"/>
              </a:schemeClr>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Results!$BD$71:$BD$75</c:f>
              <c:numCache>
                <c:formatCode>#,##0</c:formatCode>
                <c:ptCount val="5"/>
                <c:pt idx="3">
                  <c:v>0</c:v>
                </c:pt>
              </c:numCache>
            </c:numRef>
          </c:val>
          <c:extLst>
            <c:ext xmlns:c16="http://schemas.microsoft.com/office/drawing/2014/chart" uri="{C3380CC4-5D6E-409C-BE32-E72D297353CC}">
              <c16:uniqueId val="{00000008-2BC9-4E34-BE1A-533242703058}"/>
            </c:ext>
          </c:extLst>
        </c:ser>
        <c:dLbls>
          <c:showLegendKey val="0"/>
          <c:showVal val="0"/>
          <c:showCatName val="0"/>
          <c:showSerName val="0"/>
          <c:showPercent val="0"/>
          <c:showBubbleSize val="0"/>
        </c:dLbls>
        <c:gapWidth val="150"/>
        <c:overlap val="100"/>
        <c:axId val="803256432"/>
        <c:axId val="803252272"/>
      </c:barChart>
      <c:catAx>
        <c:axId val="8032564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2272"/>
        <c:crosses val="autoZero"/>
        <c:auto val="1"/>
        <c:lblAlgn val="ctr"/>
        <c:lblOffset val="100"/>
        <c:noMultiLvlLbl val="0"/>
      </c:catAx>
      <c:valAx>
        <c:axId val="80325227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Results!$G$50</c:f>
              <c:strCache>
                <c:ptCount val="1"/>
                <c:pt idx="0">
                  <c:v>Stage Carbon (kg/part)</c:v>
                </c:pt>
              </c:strCache>
            </c:strRef>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643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505918A1-BE07-4020-9C4F-FC83515B92F6}">
          <cx:dataLabels pos="inEnd">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08356EE5-77E2-4366-8C15-A26316904BAA}">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plotArea>
      <cx:plotAreaRegion>
        <cx:series layoutId="treemap" uniqueId="{D962D08C-8DFC-426D-BC48-6AECF281BC17}">
          <cx:tx>
            <cx:txData>
              <cx:f/>
              <cx:v/>
            </cx:txData>
          </cx:tx>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plotArea>
      <cx:plotAreaRegion>
        <cx:series layoutId="treemap" uniqueId="{08356EE5-77E2-4366-8C15-A26316904BAA}">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_xlchart.v1.9</cx:f>
      </cx:strDim>
      <cx:numDim type="size">
        <cx:f>_xlchart.v1.8</cx:f>
      </cx:numDim>
    </cx:data>
  </cx:chartData>
  <cx:chart>
    <cx:plotArea>
      <cx:plotAreaRegion>
        <cx:series layoutId="treemap" uniqueId="{D962D08C-8DFC-426D-BC48-6AECF281BC17}">
          <cx:tx>
            <cx:txData>
              <cx:f/>
              <cx:v/>
            </cx:txData>
          </cx:tx>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_xlchart.v1.11</cx:f>
      </cx:strDim>
      <cx:numDim type="size">
        <cx:f>_xlchart.v1.10</cx:f>
      </cx:numDim>
    </cx:data>
  </cx:chartData>
  <cx:chart>
    <cx:plotArea>
      <cx:plotAreaRegion>
        <cx:series layoutId="treemap" uniqueId="{08356EE5-77E2-4366-8C15-A26316904BAA}">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size">
        <cx:f>_xlchart.v1.14</cx:f>
      </cx:numDim>
    </cx:data>
  </cx:chartData>
  <cx:chart>
    <cx:plotArea>
      <cx:plotAreaRegion>
        <cx:series layoutId="treemap" uniqueId="{D962D08C-8DFC-426D-BC48-6AECF281BC17}">
          <cx:tx>
            <cx:txData>
              <cx:f/>
              <cx:v/>
            </cx:txData>
          </cx:tx>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_xlchart.v1.12</cx:f>
      </cx:numDim>
    </cx:data>
  </cx:chartData>
  <cx:chart>
    <cx:plotArea>
      <cx:plotAreaRegion>
        <cx:series layoutId="treemap" uniqueId="{08356EE5-77E2-4366-8C15-A26316904BAA}">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_xlchart.v1.23</cx:f>
      </cx:strDim>
      <cx:numDim type="size">
        <cx:f>_xlchart.v1.22</cx:f>
      </cx:numDim>
    </cx:data>
  </cx:chartData>
  <cx:chart>
    <cx:title pos="t" align="ctr" overlay="0">
      <cx:tx>
        <cx:txData>
          <cx:v>Baseline Energy</cx:v>
        </cx:txData>
      </cx:tx>
      <cx:txPr>
        <a:bodyPr spcFirstLastPara="1" vertOverflow="ellipsis" horzOverflow="overflow" wrap="square" lIns="0" tIns="0" rIns="0" bIns="0" anchor="ctr" anchorCtr="1"/>
        <a:lstStyle/>
        <a:p>
          <a:pPr algn="ctr" rtl="0">
            <a:defRPr>
              <a:latin typeface="Tahoma" panose="020B0604030504040204" pitchFamily="34" charset="0"/>
              <a:ea typeface="Tahoma" panose="020B0604030504040204" pitchFamily="34" charset="0"/>
              <a:cs typeface="Tahoma" panose="020B0604030504040204" pitchFamily="34" charset="0"/>
            </a:defRPr>
          </a:pPr>
          <a:r>
            <a:rPr lang="en-US" sz="14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rPr>
            <a:t>Baseline Energy</a:t>
          </a:r>
        </a:p>
      </cx:txPr>
    </cx:title>
    <cx:plotArea>
      <cx:plotAreaRegion>
        <cx:series layoutId="treemap" uniqueId="{1482CED6-C6B0-4A50-9C80-950C65A75036}" formatIdx="0">
          <cx:dataLabels>
            <cx:txPr>
              <a:bodyPr spcFirstLastPara="1" vertOverflow="ellipsis" horzOverflow="overflow" wrap="square" lIns="0" tIns="0" rIns="0" bIns="0" anchor="ctr" anchorCtr="1"/>
              <a:lstStyle/>
              <a:p>
                <a:pPr algn="ctr" rtl="0">
                  <a:defRPr sz="1200">
                    <a:latin typeface="Tahoma" panose="020B0604030504040204" pitchFamily="34" charset="0"/>
                    <a:ea typeface="Tahoma" panose="020B0604030504040204" pitchFamily="34" charset="0"/>
                    <a:cs typeface="Tahoma" panose="020B0604030504040204" pitchFamily="34" charset="0"/>
                  </a:defRPr>
                </a:pPr>
                <a:endParaRPr lang="en-US" sz="1200" b="0" i="0" u="none" strike="noStrike" baseline="0">
                  <a:solidFill>
                    <a:sysClr val="window" lastClr="FFFFFF"/>
                  </a:solidFill>
                  <a:latin typeface="Tahoma" panose="020B0604030504040204" pitchFamily="34" charset="0"/>
                  <a:ea typeface="Tahoma" panose="020B0604030504040204" pitchFamily="34" charset="0"/>
                  <a:cs typeface="Tahoma" panose="020B0604030504040204" pitchFamily="34" charset="0"/>
                </a:endParaRPr>
              </a:p>
            </cx:txPr>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a:latin typeface="Tahoma" panose="020B0604030504040204" pitchFamily="34" charset="0"/>
              <a:ea typeface="Tahoma" panose="020B0604030504040204" pitchFamily="34" charset="0"/>
              <a:cs typeface="Tahoma" panose="020B0604030504040204" pitchFamily="34" charset="0"/>
            </a:defRPr>
          </a:pPr>
          <a:endParaRPr lang="en-US" sz="9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endParaRPr>
        </a:p>
      </cx:txPr>
    </cx:legend>
  </cx:chart>
  <cx:spPr>
    <a:ln>
      <a:solidFill>
        <a:schemeClr val="tx1"/>
      </a:solid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_xlchart.v1.21</cx:f>
      </cx:strDim>
      <cx:numDim type="size">
        <cx:f>_xlchart.v1.20</cx:f>
      </cx:numDim>
    </cx:data>
  </cx:chartData>
  <cx:chart>
    <cx:title pos="t" align="ctr" overlay="0">
      <cx:tx>
        <cx:txData>
          <cx:v>Alternate Energy</cx:v>
        </cx:txData>
      </cx:tx>
      <cx:txPr>
        <a:bodyPr spcFirstLastPara="1" vertOverflow="ellipsis" horzOverflow="overflow" wrap="square" lIns="0" tIns="0" rIns="0" bIns="0" anchor="ctr" anchorCtr="1"/>
        <a:lstStyle/>
        <a:p>
          <a:pPr algn="ctr" rtl="0">
            <a:defRPr>
              <a:latin typeface="Tahoma" panose="020B0604030504040204" pitchFamily="34" charset="0"/>
              <a:ea typeface="Tahoma" panose="020B0604030504040204" pitchFamily="34" charset="0"/>
              <a:cs typeface="Tahoma" panose="020B0604030504040204" pitchFamily="34" charset="0"/>
            </a:defRPr>
          </a:pPr>
          <a:r>
            <a:rPr lang="en-US" sz="14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rPr>
            <a:t>Alternate Energy</a:t>
          </a:r>
        </a:p>
      </cx:txPr>
    </cx:title>
    <cx:plotArea>
      <cx:plotAreaRegion>
        <cx:series layoutId="treemap" uniqueId="{E92AC9EE-A22F-4B06-88E9-3C8F65C35691}" formatIdx="0">
          <cx:dataLabels>
            <cx:txPr>
              <a:bodyPr spcFirstLastPara="1" vertOverflow="ellipsis" horzOverflow="overflow" wrap="square" lIns="0" tIns="0" rIns="0" bIns="0" anchor="ctr" anchorCtr="1"/>
              <a:lstStyle/>
              <a:p>
                <a:pPr algn="ctr" rtl="0">
                  <a:defRPr sz="1200">
                    <a:latin typeface="Tahoma" panose="020B0604030504040204" pitchFamily="34" charset="0"/>
                    <a:ea typeface="Tahoma" panose="020B0604030504040204" pitchFamily="34" charset="0"/>
                    <a:cs typeface="Tahoma" panose="020B0604030504040204" pitchFamily="34" charset="0"/>
                  </a:defRPr>
                </a:pPr>
                <a:endParaRPr lang="en-US" sz="1200" b="0" i="0" u="none" strike="noStrike" baseline="0">
                  <a:solidFill>
                    <a:sysClr val="window" lastClr="FFFFFF"/>
                  </a:solidFill>
                  <a:latin typeface="Tahoma" panose="020B0604030504040204" pitchFamily="34" charset="0"/>
                  <a:ea typeface="Tahoma" panose="020B0604030504040204" pitchFamily="34" charset="0"/>
                  <a:cs typeface="Tahoma" panose="020B0604030504040204" pitchFamily="34" charset="0"/>
                </a:endParaRPr>
              </a:p>
            </cx:txPr>
            <cx:visibility seriesName="0" categoryName="1" value="1"/>
            <cx:separator>, </cx:separator>
          </cx:dataLabels>
          <cx:dataId val="0"/>
          <cx:layoutPr/>
        </cx:series>
      </cx:plotAreaRegion>
    </cx:plotArea>
    <cx:legend pos="t" align="ctr" overlay="0">
      <cx:txPr>
        <a:bodyPr vertOverflow="overflow" horzOverflow="overflow" wrap="square" lIns="0" tIns="0" rIns="0" bIns="0"/>
        <a:lstStyle/>
        <a:p>
          <a:pPr algn="ctr" rtl="0">
            <a:defRPr sz="900" b="0" i="0">
              <a:solidFill>
                <a:srgbClr val="595959"/>
              </a:solidFill>
              <a:latin typeface="Tahoma" panose="020B0604030504040204" pitchFamily="34" charset="0"/>
              <a:ea typeface="Tahoma" panose="020B0604030504040204" pitchFamily="34" charset="0"/>
              <a:cs typeface="Tahoma" panose="020B0604030504040204" pitchFamily="34" charset="0"/>
            </a:defRPr>
          </a:pPr>
          <a:endParaRPr lang="en-US">
            <a:latin typeface="Tahoma" panose="020B0604030504040204" pitchFamily="34" charset="0"/>
            <a:ea typeface="Tahoma" panose="020B0604030504040204" pitchFamily="34" charset="0"/>
            <a:cs typeface="Tahoma" panose="020B0604030504040204" pitchFamily="34" charset="0"/>
          </a:endParaRPr>
        </a:p>
      </cx:txPr>
    </cx:legend>
  </cx:chart>
  <cx:spPr>
    <a:ln>
      <a:solidFill>
        <a:sysClr val="windowText" lastClr="000000"/>
      </a:solidFill>
    </a:ln>
  </cx:spPr>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strDim type="cat">
        <cx:f>_xlchart.v1.17</cx:f>
      </cx:strDim>
      <cx:numDim type="size">
        <cx:f>_xlchart.v1.16</cx:f>
      </cx:numDim>
    </cx:data>
  </cx:chartData>
  <cx:chart>
    <cx:title pos="t" align="ctr" overlay="0">
      <cx:tx>
        <cx:txData>
          <cx:v>Alternate Carbon</cx:v>
        </cx:txData>
      </cx:tx>
      <cx:txPr>
        <a:bodyPr spcFirstLastPara="1" vertOverflow="ellipsis" horzOverflow="overflow" wrap="square" lIns="0" tIns="0" rIns="0" bIns="0" anchor="ctr" anchorCtr="1"/>
        <a:lstStyle/>
        <a:p>
          <a:pPr algn="ctr" rtl="0">
            <a:defRPr>
              <a:latin typeface="Tahoma" panose="020B0604030504040204" pitchFamily="34" charset="0"/>
              <a:ea typeface="Tahoma" panose="020B0604030504040204" pitchFamily="34" charset="0"/>
              <a:cs typeface="Tahoma" panose="020B0604030504040204" pitchFamily="34" charset="0"/>
            </a:defRPr>
          </a:pPr>
          <a:r>
            <a:rPr lang="en-US" sz="14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rPr>
            <a:t>Alternate Carbon</a:t>
          </a:r>
        </a:p>
      </cx:txPr>
    </cx:title>
    <cx:plotArea>
      <cx:plotAreaRegion>
        <cx:series layoutId="treemap" uniqueId="{E92AC9EE-A22F-4B06-88E9-3C8F65C35691}" formatIdx="0">
          <cx:dataLabels>
            <cx:txPr>
              <a:bodyPr spcFirstLastPara="1" vertOverflow="ellipsis" horzOverflow="overflow" wrap="square" lIns="0" tIns="0" rIns="0" bIns="0" anchor="ctr" anchorCtr="1"/>
              <a:lstStyle/>
              <a:p>
                <a:pPr algn="ctr" rtl="0">
                  <a:defRPr sz="1200">
                    <a:latin typeface="Tahoma" panose="020B0604030504040204" pitchFamily="34" charset="0"/>
                    <a:ea typeface="Tahoma" panose="020B0604030504040204" pitchFamily="34" charset="0"/>
                    <a:cs typeface="Tahoma" panose="020B0604030504040204" pitchFamily="34" charset="0"/>
                  </a:defRPr>
                </a:pPr>
                <a:endParaRPr lang="en-US" sz="1200" b="0" i="0" u="none" strike="noStrike" baseline="0">
                  <a:solidFill>
                    <a:sysClr val="window" lastClr="FFFFFF"/>
                  </a:solidFill>
                  <a:latin typeface="Tahoma" panose="020B0604030504040204" pitchFamily="34" charset="0"/>
                  <a:ea typeface="Tahoma" panose="020B0604030504040204" pitchFamily="34" charset="0"/>
                  <a:cs typeface="Tahoma" panose="020B0604030504040204" pitchFamily="34" charset="0"/>
                </a:endParaRPr>
              </a:p>
            </cx:txPr>
            <cx:visibility seriesName="0" categoryName="1" value="1"/>
            <cx:separator>, </cx:separator>
          </cx:dataLabels>
          <cx:dataId val="0"/>
          <cx:layoutPr/>
        </cx:series>
      </cx:plotAreaRegion>
    </cx:plotArea>
    <cx:legend pos="t" align="ctr" overlay="0">
      <cx:txPr>
        <a:bodyPr vertOverflow="overflow" horzOverflow="overflow" wrap="square" lIns="0" tIns="0" rIns="0" bIns="0"/>
        <a:lstStyle/>
        <a:p>
          <a:pPr algn="ctr" rtl="0">
            <a:defRPr sz="900" b="0" i="0">
              <a:solidFill>
                <a:srgbClr val="595959"/>
              </a:solidFill>
              <a:latin typeface="Tahoma" panose="020B0604030504040204" pitchFamily="34" charset="0"/>
              <a:ea typeface="Tahoma" panose="020B0604030504040204" pitchFamily="34" charset="0"/>
              <a:cs typeface="Tahoma" panose="020B0604030504040204" pitchFamily="34" charset="0"/>
            </a:defRPr>
          </a:pPr>
          <a:endParaRPr lang="en-US">
            <a:latin typeface="Tahoma" panose="020B0604030504040204" pitchFamily="34" charset="0"/>
            <a:ea typeface="Tahoma" panose="020B0604030504040204" pitchFamily="34" charset="0"/>
            <a:cs typeface="Tahoma" panose="020B0604030504040204" pitchFamily="34" charset="0"/>
          </a:endParaRPr>
        </a:p>
      </cx:txPr>
    </cx:legend>
  </cx:chart>
  <cx:spPr>
    <a:ln>
      <a:solidFill>
        <a:schemeClr val="tx1"/>
      </a:solidFill>
    </a:ln>
  </cx:spPr>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strDim type="cat">
        <cx:f>_xlchart.v1.19</cx:f>
      </cx:strDim>
      <cx:numDim type="size">
        <cx:f>_xlchart.v1.18</cx:f>
      </cx:numDim>
    </cx:data>
  </cx:chartData>
  <cx:chart>
    <cx:title pos="t" align="ctr" overlay="0">
      <cx:tx>
        <cx:txData>
          <cx:v>Baseline Carbon</cx:v>
        </cx:txData>
      </cx:tx>
      <cx:txPr>
        <a:bodyPr spcFirstLastPara="1" vertOverflow="ellipsis" horzOverflow="overflow" wrap="square" lIns="0" tIns="0" rIns="0" bIns="0" anchor="ctr" anchorCtr="1"/>
        <a:lstStyle/>
        <a:p>
          <a:pPr algn="ctr" rtl="0">
            <a:defRPr>
              <a:latin typeface="Tahoma" panose="020B0604030504040204" pitchFamily="34" charset="0"/>
              <a:ea typeface="Tahoma" panose="020B0604030504040204" pitchFamily="34" charset="0"/>
              <a:cs typeface="Tahoma" panose="020B0604030504040204" pitchFamily="34" charset="0"/>
            </a:defRPr>
          </a:pPr>
          <a:r>
            <a:rPr lang="en-US" sz="14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rPr>
            <a:t>Baseline Carbon</a:t>
          </a:r>
        </a:p>
      </cx:txPr>
    </cx:title>
    <cx:plotArea>
      <cx:plotAreaRegion>
        <cx:series layoutId="treemap" uniqueId="{1482CED6-C6B0-4A50-9C80-950C65A75036}" formatIdx="0">
          <cx:dataLabels>
            <cx:txPr>
              <a:bodyPr spcFirstLastPara="1" vertOverflow="ellipsis" horzOverflow="overflow" wrap="square" lIns="0" tIns="0" rIns="0" bIns="0" anchor="ctr" anchorCtr="1"/>
              <a:lstStyle/>
              <a:p>
                <a:pPr algn="ctr" rtl="0">
                  <a:defRPr sz="1200">
                    <a:latin typeface="Tahoma" panose="020B0604030504040204" pitchFamily="34" charset="0"/>
                    <a:ea typeface="Tahoma" panose="020B0604030504040204" pitchFamily="34" charset="0"/>
                    <a:cs typeface="Tahoma" panose="020B0604030504040204" pitchFamily="34" charset="0"/>
                  </a:defRPr>
                </a:pPr>
                <a:endParaRPr lang="en-US" sz="1200" b="0" i="0" u="none" strike="noStrike" baseline="0">
                  <a:solidFill>
                    <a:sysClr val="window" lastClr="FFFFFF"/>
                  </a:solidFill>
                  <a:latin typeface="Tahoma" panose="020B0604030504040204" pitchFamily="34" charset="0"/>
                  <a:ea typeface="Tahoma" panose="020B0604030504040204" pitchFamily="34" charset="0"/>
                  <a:cs typeface="Tahoma" panose="020B0604030504040204" pitchFamily="34" charset="0"/>
                </a:endParaRPr>
              </a:p>
            </cx:txPr>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sz="900">
              <a:latin typeface="Tahoma" panose="020B0604030504040204" pitchFamily="34" charset="0"/>
              <a:ea typeface="Tahoma" panose="020B0604030504040204" pitchFamily="34" charset="0"/>
              <a:cs typeface="Tahoma" panose="020B0604030504040204" pitchFamily="34" charset="0"/>
            </a:defRPr>
          </a:pPr>
          <a:endParaRPr lang="en-US" sz="9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endParaRPr>
        </a:p>
      </cx:txPr>
    </cx:legend>
  </cx:chart>
  <cx:spPr>
    <a:ln>
      <a:solidFill>
        <a:schemeClr val="tx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131" lockText="1" noThreeD="1"/>
</file>

<file path=xl/ctrlProps/ctrlProp2.xml><?xml version="1.0" encoding="utf-8"?>
<formControlPr xmlns="http://schemas.microsoft.com/office/spreadsheetml/2009/9/main" objectType="CheckBox" checked="Checked" fmlaLink="$C$132" lockText="1" noThreeD="1"/>
</file>

<file path=xl/ctrlProps/ctrlProp3.xml><?xml version="1.0" encoding="utf-8"?>
<formControlPr xmlns="http://schemas.microsoft.com/office/spreadsheetml/2009/9/main" objectType="CheckBox" checked="Checked" fmlaLink="$C$133" lockText="1" noThreeD="1"/>
</file>

<file path=xl/ctrlProps/ctrlProp4.xml><?xml version="1.0" encoding="utf-8"?>
<formControlPr xmlns="http://schemas.microsoft.com/office/spreadsheetml/2009/9/main" objectType="CheckBox" checked="Checked" fmlaLink="$C$134" lockText="1" noThreeD="1"/>
</file>

<file path=xl/ctrlProps/ctrlProp5.xml><?xml version="1.0" encoding="utf-8"?>
<formControlPr xmlns="http://schemas.microsoft.com/office/spreadsheetml/2009/9/main" objectType="CheckBox" checked="Checked" fmlaLink="$C$135" lockText="1" noThreeD="1"/>
</file>

<file path=xl/ctrlProps/ctrlProp6.xml><?xml version="1.0" encoding="utf-8"?>
<formControlPr xmlns="http://schemas.microsoft.com/office/spreadsheetml/2009/9/main" objectType="CheckBox" checked="Checked" fmlaLink="$C$156" lockText="1" noThreeD="1"/>
</file>

<file path=xl/ctrlProps/ctrlProp7.xml><?xml version="1.0" encoding="utf-8"?>
<formControlPr xmlns="http://schemas.microsoft.com/office/spreadsheetml/2009/9/main" objectType="CheckBox" checked="Checked" fmlaLink="$C$157" lockText="1" noThreeD="1"/>
</file>

<file path=xl/ctrlProps/ctrlProp8.xml><?xml version="1.0" encoding="utf-8"?>
<formControlPr xmlns="http://schemas.microsoft.com/office/spreadsheetml/2009/9/main" objectType="CheckBox" checked="Checked" fmlaLink="$C$158" lockText="1" noThreeD="1"/>
</file>

<file path=xl/ctrlProps/ctrlProp9.xml><?xml version="1.0" encoding="utf-8"?>
<formControlPr xmlns="http://schemas.microsoft.com/office/spreadsheetml/2009/9/main" objectType="CheckBox" checked="Checked" fmlaLink="$C$159" lockText="1" noThreeD="1"/>
</file>

<file path=xl/ctrlProps/ctrlProp10.xml><?xml version="1.0" encoding="utf-8"?>
<formControlPr xmlns="http://schemas.microsoft.com/office/spreadsheetml/2009/9/main" objectType="CheckBox" checked="Checked" fmlaLink="$C$160" lockText="1" noThreeD="1"/>
</file>

<file path=xl/ctrlProps/ctrlProp11.xml><?xml version="1.0" encoding="utf-8"?>
<formControlPr xmlns="http://schemas.microsoft.com/office/spreadsheetml/2009/9/main" objectType="CheckBox" checked="Checked" fmlaLink="$C$178" lockText="1" noThreeD="1"/>
</file>

<file path=xl/ctrlProps/ctrlProp12.xml><?xml version="1.0" encoding="utf-8"?>
<formControlPr xmlns="http://schemas.microsoft.com/office/spreadsheetml/2009/9/main" objectType="CheckBox" checked="Checked" fmlaLink="$C$179" lockText="1" noThreeD="1"/>
</file>

<file path=xl/ctrlProps/ctrlProp13.xml><?xml version="1.0" encoding="utf-8"?>
<formControlPr xmlns="http://schemas.microsoft.com/office/spreadsheetml/2009/9/main" objectType="CheckBox" checked="Checked" fmlaLink="$C$180" lockText="1" noThreeD="1"/>
</file>

<file path=xl/ctrlProps/ctrlProp14.xml><?xml version="1.0" encoding="utf-8"?>
<formControlPr xmlns="http://schemas.microsoft.com/office/spreadsheetml/2009/9/main" objectType="CheckBox" checked="Checked" fmlaLink="$C$181" lockText="1" noThreeD="1"/>
</file>

<file path=xl/ctrlProps/ctrlProp15.xml><?xml version="1.0" encoding="utf-8"?>
<formControlPr xmlns="http://schemas.microsoft.com/office/spreadsheetml/2009/9/main" objectType="CheckBox" checked="Checked" fmlaLink="$C$182" lockText="1" noThreeD="1"/>
</file>

<file path=xl/ctrlProps/ctrlProp16.xml><?xml version="1.0" encoding="utf-8"?>
<formControlPr xmlns="http://schemas.microsoft.com/office/spreadsheetml/2009/9/main" objectType="CheckBox" checked="Checked" fmlaLink="$C$178" lockText="1" noThreeD="1"/>
</file>

<file path=xl/ctrlProps/ctrlProp17.xml><?xml version="1.0" encoding="utf-8"?>
<formControlPr xmlns="http://schemas.microsoft.com/office/spreadsheetml/2009/9/main" objectType="CheckBox" checked="Checked" fmlaLink="$C$179" lockText="1" noThreeD="1"/>
</file>

<file path=xl/ctrlProps/ctrlProp18.xml><?xml version="1.0" encoding="utf-8"?>
<formControlPr xmlns="http://schemas.microsoft.com/office/spreadsheetml/2009/9/main" objectType="CheckBox" checked="Checked" fmlaLink="$C$180" lockText="1" noThreeD="1"/>
</file>

<file path=xl/ctrlProps/ctrlProp19.xml><?xml version="1.0" encoding="utf-8"?>
<formControlPr xmlns="http://schemas.microsoft.com/office/spreadsheetml/2009/9/main" objectType="CheckBox" checked="Checked" fmlaLink="$C$181" lockText="1" noThreeD="1"/>
</file>

<file path=xl/ctrlProps/ctrlProp20.xml><?xml version="1.0" encoding="utf-8"?>
<formControlPr xmlns="http://schemas.microsoft.com/office/spreadsheetml/2009/9/main" objectType="CheckBox" checked="Checked" fmlaLink="$C$182" lockText="1" noThreeD="1"/>
</file>

<file path=xl/ctrlProps/ctrlProp21.xml><?xml version="1.0" encoding="utf-8"?>
<formControlPr xmlns="http://schemas.microsoft.com/office/spreadsheetml/2009/9/main" objectType="CheckBox" fmlaLink="$F$3" lockText="1" noThreeD="1"/>
</file>

<file path=xl/ctrlProps/ctrlProp22.xml><?xml version="1.0" encoding="utf-8"?>
<formControlPr xmlns="http://schemas.microsoft.com/office/spreadsheetml/2009/9/main" objectType="CheckBox" checked="Checked" fmlaLink="$Z$7" lockText="1" noThreeD="1"/>
</file>

<file path=xl/ctrlProps/ctrlProp23.xml><?xml version="1.0" encoding="utf-8"?>
<formControlPr xmlns="http://schemas.microsoft.com/office/spreadsheetml/2009/9/main" objectType="CheckBox" checked="Checked" fmlaLink="$Z$8" lockText="1" noThreeD="1"/>
</file>

<file path=xl/ctrlProps/ctrlProp24.xml><?xml version="1.0" encoding="utf-8"?>
<formControlPr xmlns="http://schemas.microsoft.com/office/spreadsheetml/2009/9/main" objectType="CheckBox" checked="Checked" fmlaLink="$Z$9" lockText="1" noThreeD="1"/>
</file>

<file path=xl/ctrlProps/ctrlProp25.xml><?xml version="1.0" encoding="utf-8"?>
<formControlPr xmlns="http://schemas.microsoft.com/office/spreadsheetml/2009/9/main" objectType="CheckBox" fmlaLink="$Z$10" lockText="1" noThreeD="1"/>
</file>

<file path=xl/ctrlProps/ctrlProp26.xml><?xml version="1.0" encoding="utf-8"?>
<formControlPr xmlns="http://schemas.microsoft.com/office/spreadsheetml/2009/9/main" objectType="CheckBox" fmlaLink="$Z$11" lockText="1" noThreeD="1"/>
</file>

<file path=xl/ctrlProps/ctrlProp27.xml><?xml version="1.0" encoding="utf-8"?>
<formControlPr xmlns="http://schemas.microsoft.com/office/spreadsheetml/2009/9/main" objectType="CheckBox" checked="Checked" fmlaLink="$Z$51" lockText="1" noThreeD="1"/>
</file>

<file path=xl/ctrlProps/ctrlProp28.xml><?xml version="1.0" encoding="utf-8"?>
<formControlPr xmlns="http://schemas.microsoft.com/office/spreadsheetml/2009/9/main" objectType="CheckBox" checked="Checked" fmlaLink="$Z$52" lockText="1" noThreeD="1"/>
</file>

<file path=xl/ctrlProps/ctrlProp29.xml><?xml version="1.0" encoding="utf-8"?>
<formControlPr xmlns="http://schemas.microsoft.com/office/spreadsheetml/2009/9/main" objectType="CheckBox" checked="Checked" fmlaLink="$Z$53" lockText="1" noThreeD="1"/>
</file>

<file path=xl/ctrlProps/ctrlProp30.xml><?xml version="1.0" encoding="utf-8"?>
<formControlPr xmlns="http://schemas.microsoft.com/office/spreadsheetml/2009/9/main" objectType="CheckBox" checked="Checked" fmlaLink="$Z$54" lockText="1" noThreeD="1"/>
</file>

<file path=xl/ctrlProps/ctrlProp31.xml><?xml version="1.0" encoding="utf-8"?>
<formControlPr xmlns="http://schemas.microsoft.com/office/spreadsheetml/2009/9/main" objectType="CheckBox" checked="Checked" fmlaLink="$Z$55" lockText="1" noThreeD="1"/>
</file>

<file path=xl/ctrlProps/ctrlProp32.xml><?xml version="1.0" encoding="utf-8"?>
<formControlPr xmlns="http://schemas.microsoft.com/office/spreadsheetml/2009/9/main" objectType="CheckBox" checked="Checked" fmlaLink="$Z$56" lockText="1" noThreeD="1"/>
</file>

<file path=xl/ctrlProps/ctrlProp33.xml><?xml version="1.0" encoding="utf-8"?>
<formControlPr xmlns="http://schemas.microsoft.com/office/spreadsheetml/2009/9/main" objectType="CheckBox" checked="Checked" fmlaLink="$Z$57" lockText="1" noThreeD="1"/>
</file>

<file path=xl/ctrlProps/ctrlProp34.xml><?xml version="1.0" encoding="utf-8"?>
<formControlPr xmlns="http://schemas.microsoft.com/office/spreadsheetml/2009/9/main" objectType="CheckBox" checked="Checked" fmlaLink="$Z$58" lockText="1" noThreeD="1"/>
</file>

<file path=xl/ctrlProps/ctrlProp35.xml><?xml version="1.0" encoding="utf-8"?>
<formControlPr xmlns="http://schemas.microsoft.com/office/spreadsheetml/2009/9/main" objectType="CheckBox" checked="Checked" fmlaLink="$Z$59" lockText="1" noThreeD="1"/>
</file>

<file path=xl/ctrlProps/ctrlProp36.xml><?xml version="1.0" encoding="utf-8"?>
<formControlPr xmlns="http://schemas.microsoft.com/office/spreadsheetml/2009/9/main" objectType="CheckBox" checked="Checked" fmlaLink="$Z$60" lockText="1" noThreeD="1"/>
</file>

<file path=xl/ctrlProps/ctrlProp37.xml><?xml version="1.0" encoding="utf-8"?>
<formControlPr xmlns="http://schemas.microsoft.com/office/spreadsheetml/2009/9/main" objectType="CheckBox" checked="Checked" fmlaLink="$Z$61"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20.png"/><Relationship Id="rId18" Type="http://schemas.openxmlformats.org/officeDocument/2006/relationships/chart" Target="../charts/chart2.xml"/><Relationship Id="rId3" Type="http://schemas.openxmlformats.org/officeDocument/2006/relationships/image" Target="../media/image10.png"/><Relationship Id="rId21" Type="http://schemas.openxmlformats.org/officeDocument/2006/relationships/image" Target="../media/image2.png"/><Relationship Id="rId7" Type="http://schemas.openxmlformats.org/officeDocument/2006/relationships/image" Target="../media/image14.png"/><Relationship Id="rId12" Type="http://schemas.openxmlformats.org/officeDocument/2006/relationships/image" Target="../media/image19.svg"/><Relationship Id="rId17" Type="http://schemas.openxmlformats.org/officeDocument/2006/relationships/chart" Target="../charts/chart1.xml"/><Relationship Id="rId2" Type="http://schemas.openxmlformats.org/officeDocument/2006/relationships/image" Target="../media/image9.svg"/><Relationship Id="rId16" Type="http://schemas.openxmlformats.org/officeDocument/2006/relationships/image" Target="../media/image23.svg"/><Relationship Id="rId20" Type="http://schemas.microsoft.com/office/2014/relationships/chartEx" Target="../charts/chartEx2.xml"/><Relationship Id="rId1" Type="http://schemas.openxmlformats.org/officeDocument/2006/relationships/image" Target="../media/image8.png"/><Relationship Id="rId6" Type="http://schemas.openxmlformats.org/officeDocument/2006/relationships/image" Target="../media/image13.svg"/><Relationship Id="rId11" Type="http://schemas.openxmlformats.org/officeDocument/2006/relationships/image" Target="../media/image18.png"/><Relationship Id="rId5" Type="http://schemas.openxmlformats.org/officeDocument/2006/relationships/image" Target="../media/image12.png"/><Relationship Id="rId15" Type="http://schemas.openxmlformats.org/officeDocument/2006/relationships/image" Target="../media/image22.svg"/><Relationship Id="rId10" Type="http://schemas.openxmlformats.org/officeDocument/2006/relationships/image" Target="../media/image17.svg"/><Relationship Id="rId19" Type="http://schemas.microsoft.com/office/2014/relationships/chartEx" Target="../charts/chartEx1.xml"/><Relationship Id="rId4" Type="http://schemas.openxmlformats.org/officeDocument/2006/relationships/image" Target="../media/image11.svg"/><Relationship Id="rId9" Type="http://schemas.openxmlformats.org/officeDocument/2006/relationships/image" Target="../media/image16.png"/><Relationship Id="rId14" Type="http://schemas.openxmlformats.org/officeDocument/2006/relationships/image" Target="../media/image21.svg"/><Relationship Id="rId22"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9.svg"/><Relationship Id="rId18" Type="http://schemas.microsoft.com/office/2014/relationships/chartEx" Target="../charts/chartEx3.xml"/><Relationship Id="rId3" Type="http://schemas.openxmlformats.org/officeDocument/2006/relationships/image" Target="../media/image14.png"/><Relationship Id="rId21" Type="http://schemas.openxmlformats.org/officeDocument/2006/relationships/image" Target="../media/image1.png"/><Relationship Id="rId7" Type="http://schemas.openxmlformats.org/officeDocument/2006/relationships/image" Target="../media/image25.svg"/><Relationship Id="rId12" Type="http://schemas.openxmlformats.org/officeDocument/2006/relationships/image" Target="../media/image18.png"/><Relationship Id="rId17" Type="http://schemas.openxmlformats.org/officeDocument/2006/relationships/chart" Target="../charts/chart4.xml"/><Relationship Id="rId2" Type="http://schemas.openxmlformats.org/officeDocument/2006/relationships/image" Target="../media/image13.svg"/><Relationship Id="rId16" Type="http://schemas.openxmlformats.org/officeDocument/2006/relationships/chart" Target="../charts/chart3.xml"/><Relationship Id="rId20" Type="http://schemas.openxmlformats.org/officeDocument/2006/relationships/image" Target="../media/image2.png"/><Relationship Id="rId1" Type="http://schemas.openxmlformats.org/officeDocument/2006/relationships/image" Target="../media/image12.png"/><Relationship Id="rId6" Type="http://schemas.openxmlformats.org/officeDocument/2006/relationships/image" Target="../media/image24.svg"/><Relationship Id="rId11" Type="http://schemas.openxmlformats.org/officeDocument/2006/relationships/image" Target="../media/image9.svg"/><Relationship Id="rId5" Type="http://schemas.openxmlformats.org/officeDocument/2006/relationships/image" Target="../media/image16.png"/><Relationship Id="rId15" Type="http://schemas.openxmlformats.org/officeDocument/2006/relationships/image" Target="../media/image26.svg"/><Relationship Id="rId10" Type="http://schemas.openxmlformats.org/officeDocument/2006/relationships/image" Target="../media/image8.png"/><Relationship Id="rId19" Type="http://schemas.microsoft.com/office/2014/relationships/chartEx" Target="../charts/chartEx4.xml"/><Relationship Id="rId4" Type="http://schemas.openxmlformats.org/officeDocument/2006/relationships/image" Target="../media/image15.svg"/><Relationship Id="rId9" Type="http://schemas.openxmlformats.org/officeDocument/2006/relationships/image" Target="../media/image11.svg"/><Relationship Id="rId14" Type="http://schemas.openxmlformats.org/officeDocument/2006/relationships/image" Target="../media/image20.png"/></Relationships>
</file>

<file path=xl/drawings/_rels/drawing8.xml.rels><?xml version="1.0" encoding="UTF-8" standalone="yes"?>
<Relationships xmlns="http://schemas.openxmlformats.org/package/2006/relationships"><Relationship Id="rId8" Type="http://schemas.openxmlformats.org/officeDocument/2006/relationships/image" Target="../media/image28.svg"/><Relationship Id="rId13" Type="http://schemas.openxmlformats.org/officeDocument/2006/relationships/image" Target="../media/image19.svg"/><Relationship Id="rId18" Type="http://schemas.microsoft.com/office/2014/relationships/chartEx" Target="../charts/chartEx5.xml"/><Relationship Id="rId3" Type="http://schemas.openxmlformats.org/officeDocument/2006/relationships/image" Target="../media/image14.png"/><Relationship Id="rId21" Type="http://schemas.openxmlformats.org/officeDocument/2006/relationships/chart" Target="../charts/chart8.xml"/><Relationship Id="rId7" Type="http://schemas.openxmlformats.org/officeDocument/2006/relationships/image" Target="../media/image8.png"/><Relationship Id="rId12" Type="http://schemas.openxmlformats.org/officeDocument/2006/relationships/image" Target="../media/image18.png"/><Relationship Id="rId17" Type="http://schemas.openxmlformats.org/officeDocument/2006/relationships/chart" Target="../charts/chart6.xml"/><Relationship Id="rId25" Type="http://schemas.openxmlformats.org/officeDocument/2006/relationships/image" Target="../media/image2.png"/><Relationship Id="rId2" Type="http://schemas.openxmlformats.org/officeDocument/2006/relationships/image" Target="../media/image13.svg"/><Relationship Id="rId16" Type="http://schemas.openxmlformats.org/officeDocument/2006/relationships/chart" Target="../charts/chart5.xml"/><Relationship Id="rId20" Type="http://schemas.openxmlformats.org/officeDocument/2006/relationships/chart" Target="../charts/chart7.xml"/><Relationship Id="rId1" Type="http://schemas.openxmlformats.org/officeDocument/2006/relationships/image" Target="../media/image12.png"/><Relationship Id="rId6" Type="http://schemas.openxmlformats.org/officeDocument/2006/relationships/image" Target="../media/image27.svg"/><Relationship Id="rId11" Type="http://schemas.openxmlformats.org/officeDocument/2006/relationships/image" Target="../media/image30.svg"/><Relationship Id="rId24" Type="http://schemas.openxmlformats.org/officeDocument/2006/relationships/image" Target="../media/image1.png"/><Relationship Id="rId5" Type="http://schemas.openxmlformats.org/officeDocument/2006/relationships/image" Target="../media/image16.png"/><Relationship Id="rId15" Type="http://schemas.openxmlformats.org/officeDocument/2006/relationships/image" Target="../media/image26.svg"/><Relationship Id="rId23" Type="http://schemas.microsoft.com/office/2014/relationships/chartEx" Target="../charts/chartEx8.xml"/><Relationship Id="rId10" Type="http://schemas.openxmlformats.org/officeDocument/2006/relationships/image" Target="../media/image29.svg"/><Relationship Id="rId19" Type="http://schemas.microsoft.com/office/2014/relationships/chartEx" Target="../charts/chartEx6.xml"/><Relationship Id="rId4" Type="http://schemas.openxmlformats.org/officeDocument/2006/relationships/image" Target="../media/image15.svg"/><Relationship Id="rId9" Type="http://schemas.openxmlformats.org/officeDocument/2006/relationships/image" Target="../media/image10.png"/><Relationship Id="rId14" Type="http://schemas.openxmlformats.org/officeDocument/2006/relationships/image" Target="../media/image20.png"/><Relationship Id="rId22" Type="http://schemas.microsoft.com/office/2014/relationships/chartEx" Target="../charts/chartEx7.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7.xml"/><Relationship Id="rId3" Type="http://schemas.microsoft.com/office/2014/relationships/chartEx" Target="../charts/chartEx9.xml"/><Relationship Id="rId7" Type="http://schemas.openxmlformats.org/officeDocument/2006/relationships/chart" Target="../charts/chart13.xml"/><Relationship Id="rId12" Type="http://schemas.openxmlformats.org/officeDocument/2006/relationships/chart" Target="../charts/chart16.xml"/><Relationship Id="rId2" Type="http://schemas.openxmlformats.org/officeDocument/2006/relationships/chart" Target="../charts/chart10.xml"/><Relationship Id="rId16" Type="http://schemas.openxmlformats.org/officeDocument/2006/relationships/image" Target="../media/image2.png"/><Relationship Id="rId1" Type="http://schemas.openxmlformats.org/officeDocument/2006/relationships/chart" Target="../charts/chart9.xml"/><Relationship Id="rId6" Type="http://schemas.openxmlformats.org/officeDocument/2006/relationships/chart" Target="../charts/chart12.xml"/><Relationship Id="rId11" Type="http://schemas.microsoft.com/office/2014/relationships/chartEx" Target="../charts/chartEx12.xml"/><Relationship Id="rId5" Type="http://schemas.openxmlformats.org/officeDocument/2006/relationships/chart" Target="../charts/chart11.xml"/><Relationship Id="rId15" Type="http://schemas.openxmlformats.org/officeDocument/2006/relationships/image" Target="../media/image1.png"/><Relationship Id="rId10" Type="http://schemas.microsoft.com/office/2014/relationships/chartEx" Target="../charts/chartEx11.xml"/><Relationship Id="rId4" Type="http://schemas.microsoft.com/office/2014/relationships/chartEx" Target="../charts/chartEx10.xml"/><Relationship Id="rId9" Type="http://schemas.openxmlformats.org/officeDocument/2006/relationships/chart" Target="../charts/chart15.xml"/><Relationship Id="rId1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1</xdr:row>
      <xdr:rowOff>0</xdr:rowOff>
    </xdr:to>
    <xdr:pic>
      <xdr:nvPicPr>
        <xdr:cNvPr id="3" name="Picture 2">
          <a:extLst>
            <a:ext uri="{FF2B5EF4-FFF2-40B4-BE49-F238E27FC236}">
              <a16:creationId xmlns:a16="http://schemas.microsoft.com/office/drawing/2014/main" id="{00000000-0008-0000-0000-000003000000}"/>
            </a:ext>
          </a:extLst>
        </xdr:cNvPr>
        <xdr:cNvPicPr preferRelativeResize="0">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1</xdr:col>
      <xdr:colOff>6222714</xdr:colOff>
      <xdr:row>0</xdr:row>
      <xdr:rowOff>19050</xdr:rowOff>
    </xdr:from>
    <xdr:to>
      <xdr:col>3</xdr:col>
      <xdr:colOff>0</xdr:colOff>
      <xdr:row>1</xdr:row>
      <xdr:rowOff>19050</xdr:rowOff>
    </xdr:to>
    <xdr:pic>
      <xdr:nvPicPr>
        <xdr:cNvPr id="4" name="Picture 3">
          <a:extLst>
            <a:ext uri="{FF2B5EF4-FFF2-40B4-BE49-F238E27FC236}">
              <a16:creationId xmlns:a16="http://schemas.microsoft.com/office/drawing/2014/main" id="{00000000-0008-0000-0000-000004000000}"/>
            </a:ext>
          </a:extLst>
        </xdr:cNvPr>
        <xdr:cNvPicPr>
          <a:picLocks/>
        </xdr:cNvPicPr>
      </xdr:nvPicPr>
      <xdr:blipFill rotWithShape="1">
        <a:blip xmlns:r="http://schemas.openxmlformats.org/officeDocument/2006/relationships" r:embed="rId2" cstate="email">
          <a:extLst>
            <a:ext uri="{28A0092B-C50C-407E-A947-70E740481C1C}">
              <a14:useLocalDpi xmlns:a14="http://schemas.microsoft.com/office/drawing/2010/main" val="0"/>
            </a:ext>
          </a:extLst>
        </a:blip>
        <a:srcRect l="6697" t="-11325" r="-6697" b="-21990"/>
        <a:stretch/>
      </xdr:blipFill>
      <xdr:spPr>
        <a:xfrm>
          <a:off x="6975189" y="19050"/>
          <a:ext cx="2264061" cy="1143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1</xdr:row>
      <xdr:rowOff>0</xdr:rowOff>
    </xdr:to>
    <xdr:pic>
      <xdr:nvPicPr>
        <xdr:cNvPr id="7" name="Picture 6">
          <a:extLst>
            <a:ext uri="{FF2B5EF4-FFF2-40B4-BE49-F238E27FC236}">
              <a16:creationId xmlns:a16="http://schemas.microsoft.com/office/drawing/2014/main" id="{00000000-0008-0000-0100-000007000000}"/>
            </a:ext>
          </a:extLst>
        </xdr:cNvPr>
        <xdr:cNvPicPr preferRelativeResize="0">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3</xdr:col>
      <xdr:colOff>3327114</xdr:colOff>
      <xdr:row>0</xdr:row>
      <xdr:rowOff>0</xdr:rowOff>
    </xdr:from>
    <xdr:to>
      <xdr:col>4</xdr:col>
      <xdr:colOff>720725</xdr:colOff>
      <xdr:row>1</xdr:row>
      <xdr:rowOff>0</xdr:rowOff>
    </xdr:to>
    <xdr:pic>
      <xdr:nvPicPr>
        <xdr:cNvPr id="8" name="Picture 7">
          <a:extLst>
            <a:ext uri="{FF2B5EF4-FFF2-40B4-BE49-F238E27FC236}">
              <a16:creationId xmlns:a16="http://schemas.microsoft.com/office/drawing/2014/main" id="{00000000-0008-0000-0100-000008000000}"/>
            </a:ext>
          </a:extLst>
        </xdr:cNvPr>
        <xdr:cNvPicPr>
          <a:picLocks/>
        </xdr:cNvPicPr>
      </xdr:nvPicPr>
      <xdr:blipFill rotWithShape="1">
        <a:blip xmlns:r="http://schemas.openxmlformats.org/officeDocument/2006/relationships" r:embed="rId2" cstate="email">
          <a:extLst>
            <a:ext uri="{28A0092B-C50C-407E-A947-70E740481C1C}">
              <a14:useLocalDpi xmlns:a14="http://schemas.microsoft.com/office/drawing/2010/main" val="0"/>
            </a:ext>
          </a:extLst>
        </a:blip>
        <a:srcRect l="6697" t="-11325" r="-6697" b="-21990"/>
        <a:stretch/>
      </xdr:blipFill>
      <xdr:spPr>
        <a:xfrm>
          <a:off x="6975189" y="0"/>
          <a:ext cx="2260886" cy="1143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1969135</xdr:colOff>
      <xdr:row>1</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rcRect l="-7757" t="-31000" r="-7757" b="-19000"/>
        <a:stretch/>
      </xdr:blipFill>
      <xdr:spPr>
        <a:xfrm>
          <a:off x="0" y="0"/>
          <a:ext cx="2185035" cy="685800"/>
        </a:xfrm>
        <a:prstGeom prst="rect">
          <a:avLst/>
        </a:prstGeom>
      </xdr:spPr>
    </xdr:pic>
    <xdr:clientData/>
  </xdr:twoCellAnchor>
  <xdr:oneCellAnchor>
    <xdr:from>
      <xdr:col>1</xdr:col>
      <xdr:colOff>2047875</xdr:colOff>
      <xdr:row>0</xdr:row>
      <xdr:rowOff>28575</xdr:rowOff>
    </xdr:from>
    <xdr:ext cx="3752850" cy="64008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266950" y="28575"/>
          <a:ext cx="3752850" cy="640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ahoma" panose="020B0604030504040204" pitchFamily="34" charset="0"/>
              <a:ea typeface="Tahoma" panose="020B0604030504040204" pitchFamily="34" charset="0"/>
              <a:cs typeface="Tahoma" panose="020B0604030504040204" pitchFamily="34" charset="0"/>
            </a:rPr>
            <a:t>AM</a:t>
          </a:r>
          <a:r>
            <a:rPr lang="en-US" sz="1800" b="1" baseline="0">
              <a:solidFill>
                <a:schemeClr val="bg1"/>
              </a:solidFill>
              <a:latin typeface="Tahoma" panose="020B0604030504040204" pitchFamily="34" charset="0"/>
              <a:ea typeface="Tahoma" panose="020B0604030504040204" pitchFamily="34" charset="0"/>
              <a:cs typeface="Tahoma" panose="020B0604030504040204" pitchFamily="34" charset="0"/>
            </a:rPr>
            <a:t> Energy &amp; Carbon Impacts Assessment Tool</a:t>
          </a:r>
          <a:r>
            <a:rPr lang="en-US" sz="1800" b="1">
              <a:solidFill>
                <a:schemeClr val="bg1"/>
              </a:solidFill>
              <a:latin typeface="Tahoma" panose="020B0604030504040204" pitchFamily="34" charset="0"/>
              <a:ea typeface="Tahoma" panose="020B0604030504040204" pitchFamily="34" charset="0"/>
              <a:cs typeface="Tahoma" panose="020B0604030504040204" pitchFamily="34" charset="0"/>
            </a:rPr>
            <a:t> Calculator</a:t>
          </a:r>
        </a:p>
      </xdr:txBody>
    </xdr:sp>
    <xdr:clientData/>
  </xdr:oneCellAnchor>
  <xdr:twoCellAnchor>
    <xdr:from>
      <xdr:col>1</xdr:col>
      <xdr:colOff>0</xdr:colOff>
      <xdr:row>3</xdr:row>
      <xdr:rowOff>0</xdr:rowOff>
    </xdr:from>
    <xdr:to>
      <xdr:col>2</xdr:col>
      <xdr:colOff>0</xdr:colOff>
      <xdr:row>17</xdr:row>
      <xdr:rowOff>228599</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19075" y="1143000"/>
          <a:ext cx="5581650" cy="3428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The implementation of additive manufacturing (AM) within the developing field of modern digitalized advanced manufacturing has several factors that inhibit adoption. Commonly cited industrial concerns are centered around variable part strength and increased fabrication costs regarding scalability of AM production volume. Parts manufactured using AM methods are largely uncertified for critical load bearing applications but for prototyping or low production volume applications the utilization is more widespread. The unique AM fabrication method allows for the consolidation of components, design around mechanical functionality, and minimization of subtractive waste leading to the overall reduction in material and component excess. With these unique factors in mind, the proper implementation of AM needs the consideration of the</a:t>
          </a:r>
          <a:r>
            <a:rPr lang="en-US" sz="1100" baseline="0">
              <a:latin typeface="Tahoma" panose="020B0604030504040204" pitchFamily="34" charset="0"/>
              <a:ea typeface="Tahoma" panose="020B0604030504040204" pitchFamily="34" charset="0"/>
              <a:cs typeface="Tahoma" panose="020B0604030504040204" pitchFamily="34" charset="0"/>
            </a:rPr>
            <a:t> energy and carbon impacts of the full lifecycle, not just manufacturing</a:t>
          </a:r>
          <a:r>
            <a:rPr lang="en-US" sz="1100">
              <a:latin typeface="Tahoma" panose="020B0604030504040204" pitchFamily="34" charset="0"/>
              <a:ea typeface="Tahoma" panose="020B0604030504040204" pitchFamily="34" charset="0"/>
              <a:cs typeface="Tahoma" panose="020B0604030504040204" pitchFamily="34" charset="0"/>
            </a:rPr>
            <a:t>. The development of an AM Energy and Carbon Impacts Assessment Tool allows for energy and carbon comparative analysis of major technological parameters that can greatly assist in the industrial decision-making process.</a:t>
          </a:r>
        </a:p>
      </xdr:txBody>
    </xdr:sp>
    <xdr:clientData/>
  </xdr:twoCellAnchor>
  <xdr:twoCellAnchor>
    <xdr:from>
      <xdr:col>1</xdr:col>
      <xdr:colOff>0</xdr:colOff>
      <xdr:row>18</xdr:row>
      <xdr:rowOff>228599</xdr:rowOff>
    </xdr:from>
    <xdr:to>
      <xdr:col>2</xdr:col>
      <xdr:colOff>0</xdr:colOff>
      <xdr:row>37</xdr:row>
      <xdr:rowOff>142874</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9075" y="4800599"/>
          <a:ext cx="5581650" cy="425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Additive Manufacturing (AM) refers to the method of fabrication by adding material rather than removing</a:t>
          </a:r>
          <a:r>
            <a:rPr lang="en-US" sz="1100" baseline="0">
              <a:latin typeface="Tahoma" panose="020B0604030504040204" pitchFamily="34" charset="0"/>
              <a:ea typeface="Tahoma" panose="020B0604030504040204" pitchFamily="34" charset="0"/>
              <a:cs typeface="Tahoma" panose="020B0604030504040204" pitchFamily="34" charset="0"/>
            </a:rPr>
            <a:t> material using </a:t>
          </a:r>
          <a:r>
            <a:rPr lang="en-US" sz="1100">
              <a:latin typeface="Tahoma" panose="020B0604030504040204" pitchFamily="34" charset="0"/>
              <a:ea typeface="Tahoma" panose="020B0604030504040204" pitchFamily="34" charset="0"/>
              <a:cs typeface="Tahoma" panose="020B0604030504040204" pitchFamily="34" charset="0"/>
            </a:rPr>
            <a:t>traditional subtractive</a:t>
          </a:r>
          <a:r>
            <a:rPr lang="en-US" sz="1100" baseline="0">
              <a:latin typeface="Tahoma" panose="020B0604030504040204" pitchFamily="34" charset="0"/>
              <a:ea typeface="Tahoma" panose="020B0604030504040204" pitchFamily="34" charset="0"/>
              <a:cs typeface="Tahoma" panose="020B0604030504040204" pitchFamily="34" charset="0"/>
            </a:rPr>
            <a:t> techniques. Details on </a:t>
          </a:r>
          <a:r>
            <a:rPr lang="en-US" sz="1100">
              <a:latin typeface="Tahoma" panose="020B0604030504040204" pitchFamily="34" charset="0"/>
              <a:ea typeface="Tahoma" panose="020B0604030504040204" pitchFamily="34" charset="0"/>
              <a:cs typeface="Tahoma" panose="020B0604030504040204" pitchFamily="34" charset="0"/>
            </a:rPr>
            <a:t>nomenclature for the general field of AM can be found in the ASTM52900 - 15 standard.</a:t>
          </a:r>
        </a:p>
        <a:p>
          <a:pPr algn="l">
            <a:lnSpc>
              <a:spcPct val="134000"/>
            </a:lnSpc>
          </a:pPr>
          <a:endParaRPr lang="en-US" sz="1100">
            <a:latin typeface="Tahoma" panose="020B0604030504040204" pitchFamily="34" charset="0"/>
            <a:ea typeface="Tahoma" panose="020B0604030504040204" pitchFamily="34" charset="0"/>
            <a:cs typeface="Tahoma" panose="020B0604030504040204" pitchFamily="34" charset="0"/>
          </a:endParaRPr>
        </a:p>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There are several factors within</a:t>
          </a:r>
          <a:r>
            <a:rPr lang="en-US" sz="1100" baseline="0">
              <a:latin typeface="Tahoma" panose="020B0604030504040204" pitchFamily="34" charset="0"/>
              <a:ea typeface="Tahoma" panose="020B0604030504040204" pitchFamily="34" charset="0"/>
              <a:cs typeface="Tahoma" panose="020B0604030504040204" pitchFamily="34" charset="0"/>
            </a:rPr>
            <a:t> the field of digitalized manufacturing inhibiting AM adoption:</a:t>
          </a:r>
          <a:endParaRPr lang="en-US" sz="1100">
            <a:latin typeface="Tahoma" panose="020B0604030504040204" pitchFamily="34" charset="0"/>
            <a:ea typeface="Tahoma" panose="020B0604030504040204" pitchFamily="34" charset="0"/>
            <a:cs typeface="Tahoma" panose="020B0604030504040204" pitchFamily="34" charset="0"/>
          </a:endParaRP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Variable part strength </a:t>
          </a: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Scalability costs regarding production volume </a:t>
          </a: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Uncertified for load critical applications</a:t>
          </a:r>
        </a:p>
        <a:p>
          <a:pPr algn="l">
            <a:lnSpc>
              <a:spcPct val="134000"/>
            </a:lnSpc>
          </a:pPr>
          <a:endParaRPr lang="en-US" sz="1100">
            <a:latin typeface="Tahoma" panose="020B0604030504040204" pitchFamily="34" charset="0"/>
            <a:ea typeface="Tahoma" panose="020B0604030504040204" pitchFamily="34" charset="0"/>
            <a:cs typeface="Tahoma" panose="020B0604030504040204" pitchFamily="34" charset="0"/>
          </a:endParaRPr>
        </a:p>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The</a:t>
          </a:r>
          <a:r>
            <a:rPr lang="en-US" sz="1100" baseline="0">
              <a:latin typeface="Tahoma" panose="020B0604030504040204" pitchFamily="34" charset="0"/>
              <a:ea typeface="Tahoma" panose="020B0604030504040204" pitchFamily="34" charset="0"/>
              <a:cs typeface="Tahoma" panose="020B0604030504040204" pitchFamily="34" charset="0"/>
            </a:rPr>
            <a:t> AM layer-by-layer fabrication process a</a:t>
          </a:r>
          <a:r>
            <a:rPr lang="en-US" sz="1100">
              <a:latin typeface="Tahoma" panose="020B0604030504040204" pitchFamily="34" charset="0"/>
              <a:ea typeface="Tahoma" panose="020B0604030504040204" pitchFamily="34" charset="0"/>
              <a:cs typeface="Tahoma" panose="020B0604030504040204" pitchFamily="34" charset="0"/>
            </a:rPr>
            <a:t>llows for:</a:t>
          </a: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Consolidation of</a:t>
          </a:r>
          <a:r>
            <a:rPr lang="en-US" sz="1100" baseline="0">
              <a:latin typeface="Tahoma" panose="020B0604030504040204" pitchFamily="34" charset="0"/>
              <a:ea typeface="Tahoma" panose="020B0604030504040204" pitchFamily="34" charset="0"/>
              <a:cs typeface="Tahoma" panose="020B0604030504040204" pitchFamily="34" charset="0"/>
            </a:rPr>
            <a:t> multi-component assemblies</a:t>
          </a:r>
          <a:endParaRPr lang="en-US" sz="1100">
            <a:latin typeface="Tahoma" panose="020B0604030504040204" pitchFamily="34" charset="0"/>
            <a:ea typeface="Tahoma" panose="020B0604030504040204" pitchFamily="34" charset="0"/>
            <a:cs typeface="Tahoma" panose="020B0604030504040204" pitchFamily="34" charset="0"/>
          </a:endParaRP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Design around mechanical functionality</a:t>
          </a: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Minimization of waste</a:t>
          </a:r>
        </a:p>
        <a:p>
          <a:pPr algn="l">
            <a:lnSpc>
              <a:spcPct val="134000"/>
            </a:lnSpc>
          </a:pPr>
          <a:endParaRPr lang="en-US" sz="1100">
            <a:latin typeface="Tahoma" panose="020B0604030504040204" pitchFamily="34" charset="0"/>
            <a:ea typeface="Tahoma" panose="020B0604030504040204" pitchFamily="34" charset="0"/>
            <a:cs typeface="Tahoma" panose="020B0604030504040204" pitchFamily="34" charset="0"/>
          </a:endParaRPr>
        </a:p>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The proper implementation of AM needs to consider lifecycle impacts.</a:t>
          </a:r>
          <a:r>
            <a:rPr lang="en-US" sz="1100" baseline="0">
              <a:latin typeface="Tahoma" panose="020B0604030504040204" pitchFamily="34" charset="0"/>
              <a:ea typeface="Tahoma" panose="020B0604030504040204" pitchFamily="34" charset="0"/>
              <a:cs typeface="Tahoma" panose="020B0604030504040204" pitchFamily="34" charset="0"/>
            </a:rPr>
            <a:t> Development of this Energy and Carbon Impacts tool allows for comparative analysis.</a:t>
          </a:r>
          <a:endParaRPr lang="en-US" sz="110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xdr:col>
      <xdr:colOff>0</xdr:colOff>
      <xdr:row>3</xdr:row>
      <xdr:rowOff>0</xdr:rowOff>
    </xdr:from>
    <xdr:to>
      <xdr:col>5</xdr:col>
      <xdr:colOff>0</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238875" y="1143000"/>
          <a:ext cx="558165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Life Cycle Analysis (LCA) is a tool that can help quantify and correlate the manufacturing and use performance metrics of processes, products, or services.</a:t>
          </a:r>
          <a:r>
            <a:rPr lang="en-US" sz="1100" baseline="0">
              <a:latin typeface="Tahoma" panose="020B0604030504040204" pitchFamily="34" charset="0"/>
              <a:ea typeface="Tahoma" panose="020B0604030504040204" pitchFamily="34" charset="0"/>
              <a:cs typeface="Tahoma" panose="020B0604030504040204" pitchFamily="34" charset="0"/>
            </a:rPr>
            <a:t> </a:t>
          </a:r>
          <a:r>
            <a:rPr lang="en-US" sz="1100">
              <a:latin typeface="Tahoma" panose="020B0604030504040204" pitchFamily="34" charset="0"/>
              <a:ea typeface="Tahoma" panose="020B0604030504040204" pitchFamily="34" charset="0"/>
              <a:cs typeface="Tahoma" panose="020B0604030504040204" pitchFamily="34" charset="0"/>
            </a:rPr>
            <a:t>LCA</a:t>
          </a:r>
          <a:r>
            <a:rPr lang="en-US" sz="1100" baseline="0">
              <a:latin typeface="Tahoma" panose="020B0604030504040204" pitchFamily="34" charset="0"/>
              <a:ea typeface="Tahoma" panose="020B0604030504040204" pitchFamily="34" charset="0"/>
              <a:cs typeface="Tahoma" panose="020B0604030504040204" pitchFamily="34" charset="0"/>
            </a:rPr>
            <a:t> helps to quantify the environmental impact of a technology by applying rigorous . The following diagram depicts the typical boundaries of an LCA:</a:t>
          </a:r>
          <a:endParaRPr lang="en-US" sz="110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xdr:col>
      <xdr:colOff>3714307</xdr:colOff>
      <xdr:row>25</xdr:row>
      <xdr:rowOff>184523</xdr:rowOff>
    </xdr:from>
    <xdr:to>
      <xdr:col>1</xdr:col>
      <xdr:colOff>5454650</xdr:colOff>
      <xdr:row>32</xdr:row>
      <xdr:rowOff>171450</xdr:rowOff>
    </xdr:to>
    <xdr:pic>
      <xdr:nvPicPr>
        <xdr:cNvPr id="8" name="Picture 7" descr="Diagram, engineering drawing&#10;&#10;Description automatically generated">
          <a:extLst>
            <a:ext uri="{FF2B5EF4-FFF2-40B4-BE49-F238E27FC236}">
              <a16:creationId xmlns:a16="http://schemas.microsoft.com/office/drawing/2014/main" id="{00000000-0008-0000-0200-000008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6904" r="15727"/>
        <a:stretch/>
      </xdr:blipFill>
      <xdr:spPr>
        <a:xfrm>
          <a:off x="3933382" y="6356723"/>
          <a:ext cx="1743518" cy="1587127"/>
        </a:xfrm>
        <a:prstGeom prst="rect">
          <a:avLst/>
        </a:prstGeom>
      </xdr:spPr>
    </xdr:pic>
    <xdr:clientData/>
  </xdr:twoCellAnchor>
  <xdr:twoCellAnchor>
    <xdr:from>
      <xdr:col>4</xdr:col>
      <xdr:colOff>0</xdr:colOff>
      <xdr:row>19</xdr:row>
      <xdr:rowOff>0</xdr:rowOff>
    </xdr:from>
    <xdr:to>
      <xdr:col>5</xdr:col>
      <xdr:colOff>0</xdr:colOff>
      <xdr:row>35</xdr:row>
      <xdr:rowOff>0</xdr:rowOff>
    </xdr:to>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6238875" y="4572000"/>
          <a:ext cx="5581650" cy="365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The AM</a:t>
          </a:r>
          <a:r>
            <a:rPr lang="en-US" sz="1100" baseline="0">
              <a:latin typeface="Tahoma" panose="020B0604030504040204" pitchFamily="34" charset="0"/>
              <a:ea typeface="Tahoma" panose="020B0604030504040204" pitchFamily="34" charset="0"/>
              <a:cs typeface="Tahoma" panose="020B0604030504040204" pitchFamily="34" charset="0"/>
            </a:rPr>
            <a:t> Energy &amp; Carbon Assessment Tool analysis begins by collecting information on the  material of the modeled part. Users can select from a variety of metals, polymers, ceramics, or fibers, or create custom materials, which will then provide ranges of embodied energies for users. The next step is to input information about the manufacturing process used, the type of post-processing or machining required, and the tooling used.  The tool also walks users through quantifying the impacts of later life cycle stages: Transportation, Use, and End of Life. </a:t>
          </a:r>
          <a:br>
            <a:rPr lang="en-US" sz="1100" baseline="0">
              <a:latin typeface="Tahoma" panose="020B0604030504040204" pitchFamily="34" charset="0"/>
              <a:ea typeface="Tahoma" panose="020B0604030504040204" pitchFamily="34" charset="0"/>
              <a:cs typeface="Tahoma" panose="020B0604030504040204" pitchFamily="34" charset="0"/>
            </a:rPr>
          </a:br>
          <a:r>
            <a:rPr lang="en-US" sz="1100" baseline="0">
              <a:latin typeface="Tahoma" panose="020B0604030504040204" pitchFamily="34" charset="0"/>
              <a:ea typeface="Tahoma" panose="020B0604030504040204" pitchFamily="34" charset="0"/>
              <a:cs typeface="Tahoma" panose="020B0604030504040204" pitchFamily="34" charset="0"/>
            </a:rPr>
            <a:t>This tool aims to make initial estimations of life cycle energy use and carbon emissions easier for users. Where possible, database values or ranges for common components (e.g., material embodied impacts, transportation impacts). When database values are not applicable, the tool endeavors to walk users though the calculation steps either in the worksheet or using form calculators (so users can directly enter values if they are known). </a:t>
          </a:r>
        </a:p>
      </xdr:txBody>
    </xdr:sp>
    <xdr:clientData/>
  </xdr:twoCellAnchor>
  <xdr:twoCellAnchor editAs="oneCell">
    <xdr:from>
      <xdr:col>3</xdr:col>
      <xdr:colOff>0</xdr:colOff>
      <xdr:row>0</xdr:row>
      <xdr:rowOff>0</xdr:rowOff>
    </xdr:from>
    <xdr:to>
      <xdr:col>4</xdr:col>
      <xdr:colOff>1969135</xdr:colOff>
      <xdr:row>1</xdr:row>
      <xdr:rowOff>0</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rotWithShape="1">
        <a:blip xmlns:r="http://schemas.openxmlformats.org/officeDocument/2006/relationships" r:embed="rId1"/>
        <a:srcRect l="-7757" t="-31000" r="-7757" b="-19000"/>
        <a:stretch/>
      </xdr:blipFill>
      <xdr:spPr>
        <a:xfrm>
          <a:off x="6019800" y="0"/>
          <a:ext cx="2185035" cy="685800"/>
        </a:xfrm>
        <a:prstGeom prst="rect">
          <a:avLst/>
        </a:prstGeom>
      </xdr:spPr>
    </xdr:pic>
    <xdr:clientData/>
  </xdr:twoCellAnchor>
  <xdr:twoCellAnchor editAs="oneCell">
    <xdr:from>
      <xdr:col>4</xdr:col>
      <xdr:colOff>211996</xdr:colOff>
      <xdr:row>7</xdr:row>
      <xdr:rowOff>190989</xdr:rowOff>
    </xdr:from>
    <xdr:to>
      <xdr:col>4</xdr:col>
      <xdr:colOff>5353049</xdr:colOff>
      <xdr:row>16</xdr:row>
      <xdr:rowOff>83622</xdr:rowOff>
    </xdr:to>
    <xdr:pic>
      <xdr:nvPicPr>
        <xdr:cNvPr id="28" name="Picture 27">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6720746" y="2207114"/>
          <a:ext cx="5141053" cy="1892883"/>
        </a:xfrm>
        <a:prstGeom prst="rect">
          <a:avLst/>
        </a:prstGeom>
      </xdr:spPr>
    </xdr:pic>
    <xdr:clientData/>
  </xdr:twoCellAnchor>
  <xdr:oneCellAnchor>
    <xdr:from>
      <xdr:col>4</xdr:col>
      <xdr:colOff>2047875</xdr:colOff>
      <xdr:row>0</xdr:row>
      <xdr:rowOff>9525</xdr:rowOff>
    </xdr:from>
    <xdr:ext cx="3752850" cy="640080"/>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8286750" y="9525"/>
          <a:ext cx="3752850" cy="640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ahoma" panose="020B0604030504040204" pitchFamily="34" charset="0"/>
              <a:ea typeface="Tahoma" panose="020B0604030504040204" pitchFamily="34" charset="0"/>
              <a:cs typeface="Tahoma" panose="020B0604030504040204" pitchFamily="34" charset="0"/>
            </a:rPr>
            <a:t>AM</a:t>
          </a:r>
          <a:r>
            <a:rPr lang="en-US" sz="1800" b="1" baseline="0">
              <a:solidFill>
                <a:schemeClr val="bg1"/>
              </a:solidFill>
              <a:latin typeface="Tahoma" panose="020B0604030504040204" pitchFamily="34" charset="0"/>
              <a:ea typeface="Tahoma" panose="020B0604030504040204" pitchFamily="34" charset="0"/>
              <a:cs typeface="Tahoma" panose="020B0604030504040204" pitchFamily="34" charset="0"/>
            </a:rPr>
            <a:t> Energy &amp; Carbon Impacts Assessment Tool</a:t>
          </a:r>
          <a:r>
            <a:rPr lang="en-US" sz="1800" b="1">
              <a:solidFill>
                <a:schemeClr val="bg1"/>
              </a:solidFill>
              <a:latin typeface="Tahoma" panose="020B0604030504040204" pitchFamily="34" charset="0"/>
              <a:ea typeface="Tahoma" panose="020B0604030504040204" pitchFamily="34" charset="0"/>
              <a:cs typeface="Tahoma" panose="020B0604030504040204" pitchFamily="34" charset="0"/>
            </a:rPr>
            <a:t> Calculator</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3</xdr:col>
      <xdr:colOff>71437</xdr:colOff>
      <xdr:row>12</xdr:row>
      <xdr:rowOff>119062</xdr:rowOff>
    </xdr:from>
    <xdr:to>
      <xdr:col>3</xdr:col>
      <xdr:colOff>1631160</xdr:colOff>
      <xdr:row>15</xdr:row>
      <xdr:rowOff>59531</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5456691" y="4109130"/>
          <a:ext cx="1559723" cy="712901"/>
          <a:chOff x="5441156" y="2774156"/>
          <a:chExt cx="1559723" cy="369094"/>
        </a:xfrm>
      </xdr:grpSpPr>
      <xdr:sp macro="" textlink="">
        <xdr:nvSpPr>
          <xdr:cNvPr id="2" name="Left Arrow 1">
            <a:extLst>
              <a:ext uri="{FF2B5EF4-FFF2-40B4-BE49-F238E27FC236}">
                <a16:creationId xmlns:a16="http://schemas.microsoft.com/office/drawing/2014/main" id="{00000000-0008-0000-0300-000002000000}"/>
              </a:ext>
            </a:extLst>
          </xdr:cNvPr>
          <xdr:cNvSpPr/>
        </xdr:nvSpPr>
        <xdr:spPr>
          <a:xfrm>
            <a:off x="5441156" y="2830966"/>
            <a:ext cx="452438" cy="249011"/>
          </a:xfrm>
          <a:prstGeom prst="leftArrow">
            <a:avLst/>
          </a:prstGeom>
          <a:solidFill>
            <a:srgbClr val="FF0000"/>
          </a:solidFill>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774535" y="2774156"/>
            <a:ext cx="1226344" cy="369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START</a:t>
            </a:r>
            <a:r>
              <a:rPr lang="en-US" sz="1400" b="1" baseline="0"/>
              <a:t> HERE</a:t>
            </a:r>
            <a:endParaRPr lang="en-US" sz="1400" b="1"/>
          </a:p>
        </xdr:txBody>
      </xdr:sp>
    </xdr:grpSp>
    <xdr:clientData/>
  </xdr:twoCellAnchor>
  <xdr:twoCellAnchor editAs="oneCell">
    <xdr:from>
      <xdr:col>0</xdr:col>
      <xdr:colOff>0</xdr:colOff>
      <xdr:row>0</xdr:row>
      <xdr:rowOff>0</xdr:rowOff>
    </xdr:from>
    <xdr:to>
      <xdr:col>0</xdr:col>
      <xdr:colOff>1143000</xdr:colOff>
      <xdr:row>1</xdr:row>
      <xdr:rowOff>0</xdr:rowOff>
    </xdr:to>
    <xdr:pic>
      <xdr:nvPicPr>
        <xdr:cNvPr id="5" name="Picture 4">
          <a:extLst>
            <a:ext uri="{FF2B5EF4-FFF2-40B4-BE49-F238E27FC236}">
              <a16:creationId xmlns:a16="http://schemas.microsoft.com/office/drawing/2014/main" id="{00000000-0008-0000-0300-000005000000}"/>
            </a:ext>
          </a:extLst>
        </xdr:cNvPr>
        <xdr:cNvPicPr preferRelativeResize="0">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5</xdr:col>
      <xdr:colOff>7038689</xdr:colOff>
      <xdr:row>0</xdr:row>
      <xdr:rowOff>0</xdr:rowOff>
    </xdr:from>
    <xdr:to>
      <xdr:col>6</xdr:col>
      <xdr:colOff>704850</xdr:colOff>
      <xdr:row>1</xdr:row>
      <xdr:rowOff>0</xdr:rowOff>
    </xdr:to>
    <xdr:pic>
      <xdr:nvPicPr>
        <xdr:cNvPr id="6" name="Picture 5">
          <a:extLst>
            <a:ext uri="{FF2B5EF4-FFF2-40B4-BE49-F238E27FC236}">
              <a16:creationId xmlns:a16="http://schemas.microsoft.com/office/drawing/2014/main" id="{00000000-0008-0000-0300-000006000000}"/>
            </a:ext>
          </a:extLst>
        </xdr:cNvPr>
        <xdr:cNvPicPr>
          <a:picLocks/>
        </xdr:cNvPicPr>
      </xdr:nvPicPr>
      <xdr:blipFill rotWithShape="1">
        <a:blip xmlns:r="http://schemas.openxmlformats.org/officeDocument/2006/relationships" r:embed="rId2" cstate="email">
          <a:extLst>
            <a:ext uri="{28A0092B-C50C-407E-A947-70E740481C1C}">
              <a14:useLocalDpi xmlns:a14="http://schemas.microsoft.com/office/drawing/2010/main" val="0"/>
            </a:ext>
          </a:extLst>
        </a:blip>
        <a:srcRect l="6697" t="-11325" r="-6697" b="-21990"/>
        <a:stretch/>
      </xdr:blipFill>
      <xdr:spPr>
        <a:xfrm>
          <a:off x="16277939" y="0"/>
          <a:ext cx="2048161" cy="1143000"/>
        </a:xfrm>
        <a:prstGeom prst="rect">
          <a:avLst/>
        </a:prstGeom>
      </xdr:spPr>
    </xdr:pic>
    <xdr:clientData/>
  </xdr:twoCellAnchor>
  <xdr:twoCellAnchor editAs="oneCell">
    <xdr:from>
      <xdr:col>4</xdr:col>
      <xdr:colOff>212987</xdr:colOff>
      <xdr:row>5</xdr:row>
      <xdr:rowOff>27213</xdr:rowOff>
    </xdr:from>
    <xdr:to>
      <xdr:col>6</xdr:col>
      <xdr:colOff>455534</xdr:colOff>
      <xdr:row>19</xdr:row>
      <xdr:rowOff>163747</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9139273" y="2204356"/>
          <a:ext cx="9767547" cy="46341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1</xdr:row>
      <xdr:rowOff>0</xdr:rowOff>
    </xdr:to>
    <xdr:pic>
      <xdr:nvPicPr>
        <xdr:cNvPr id="4" name="Picture 3">
          <a:extLst>
            <a:ext uri="{FF2B5EF4-FFF2-40B4-BE49-F238E27FC236}">
              <a16:creationId xmlns:a16="http://schemas.microsoft.com/office/drawing/2014/main" id="{00000000-0008-0000-0400-000004000000}"/>
            </a:ext>
          </a:extLst>
        </xdr:cNvPr>
        <xdr:cNvPicPr preferRelativeResize="0">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6</xdr:col>
      <xdr:colOff>5047964</xdr:colOff>
      <xdr:row>0</xdr:row>
      <xdr:rowOff>0</xdr:rowOff>
    </xdr:from>
    <xdr:to>
      <xdr:col>8</xdr:col>
      <xdr:colOff>0</xdr:colOff>
      <xdr:row>1</xdr:row>
      <xdr:rowOff>0</xdr:rowOff>
    </xdr:to>
    <xdr:pic>
      <xdr:nvPicPr>
        <xdr:cNvPr id="7" name="Picture 6">
          <a:extLst>
            <a:ext uri="{FF2B5EF4-FFF2-40B4-BE49-F238E27FC236}">
              <a16:creationId xmlns:a16="http://schemas.microsoft.com/office/drawing/2014/main" id="{00000000-0008-0000-0400-000007000000}"/>
            </a:ext>
          </a:extLst>
        </xdr:cNvPr>
        <xdr:cNvPicPr>
          <a:picLocks/>
        </xdr:cNvPicPr>
      </xdr:nvPicPr>
      <xdr:blipFill rotWithShape="1">
        <a:blip xmlns:r="http://schemas.openxmlformats.org/officeDocument/2006/relationships" r:embed="rId2" cstate="email">
          <a:extLst>
            <a:ext uri="{28A0092B-C50C-407E-A947-70E740481C1C}">
              <a14:useLocalDpi xmlns:a14="http://schemas.microsoft.com/office/drawing/2010/main" val="0"/>
            </a:ext>
          </a:extLst>
        </a:blip>
        <a:srcRect l="6697" t="-11325" r="-6697" b="-21990"/>
        <a:stretch/>
      </xdr:blipFill>
      <xdr:spPr>
        <a:xfrm>
          <a:off x="13668089" y="0"/>
          <a:ext cx="2048161" cy="1143000"/>
        </a:xfrm>
        <a:prstGeom prst="rect">
          <a:avLst/>
        </a:prstGeom>
      </xdr:spPr>
    </xdr:pic>
    <xdr:clientData/>
  </xdr:twoCellAnchor>
  <xdr:twoCellAnchor editAs="oneCell">
    <xdr:from>
      <xdr:col>6</xdr:col>
      <xdr:colOff>27796</xdr:colOff>
      <xdr:row>2</xdr:row>
      <xdr:rowOff>85725</xdr:rowOff>
    </xdr:from>
    <xdr:to>
      <xdr:col>6</xdr:col>
      <xdr:colOff>6428596</xdr:colOff>
      <xdr:row>6</xdr:row>
      <xdr:rowOff>209394</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3"/>
        <a:stretch>
          <a:fillRect/>
        </a:stretch>
      </xdr:blipFill>
      <xdr:spPr>
        <a:xfrm>
          <a:off x="8647921" y="1733550"/>
          <a:ext cx="6400800" cy="240014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3116407</xdr:colOff>
      <xdr:row>51</xdr:row>
      <xdr:rowOff>36389</xdr:rowOff>
    </xdr:from>
    <xdr:to>
      <xdr:col>7</xdr:col>
      <xdr:colOff>3668511</xdr:colOff>
      <xdr:row>51</xdr:row>
      <xdr:rowOff>588204</xdr:rowOff>
    </xdr:to>
    <xdr:pic macro="[0]!HelpBox_TransData">
      <xdr:nvPicPr>
        <xdr:cNvPr id="5" name="Graphic 4" descr="Help with solid fill">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318557" y="28506614"/>
          <a:ext cx="545754" cy="548640"/>
        </a:xfrm>
        <a:prstGeom prst="rect">
          <a:avLst/>
        </a:prstGeom>
      </xdr:spPr>
    </xdr:pic>
    <xdr:clientData/>
  </xdr:twoCellAnchor>
  <xdr:twoCellAnchor editAs="oneCell">
    <xdr:from>
      <xdr:col>7</xdr:col>
      <xdr:colOff>3113521</xdr:colOff>
      <xdr:row>75</xdr:row>
      <xdr:rowOff>45914</xdr:rowOff>
    </xdr:from>
    <xdr:to>
      <xdr:col>7</xdr:col>
      <xdr:colOff>3668511</xdr:colOff>
      <xdr:row>75</xdr:row>
      <xdr:rowOff>600904</xdr:rowOff>
    </xdr:to>
    <xdr:pic macro="[0]!HelpBox_Stationary">
      <xdr:nvPicPr>
        <xdr:cNvPr id="12" name="Graphic 11" descr="Help with solid fill">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0315671" y="38479289"/>
          <a:ext cx="548640" cy="548640"/>
        </a:xfrm>
        <a:prstGeom prst="rect">
          <a:avLst/>
        </a:prstGeom>
      </xdr:spPr>
    </xdr:pic>
    <xdr:clientData/>
  </xdr:twoCellAnchor>
  <xdr:twoCellAnchor>
    <xdr:from>
      <xdr:col>5</xdr:col>
      <xdr:colOff>597434</xdr:colOff>
      <xdr:row>22</xdr:row>
      <xdr:rowOff>65232</xdr:rowOff>
    </xdr:from>
    <xdr:to>
      <xdr:col>5</xdr:col>
      <xdr:colOff>1054634</xdr:colOff>
      <xdr:row>23</xdr:row>
      <xdr:rowOff>20782</xdr:rowOff>
    </xdr:to>
    <xdr:pic macro="[0]!CM_1_Max_Click">
      <xdr:nvPicPr>
        <xdr:cNvPr id="20" name="Graphic 19" descr="Badge Follow with solid fill">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34" y="9607550"/>
          <a:ext cx="457200" cy="457777"/>
        </a:xfrm>
        <a:prstGeom prst="rect">
          <a:avLst/>
        </a:prstGeom>
      </xdr:spPr>
    </xdr:pic>
    <xdr:clientData/>
  </xdr:twoCellAnchor>
  <xdr:twoCellAnchor>
    <xdr:from>
      <xdr:col>5</xdr:col>
      <xdr:colOff>105178</xdr:colOff>
      <xdr:row>22</xdr:row>
      <xdr:rowOff>65232</xdr:rowOff>
    </xdr:from>
    <xdr:to>
      <xdr:col>5</xdr:col>
      <xdr:colOff>559203</xdr:colOff>
      <xdr:row>23</xdr:row>
      <xdr:rowOff>20782</xdr:rowOff>
    </xdr:to>
    <xdr:pic macro="[0]!CM_1_Min_Click">
      <xdr:nvPicPr>
        <xdr:cNvPr id="22" name="Graphic 21" descr="Badge Unfollow with solid fill">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73178" y="9607550"/>
          <a:ext cx="454025" cy="457777"/>
        </a:xfrm>
        <a:prstGeom prst="rect">
          <a:avLst/>
        </a:prstGeom>
      </xdr:spPr>
    </xdr:pic>
    <xdr:clientData/>
  </xdr:twoCellAnchor>
  <xdr:twoCellAnchor>
    <xdr:from>
      <xdr:col>5</xdr:col>
      <xdr:colOff>597434</xdr:colOff>
      <xdr:row>24</xdr:row>
      <xdr:rowOff>65553</xdr:rowOff>
    </xdr:from>
    <xdr:to>
      <xdr:col>5</xdr:col>
      <xdr:colOff>1054634</xdr:colOff>
      <xdr:row>25</xdr:row>
      <xdr:rowOff>21103</xdr:rowOff>
    </xdr:to>
    <xdr:pic macro="[0]!CM_1_R_Max_Click">
      <xdr:nvPicPr>
        <xdr:cNvPr id="15" name="Graphic 14" descr="Badge Follow with solid fill">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34" y="10612326"/>
          <a:ext cx="457200" cy="457777"/>
        </a:xfrm>
        <a:prstGeom prst="rect">
          <a:avLst/>
        </a:prstGeom>
      </xdr:spPr>
    </xdr:pic>
    <xdr:clientData/>
  </xdr:twoCellAnchor>
  <xdr:twoCellAnchor>
    <xdr:from>
      <xdr:col>5</xdr:col>
      <xdr:colOff>105178</xdr:colOff>
      <xdr:row>24</xdr:row>
      <xdr:rowOff>65553</xdr:rowOff>
    </xdr:from>
    <xdr:to>
      <xdr:col>5</xdr:col>
      <xdr:colOff>559203</xdr:colOff>
      <xdr:row>25</xdr:row>
      <xdr:rowOff>21103</xdr:rowOff>
    </xdr:to>
    <xdr:pic macro="[0]!CM_1_R_Min_Click">
      <xdr:nvPicPr>
        <xdr:cNvPr id="16" name="Graphic 15" descr="Badge Unfollow with solid fill">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73178" y="10612326"/>
          <a:ext cx="454025" cy="457777"/>
        </a:xfrm>
        <a:prstGeom prst="rect">
          <a:avLst/>
        </a:prstGeom>
      </xdr:spPr>
    </xdr:pic>
    <xdr:clientData/>
  </xdr:twoCellAnchor>
  <xdr:twoCellAnchor>
    <xdr:from>
      <xdr:col>5</xdr:col>
      <xdr:colOff>597434</xdr:colOff>
      <xdr:row>26</xdr:row>
      <xdr:rowOff>69635</xdr:rowOff>
    </xdr:from>
    <xdr:to>
      <xdr:col>5</xdr:col>
      <xdr:colOff>1057809</xdr:colOff>
      <xdr:row>27</xdr:row>
      <xdr:rowOff>28360</xdr:rowOff>
    </xdr:to>
    <xdr:pic macro="[0]!CM_2_Max_Click">
      <xdr:nvPicPr>
        <xdr:cNvPr id="19" name="Graphic 18" descr="Badge Follow with solid fil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34" y="11620862"/>
          <a:ext cx="460375" cy="460953"/>
        </a:xfrm>
        <a:prstGeom prst="rect">
          <a:avLst/>
        </a:prstGeom>
      </xdr:spPr>
    </xdr:pic>
    <xdr:clientData/>
  </xdr:twoCellAnchor>
  <xdr:twoCellAnchor>
    <xdr:from>
      <xdr:col>5</xdr:col>
      <xdr:colOff>105178</xdr:colOff>
      <xdr:row>26</xdr:row>
      <xdr:rowOff>69635</xdr:rowOff>
    </xdr:from>
    <xdr:to>
      <xdr:col>5</xdr:col>
      <xdr:colOff>559203</xdr:colOff>
      <xdr:row>27</xdr:row>
      <xdr:rowOff>28360</xdr:rowOff>
    </xdr:to>
    <xdr:pic macro="[0]!CM_2_Min_Click">
      <xdr:nvPicPr>
        <xdr:cNvPr id="21" name="Graphic 20" descr="Badge Unfollow with solid fill">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73178" y="11620862"/>
          <a:ext cx="454025" cy="460953"/>
        </a:xfrm>
        <a:prstGeom prst="rect">
          <a:avLst/>
        </a:prstGeom>
      </xdr:spPr>
    </xdr:pic>
    <xdr:clientData/>
  </xdr:twoCellAnchor>
  <xdr:twoCellAnchor>
    <xdr:from>
      <xdr:col>5</xdr:col>
      <xdr:colOff>597434</xdr:colOff>
      <xdr:row>28</xdr:row>
      <xdr:rowOff>68275</xdr:rowOff>
    </xdr:from>
    <xdr:to>
      <xdr:col>5</xdr:col>
      <xdr:colOff>1057809</xdr:colOff>
      <xdr:row>29</xdr:row>
      <xdr:rowOff>23825</xdr:rowOff>
    </xdr:to>
    <xdr:pic macro="[0]!CM_2_R_Max_Click">
      <xdr:nvPicPr>
        <xdr:cNvPr id="23" name="Graphic 22" descr="Badge Follow with solid fill">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34" y="12623957"/>
          <a:ext cx="460375" cy="457777"/>
        </a:xfrm>
        <a:prstGeom prst="rect">
          <a:avLst/>
        </a:prstGeom>
      </xdr:spPr>
    </xdr:pic>
    <xdr:clientData/>
  </xdr:twoCellAnchor>
  <xdr:twoCellAnchor>
    <xdr:from>
      <xdr:col>5</xdr:col>
      <xdr:colOff>105178</xdr:colOff>
      <xdr:row>28</xdr:row>
      <xdr:rowOff>68275</xdr:rowOff>
    </xdr:from>
    <xdr:to>
      <xdr:col>5</xdr:col>
      <xdr:colOff>559203</xdr:colOff>
      <xdr:row>29</xdr:row>
      <xdr:rowOff>23825</xdr:rowOff>
    </xdr:to>
    <xdr:pic macro="[0]!CM_2_R_Min_Click">
      <xdr:nvPicPr>
        <xdr:cNvPr id="24" name="Graphic 23" descr="Badge Unfollow with solid fill">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73178" y="12623957"/>
          <a:ext cx="454025" cy="457777"/>
        </a:xfrm>
        <a:prstGeom prst="rect">
          <a:avLst/>
        </a:prstGeom>
      </xdr:spPr>
    </xdr:pic>
    <xdr:clientData/>
  </xdr:twoCellAnchor>
  <xdr:twoCellAnchor editAs="oneCell">
    <xdr:from>
      <xdr:col>5</xdr:col>
      <xdr:colOff>581478</xdr:colOff>
      <xdr:row>41</xdr:row>
      <xdr:rowOff>32279</xdr:rowOff>
    </xdr:from>
    <xdr:to>
      <xdr:col>5</xdr:col>
      <xdr:colOff>1045028</xdr:colOff>
      <xdr:row>41</xdr:row>
      <xdr:rowOff>483707</xdr:rowOff>
    </xdr:to>
    <xdr:pic macro="[0]!CM_Manuf_Max_Click">
      <xdr:nvPicPr>
        <xdr:cNvPr id="25" name="Graphic 24" descr="Badge Follow with solid fill">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49478" y="16363324"/>
          <a:ext cx="463550" cy="457778"/>
        </a:xfrm>
        <a:prstGeom prst="rect">
          <a:avLst/>
        </a:prstGeom>
      </xdr:spPr>
    </xdr:pic>
    <xdr:clientData/>
  </xdr:twoCellAnchor>
  <xdr:twoCellAnchor editAs="oneCell">
    <xdr:from>
      <xdr:col>5</xdr:col>
      <xdr:colOff>82872</xdr:colOff>
      <xdr:row>41</xdr:row>
      <xdr:rowOff>32279</xdr:rowOff>
    </xdr:from>
    <xdr:to>
      <xdr:col>5</xdr:col>
      <xdr:colOff>549597</xdr:colOff>
      <xdr:row>41</xdr:row>
      <xdr:rowOff>483707</xdr:rowOff>
    </xdr:to>
    <xdr:pic macro="[0]!CM_Manuf_Min_Click">
      <xdr:nvPicPr>
        <xdr:cNvPr id="26" name="Graphic 25" descr="Badge Unfollow with solid fill">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50872" y="16363324"/>
          <a:ext cx="466725" cy="457778"/>
        </a:xfrm>
        <a:prstGeom prst="rect">
          <a:avLst/>
        </a:prstGeom>
      </xdr:spPr>
    </xdr:pic>
    <xdr:clientData/>
  </xdr:twoCellAnchor>
  <xdr:twoCellAnchor editAs="oneCell">
    <xdr:from>
      <xdr:col>7</xdr:col>
      <xdr:colOff>3113521</xdr:colOff>
      <xdr:row>6</xdr:row>
      <xdr:rowOff>42182</xdr:rowOff>
    </xdr:from>
    <xdr:to>
      <xdr:col>7</xdr:col>
      <xdr:colOff>3668511</xdr:colOff>
      <xdr:row>6</xdr:row>
      <xdr:rowOff>590822</xdr:rowOff>
    </xdr:to>
    <xdr:pic macro="[0]!HelpBox_MatChoice">
      <xdr:nvPicPr>
        <xdr:cNvPr id="14" name="Graphic 13" descr="Badge Question Mark with solid fill">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315671" y="4280807"/>
          <a:ext cx="548640" cy="548640"/>
        </a:xfrm>
        <a:prstGeom prst="rect">
          <a:avLst/>
        </a:prstGeom>
      </xdr:spPr>
    </xdr:pic>
    <xdr:clientData/>
  </xdr:twoCellAnchor>
  <xdr:twoCellAnchor editAs="oneCell">
    <xdr:from>
      <xdr:col>7</xdr:col>
      <xdr:colOff>3116407</xdr:colOff>
      <xdr:row>21</xdr:row>
      <xdr:rowOff>36739</xdr:rowOff>
    </xdr:from>
    <xdr:to>
      <xdr:col>7</xdr:col>
      <xdr:colOff>3668511</xdr:colOff>
      <xdr:row>21</xdr:row>
      <xdr:rowOff>588554</xdr:rowOff>
    </xdr:to>
    <xdr:pic macro="[0]!HelpBox_MatEE_EC">
      <xdr:nvPicPr>
        <xdr:cNvPr id="33" name="Graphic 32" descr="Badge Question Mark with solid fill">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318557" y="11971564"/>
          <a:ext cx="545754" cy="548640"/>
        </a:xfrm>
        <a:prstGeom prst="rect">
          <a:avLst/>
        </a:prstGeom>
      </xdr:spPr>
    </xdr:pic>
    <xdr:clientData/>
  </xdr:twoCellAnchor>
  <xdr:twoCellAnchor editAs="oneCell">
    <xdr:from>
      <xdr:col>7</xdr:col>
      <xdr:colOff>3113521</xdr:colOff>
      <xdr:row>39</xdr:row>
      <xdr:rowOff>39462</xdr:rowOff>
    </xdr:from>
    <xdr:to>
      <xdr:col>7</xdr:col>
      <xdr:colOff>3668511</xdr:colOff>
      <xdr:row>39</xdr:row>
      <xdr:rowOff>588102</xdr:rowOff>
    </xdr:to>
    <xdr:pic macro="[0]!HelpBox_CM_Manuf">
      <xdr:nvPicPr>
        <xdr:cNvPr id="37" name="Graphic 36" descr="Badge Question Mark with solid fill">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315671" y="21308787"/>
          <a:ext cx="548640" cy="548640"/>
        </a:xfrm>
        <a:prstGeom prst="rect">
          <a:avLst/>
        </a:prstGeom>
      </xdr:spPr>
    </xdr:pic>
    <xdr:clientData/>
  </xdr:twoCellAnchor>
  <xdr:twoCellAnchor editAs="oneCell">
    <xdr:from>
      <xdr:col>5</xdr:col>
      <xdr:colOff>215471</xdr:colOff>
      <xdr:row>45</xdr:row>
      <xdr:rowOff>40820</xdr:rowOff>
    </xdr:from>
    <xdr:to>
      <xdr:col>5</xdr:col>
      <xdr:colOff>904446</xdr:colOff>
      <xdr:row>45</xdr:row>
      <xdr:rowOff>726620</xdr:rowOff>
    </xdr:to>
    <xdr:grpSp>
      <xdr:nvGrpSpPr>
        <xdr:cNvPr id="78" name="Group 77">
          <a:extLst>
            <a:ext uri="{FF2B5EF4-FFF2-40B4-BE49-F238E27FC236}">
              <a16:creationId xmlns:a16="http://schemas.microsoft.com/office/drawing/2014/main" id="{00000000-0008-0000-0500-00004E000000}"/>
            </a:ext>
          </a:extLst>
        </xdr:cNvPr>
        <xdr:cNvGrpSpPr>
          <a:grpSpLocks/>
        </xdr:cNvGrpSpPr>
      </xdr:nvGrpSpPr>
      <xdr:grpSpPr>
        <a:xfrm>
          <a:off x="10886646" y="18519320"/>
          <a:ext cx="688975" cy="685800"/>
          <a:chOff x="10072382" y="22877374"/>
          <a:chExt cx="685800" cy="694174"/>
        </a:xfrm>
      </xdr:grpSpPr>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0293700" y="23009599"/>
            <a:ext cx="234044" cy="11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TIME</a:t>
            </a:r>
            <a:endParaRPr lang="en-US" sz="1000"/>
          </a:p>
        </xdr:txBody>
      </xdr:sp>
      <xdr:pic macro="[0]!Post_Time_Power_calc">
        <xdr:nvPicPr>
          <xdr:cNvPr id="7" name="Graphic 6" descr="Calculator with solid fill">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072382" y="22877374"/>
            <a:ext cx="685800" cy="694174"/>
          </a:xfrm>
          <a:prstGeom prst="rect">
            <a:avLst/>
          </a:prstGeom>
        </xdr:spPr>
      </xdr:pic>
    </xdr:grpSp>
    <xdr:clientData/>
  </xdr:twoCellAnchor>
  <xdr:twoCellAnchor editAs="oneCell">
    <xdr:from>
      <xdr:col>5</xdr:col>
      <xdr:colOff>218646</xdr:colOff>
      <xdr:row>46</xdr:row>
      <xdr:rowOff>45463</xdr:rowOff>
    </xdr:from>
    <xdr:to>
      <xdr:col>5</xdr:col>
      <xdr:colOff>904446</xdr:colOff>
      <xdr:row>46</xdr:row>
      <xdr:rowOff>739881</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10889821" y="19289138"/>
          <a:ext cx="685800" cy="691243"/>
          <a:chOff x="10072381" y="23570748"/>
          <a:chExt cx="685800" cy="694173"/>
        </a:xfrm>
      </xdr:grpSpPr>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0288255" y="23714800"/>
            <a:ext cx="228601" cy="964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MASS</a:t>
            </a:r>
            <a:endParaRPr lang="en-US" sz="1000"/>
          </a:p>
        </xdr:txBody>
      </xdr:sp>
      <xdr:pic macro="[0]!Post_Mass_calc">
        <xdr:nvPicPr>
          <xdr:cNvPr id="44" name="Graphic 43" descr="Calculator with solid fill">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072381" y="23570748"/>
            <a:ext cx="685800" cy="694173"/>
          </a:xfrm>
          <a:prstGeom prst="rect">
            <a:avLst/>
          </a:prstGeom>
        </xdr:spPr>
      </xdr:pic>
    </xdr:grpSp>
    <xdr:clientData/>
  </xdr:twoCellAnchor>
  <xdr:twoCellAnchor editAs="oneCell">
    <xdr:from>
      <xdr:col>5</xdr:col>
      <xdr:colOff>212296</xdr:colOff>
      <xdr:row>49</xdr:row>
      <xdr:rowOff>42181</xdr:rowOff>
    </xdr:from>
    <xdr:to>
      <xdr:col>5</xdr:col>
      <xdr:colOff>904446</xdr:colOff>
      <xdr:row>49</xdr:row>
      <xdr:rowOff>734331</xdr:rowOff>
    </xdr:to>
    <xdr:grpSp>
      <xdr:nvGrpSpPr>
        <xdr:cNvPr id="77" name="Group 76">
          <a:extLst>
            <a:ext uri="{FF2B5EF4-FFF2-40B4-BE49-F238E27FC236}">
              <a16:creationId xmlns:a16="http://schemas.microsoft.com/office/drawing/2014/main" id="{00000000-0008-0000-0500-00004D000000}"/>
            </a:ext>
          </a:extLst>
        </xdr:cNvPr>
        <xdr:cNvGrpSpPr>
          <a:grpSpLocks/>
        </xdr:cNvGrpSpPr>
      </xdr:nvGrpSpPr>
      <xdr:grpSpPr>
        <a:xfrm>
          <a:off x="10880296" y="21190856"/>
          <a:ext cx="695325" cy="685800"/>
          <a:chOff x="10045167" y="25408721"/>
          <a:chExt cx="685800" cy="702548"/>
        </a:xfrm>
      </xdr:grpSpPr>
      <xdr:sp macro="" textlink="">
        <xdr:nvSpPr>
          <xdr:cNvPr id="42" name="TextBox 41">
            <a:extLst>
              <a:ext uri="{FF2B5EF4-FFF2-40B4-BE49-F238E27FC236}">
                <a16:creationId xmlns:a16="http://schemas.microsoft.com/office/drawing/2014/main" id="{00000000-0008-0000-0500-00002A000000}"/>
              </a:ext>
            </a:extLst>
          </xdr:cNvPr>
          <xdr:cNvSpPr txBox="1"/>
        </xdr:nvSpPr>
        <xdr:spPr>
          <a:xfrm>
            <a:off x="10266485" y="25542899"/>
            <a:ext cx="234044" cy="120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TOOL</a:t>
            </a:r>
            <a:endParaRPr lang="en-US" sz="1000"/>
          </a:p>
        </xdr:txBody>
      </xdr:sp>
      <xdr:pic macro="[0]!Tooling_calc">
        <xdr:nvPicPr>
          <xdr:cNvPr id="2" name="Graphic 1" descr="Calculator with solid fill">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045167" y="25408721"/>
            <a:ext cx="685800" cy="702548"/>
          </a:xfrm>
          <a:prstGeom prst="rect">
            <a:avLst/>
          </a:prstGeom>
        </xdr:spPr>
      </xdr:pic>
    </xdr:grpSp>
    <xdr:clientData/>
  </xdr:twoCellAnchor>
  <xdr:twoCellAnchor editAs="oneCell">
    <xdr:from>
      <xdr:col>5</xdr:col>
      <xdr:colOff>219075</xdr:colOff>
      <xdr:row>84</xdr:row>
      <xdr:rowOff>34018</xdr:rowOff>
    </xdr:from>
    <xdr:to>
      <xdr:col>5</xdr:col>
      <xdr:colOff>911225</xdr:colOff>
      <xdr:row>84</xdr:row>
      <xdr:rowOff>722085</xdr:rowOff>
    </xdr:to>
    <xdr:grpSp>
      <xdr:nvGrpSpPr>
        <xdr:cNvPr id="76" name="Group 75">
          <a:extLst>
            <a:ext uri="{FF2B5EF4-FFF2-40B4-BE49-F238E27FC236}">
              <a16:creationId xmlns:a16="http://schemas.microsoft.com/office/drawing/2014/main" id="{00000000-0008-0000-0500-00004C000000}"/>
            </a:ext>
          </a:extLst>
        </xdr:cNvPr>
        <xdr:cNvGrpSpPr>
          <a:grpSpLocks noChangeAspect="1"/>
        </xdr:cNvGrpSpPr>
      </xdr:nvGrpSpPr>
      <xdr:grpSpPr>
        <a:xfrm>
          <a:off x="10883900" y="34684525"/>
          <a:ext cx="695325" cy="691242"/>
          <a:chOff x="10059385" y="41048340"/>
          <a:chExt cx="685800" cy="688614"/>
        </a:xfrm>
      </xdr:grpSpPr>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10281180" y="4118223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EOL1_1</a:t>
            </a:r>
            <a:endParaRPr lang="en-US" sz="900"/>
          </a:p>
        </xdr:txBody>
      </xdr:sp>
      <xdr:pic macro="[0]!EoL1a_calc">
        <xdr:nvPicPr>
          <xdr:cNvPr id="43" name="Graphic 42" descr="Calculator with solid fill">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0059385" y="41048340"/>
            <a:ext cx="685800" cy="688614"/>
          </a:xfrm>
          <a:prstGeom prst="rect">
            <a:avLst/>
          </a:prstGeom>
        </xdr:spPr>
      </xdr:pic>
    </xdr:grpSp>
    <xdr:clientData/>
  </xdr:twoCellAnchor>
  <xdr:twoCellAnchor editAs="oneCell">
    <xdr:from>
      <xdr:col>5</xdr:col>
      <xdr:colOff>219075</xdr:colOff>
      <xdr:row>85</xdr:row>
      <xdr:rowOff>53068</xdr:rowOff>
    </xdr:from>
    <xdr:to>
      <xdr:col>5</xdr:col>
      <xdr:colOff>911225</xdr:colOff>
      <xdr:row>85</xdr:row>
      <xdr:rowOff>741135</xdr:rowOff>
    </xdr:to>
    <xdr:grpSp>
      <xdr:nvGrpSpPr>
        <xdr:cNvPr id="75" name="Group 74">
          <a:extLst>
            <a:ext uri="{FF2B5EF4-FFF2-40B4-BE49-F238E27FC236}">
              <a16:creationId xmlns:a16="http://schemas.microsoft.com/office/drawing/2014/main" id="{00000000-0008-0000-0500-00004B000000}"/>
            </a:ext>
          </a:extLst>
        </xdr:cNvPr>
        <xdr:cNvGrpSpPr>
          <a:grpSpLocks noChangeAspect="1"/>
        </xdr:cNvGrpSpPr>
      </xdr:nvGrpSpPr>
      <xdr:grpSpPr>
        <a:xfrm>
          <a:off x="10883900" y="35465575"/>
          <a:ext cx="695325" cy="691242"/>
          <a:chOff x="10059386" y="41715090"/>
          <a:chExt cx="685800" cy="688614"/>
        </a:xfrm>
      </xdr:grpSpPr>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10281180" y="4184898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EOL2_1</a:t>
            </a:r>
            <a:endParaRPr lang="en-US" sz="900"/>
          </a:p>
        </xdr:txBody>
      </xdr:sp>
      <xdr:pic macro="[0]!EoL1b_calc">
        <xdr:nvPicPr>
          <xdr:cNvPr id="9" name="Graphic 8" descr="Calculator with solid fill">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0059386" y="41715090"/>
            <a:ext cx="685800" cy="688614"/>
          </a:xfrm>
          <a:prstGeom prst="rect">
            <a:avLst/>
          </a:prstGeom>
        </xdr:spPr>
      </xdr:pic>
    </xdr:grpSp>
    <xdr:clientData/>
  </xdr:twoCellAnchor>
  <xdr:twoCellAnchor editAs="oneCell">
    <xdr:from>
      <xdr:col>5</xdr:col>
      <xdr:colOff>219075</xdr:colOff>
      <xdr:row>87</xdr:row>
      <xdr:rowOff>45811</xdr:rowOff>
    </xdr:from>
    <xdr:to>
      <xdr:col>5</xdr:col>
      <xdr:colOff>911225</xdr:colOff>
      <xdr:row>91</xdr:row>
      <xdr:rowOff>177800</xdr:rowOff>
    </xdr:to>
    <xdr:grpSp>
      <xdr:nvGrpSpPr>
        <xdr:cNvPr id="74" name="Group 73" hidden="1">
          <a:extLst>
            <a:ext uri="{FF2B5EF4-FFF2-40B4-BE49-F238E27FC236}">
              <a16:creationId xmlns:a16="http://schemas.microsoft.com/office/drawing/2014/main" id="{00000000-0008-0000-0500-00004A000000}"/>
            </a:ext>
          </a:extLst>
        </xdr:cNvPr>
        <xdr:cNvGrpSpPr>
          <a:grpSpLocks noChangeAspect="1"/>
        </xdr:cNvGrpSpPr>
      </xdr:nvGrpSpPr>
      <xdr:grpSpPr>
        <a:xfrm>
          <a:off x="10883900" y="36177682"/>
          <a:ext cx="695325" cy="683202"/>
          <a:chOff x="10045778" y="42877327"/>
          <a:chExt cx="685800" cy="689085"/>
        </a:xfrm>
      </xdr:grpSpPr>
      <xdr:sp macro="" textlink="">
        <xdr:nvSpPr>
          <xdr:cNvPr id="52" name="TextBox 51" hidden="1">
            <a:extLst>
              <a:ext uri="{FF2B5EF4-FFF2-40B4-BE49-F238E27FC236}">
                <a16:creationId xmlns:a16="http://schemas.microsoft.com/office/drawing/2014/main" id="{00000000-0008-0000-0500-000034000000}"/>
              </a:ext>
            </a:extLst>
          </xdr:cNvPr>
          <xdr:cNvSpPr txBox="1"/>
        </xdr:nvSpPr>
        <xdr:spPr>
          <a:xfrm>
            <a:off x="10267573" y="43016784"/>
            <a:ext cx="337458" cy="125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EOL1_2</a:t>
            </a:r>
            <a:endParaRPr lang="en-US" sz="900"/>
          </a:p>
        </xdr:txBody>
      </xdr:sp>
      <xdr:pic macro="[0]!EoL2a_calc">
        <xdr:nvPicPr>
          <xdr:cNvPr id="10" name="Graphic 9" descr="Calculator with solid fill" hidden="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0045778" y="42877327"/>
            <a:ext cx="685800" cy="689085"/>
          </a:xfrm>
          <a:prstGeom prst="rect">
            <a:avLst/>
          </a:prstGeom>
        </xdr:spPr>
      </xdr:pic>
    </xdr:grpSp>
    <xdr:clientData/>
  </xdr:twoCellAnchor>
  <xdr:twoCellAnchor editAs="oneCell">
    <xdr:from>
      <xdr:col>5</xdr:col>
      <xdr:colOff>219075</xdr:colOff>
      <xdr:row>88</xdr:row>
      <xdr:rowOff>46718</xdr:rowOff>
    </xdr:from>
    <xdr:to>
      <xdr:col>5</xdr:col>
      <xdr:colOff>911225</xdr:colOff>
      <xdr:row>91</xdr:row>
      <xdr:rowOff>180068</xdr:rowOff>
    </xdr:to>
    <xdr:grpSp>
      <xdr:nvGrpSpPr>
        <xdr:cNvPr id="73" name="Group 72" hidden="1">
          <a:extLst>
            <a:ext uri="{FF2B5EF4-FFF2-40B4-BE49-F238E27FC236}">
              <a16:creationId xmlns:a16="http://schemas.microsoft.com/office/drawing/2014/main" id="{00000000-0008-0000-0500-000049000000}"/>
            </a:ext>
          </a:extLst>
        </xdr:cNvPr>
        <xdr:cNvGrpSpPr>
          <a:grpSpLocks noChangeAspect="1"/>
        </xdr:cNvGrpSpPr>
      </xdr:nvGrpSpPr>
      <xdr:grpSpPr>
        <a:xfrm>
          <a:off x="10883900" y="36177682"/>
          <a:ext cx="695325" cy="685470"/>
          <a:chOff x="10045778" y="43577391"/>
          <a:chExt cx="685800" cy="688616"/>
        </a:xfrm>
      </xdr:grpSpPr>
      <xdr:sp macro="" textlink="">
        <xdr:nvSpPr>
          <xdr:cNvPr id="55" name="TextBox 54" hidden="1">
            <a:extLst>
              <a:ext uri="{FF2B5EF4-FFF2-40B4-BE49-F238E27FC236}">
                <a16:creationId xmlns:a16="http://schemas.microsoft.com/office/drawing/2014/main" id="{00000000-0008-0000-0500-000037000000}"/>
              </a:ext>
            </a:extLst>
          </xdr:cNvPr>
          <xdr:cNvSpPr txBox="1"/>
        </xdr:nvSpPr>
        <xdr:spPr>
          <a:xfrm>
            <a:off x="10267573" y="43716753"/>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EOL2_2</a:t>
            </a:r>
            <a:endParaRPr lang="en-US" sz="900"/>
          </a:p>
        </xdr:txBody>
      </xdr:sp>
      <xdr:pic macro="[0]!EoL2b_calc">
        <xdr:nvPicPr>
          <xdr:cNvPr id="11" name="Graphic 10" descr="Calculator with solid fill" hidden="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0045778" y="43577391"/>
            <a:ext cx="685800" cy="688616"/>
          </a:xfrm>
          <a:prstGeom prst="rect">
            <a:avLst/>
          </a:prstGeom>
        </xdr:spPr>
      </xdr:pic>
    </xdr:grpSp>
    <xdr:clientData/>
  </xdr:twoCellAnchor>
  <xdr:twoCellAnchor editAs="oneCell">
    <xdr:from>
      <xdr:col>7</xdr:col>
      <xdr:colOff>3116407</xdr:colOff>
      <xdr:row>44</xdr:row>
      <xdr:rowOff>34017</xdr:rowOff>
    </xdr:from>
    <xdr:to>
      <xdr:col>7</xdr:col>
      <xdr:colOff>3668511</xdr:colOff>
      <xdr:row>44</xdr:row>
      <xdr:rowOff>579482</xdr:rowOff>
    </xdr:to>
    <xdr:pic macro="[0]!HelpBox_PostProcess">
      <xdr:nvPicPr>
        <xdr:cNvPr id="58" name="Graphic 57" descr="Badge Question Mark with solid fill">
          <a:extLst>
            <a:ext uri="{FF2B5EF4-FFF2-40B4-BE49-F238E27FC236}">
              <a16:creationId xmlns:a16="http://schemas.microsoft.com/office/drawing/2014/main" id="{00000000-0008-0000-0500-00003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0318557" y="23951292"/>
          <a:ext cx="545754" cy="548640"/>
        </a:xfrm>
        <a:prstGeom prst="rect">
          <a:avLst/>
        </a:prstGeom>
      </xdr:spPr>
    </xdr:pic>
    <xdr:clientData/>
  </xdr:twoCellAnchor>
  <xdr:twoCellAnchor editAs="oneCell">
    <xdr:from>
      <xdr:col>7</xdr:col>
      <xdr:colOff>3117995</xdr:colOff>
      <xdr:row>83</xdr:row>
      <xdr:rowOff>37750</xdr:rowOff>
    </xdr:from>
    <xdr:to>
      <xdr:col>7</xdr:col>
      <xdr:colOff>3668511</xdr:colOff>
      <xdr:row>83</xdr:row>
      <xdr:rowOff>580040</xdr:rowOff>
    </xdr:to>
    <xdr:pic macro="[0]!HelpBox_EoL1">
      <xdr:nvPicPr>
        <xdr:cNvPr id="61" name="Graphic 60" descr="Help with solid fill">
          <a:extLst>
            <a:ext uri="{FF2B5EF4-FFF2-40B4-BE49-F238E27FC236}">
              <a16:creationId xmlns:a16="http://schemas.microsoft.com/office/drawing/2014/main" id="{00000000-0008-0000-0500-00003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0320145" y="40109425"/>
          <a:ext cx="544166" cy="548640"/>
        </a:xfrm>
        <a:prstGeom prst="rect">
          <a:avLst/>
        </a:prstGeom>
      </xdr:spPr>
    </xdr:pic>
    <xdr:clientData/>
  </xdr:twoCellAnchor>
  <xdr:twoCellAnchor editAs="oneCell">
    <xdr:from>
      <xdr:col>7</xdr:col>
      <xdr:colOff>3116407</xdr:colOff>
      <xdr:row>48</xdr:row>
      <xdr:rowOff>36739</xdr:rowOff>
    </xdr:from>
    <xdr:to>
      <xdr:col>7</xdr:col>
      <xdr:colOff>3668511</xdr:colOff>
      <xdr:row>48</xdr:row>
      <xdr:rowOff>588554</xdr:rowOff>
    </xdr:to>
    <xdr:pic macro="[0]!HelpBox_Tooling">
      <xdr:nvPicPr>
        <xdr:cNvPr id="62" name="Graphic 61" descr="Badge Question Mark with solid fill">
          <a:extLst>
            <a:ext uri="{FF2B5EF4-FFF2-40B4-BE49-F238E27FC236}">
              <a16:creationId xmlns:a16="http://schemas.microsoft.com/office/drawing/2014/main" id="{00000000-0008-0000-0500-00003E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0318557" y="26611489"/>
          <a:ext cx="545754" cy="548640"/>
        </a:xfrm>
        <a:prstGeom prst="rect">
          <a:avLst/>
        </a:prstGeom>
      </xdr:spPr>
    </xdr:pic>
    <xdr:clientData/>
  </xdr:twoCellAnchor>
  <xdr:twoCellAnchor editAs="oneCell">
    <xdr:from>
      <xdr:col>7</xdr:col>
      <xdr:colOff>3113521</xdr:colOff>
      <xdr:row>66</xdr:row>
      <xdr:rowOff>43135</xdr:rowOff>
    </xdr:from>
    <xdr:to>
      <xdr:col>7</xdr:col>
      <xdr:colOff>3668511</xdr:colOff>
      <xdr:row>66</xdr:row>
      <xdr:rowOff>591775</xdr:rowOff>
    </xdr:to>
    <xdr:pic macro="[0]!HelpBox_Mobile">
      <xdr:nvPicPr>
        <xdr:cNvPr id="63" name="Graphic 62" descr="Help with solid fill">
          <a:extLst>
            <a:ext uri="{FF2B5EF4-FFF2-40B4-BE49-F238E27FC236}">
              <a16:creationId xmlns:a16="http://schemas.microsoft.com/office/drawing/2014/main" id="{00000000-0008-0000-0500-00003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0315671" y="34314085"/>
          <a:ext cx="548640" cy="548640"/>
        </a:xfrm>
        <a:prstGeom prst="rect">
          <a:avLst/>
        </a:prstGeom>
      </xdr:spPr>
    </xdr:pic>
    <xdr:clientData/>
  </xdr:twoCellAnchor>
  <xdr:twoCellAnchor>
    <xdr:from>
      <xdr:col>6</xdr:col>
      <xdr:colOff>0</xdr:colOff>
      <xdr:row>94</xdr:row>
      <xdr:rowOff>-1</xdr:rowOff>
    </xdr:from>
    <xdr:to>
      <xdr:col>6</xdr:col>
      <xdr:colOff>4572000</xdr:colOff>
      <xdr:row>100</xdr:row>
      <xdr:rowOff>174811</xdr:rowOff>
    </xdr:to>
    <xdr:graphicFrame macro="">
      <xdr:nvGraphicFramePr>
        <xdr:cNvPr id="65" name="Chart 64">
          <a:extLst>
            <a:ext uri="{FF2B5EF4-FFF2-40B4-BE49-F238E27FC236}">
              <a16:creationId xmlns:a16="http://schemas.microsoft.com/office/drawing/2014/main" id="{00000000-0008-0000-0500-00004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95250</xdr:colOff>
          <xdr:row>95</xdr:row>
          <xdr:rowOff>76200</xdr:rowOff>
        </xdr:from>
        <xdr:to>
          <xdr:col>5</xdr:col>
          <xdr:colOff>990600</xdr:colOff>
          <xdr:row>95</xdr:row>
          <xdr:rowOff>311150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5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96</xdr:row>
          <xdr:rowOff>76200</xdr:rowOff>
        </xdr:from>
        <xdr:to>
          <xdr:col>5</xdr:col>
          <xdr:colOff>990600</xdr:colOff>
          <xdr:row>96</xdr:row>
          <xdr:rowOff>311150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5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97</xdr:row>
          <xdr:rowOff>76200</xdr:rowOff>
        </xdr:from>
        <xdr:to>
          <xdr:col>5</xdr:col>
          <xdr:colOff>990600</xdr:colOff>
          <xdr:row>97</xdr:row>
          <xdr:rowOff>311150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5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98</xdr:row>
          <xdr:rowOff>76200</xdr:rowOff>
        </xdr:from>
        <xdr:to>
          <xdr:col>5</xdr:col>
          <xdr:colOff>990600</xdr:colOff>
          <xdr:row>98</xdr:row>
          <xdr:rowOff>311150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5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99</xdr:row>
          <xdr:rowOff>76200</xdr:rowOff>
        </xdr:from>
        <xdr:to>
          <xdr:col>5</xdr:col>
          <xdr:colOff>990600</xdr:colOff>
          <xdr:row>99</xdr:row>
          <xdr:rowOff>311150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5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6</xdr:col>
      <xdr:colOff>4572000</xdr:colOff>
      <xdr:row>94</xdr:row>
      <xdr:rowOff>0</xdr:rowOff>
    </xdr:from>
    <xdr:to>
      <xdr:col>7</xdr:col>
      <xdr:colOff>3092824</xdr:colOff>
      <xdr:row>100</xdr:row>
      <xdr:rowOff>174812</xdr:rowOff>
    </xdr:to>
    <xdr:graphicFrame macro="">
      <xdr:nvGraphicFramePr>
        <xdr:cNvPr id="66" name="Chart 65">
          <a:extLst>
            <a:ext uri="{FF2B5EF4-FFF2-40B4-BE49-F238E27FC236}">
              <a16:creationId xmlns:a16="http://schemas.microsoft.com/office/drawing/2014/main" id="{00000000-0008-0000-05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0</xdr:colOff>
      <xdr:row>101</xdr:row>
      <xdr:rowOff>0</xdr:rowOff>
    </xdr:from>
    <xdr:to>
      <xdr:col>6</xdr:col>
      <xdr:colOff>4572000</xdr:colOff>
      <xdr:row>113</xdr:row>
      <xdr:rowOff>242047</xdr:rowOff>
    </xdr:to>
    <mc:AlternateContent xmlns:mc="http://schemas.openxmlformats.org/markup-compatibility/2006">
      <mc:Choice xmlns:cx1="http://schemas.microsoft.com/office/drawing/2015/9/8/chartex" Requires="cx1">
        <xdr:graphicFrame macro="">
          <xdr:nvGraphicFramePr>
            <xdr:cNvPr id="70" name="Chart 69">
              <a:extLst>
                <a:ext uri="{FF2B5EF4-FFF2-40B4-BE49-F238E27FC236}">
                  <a16:creationId xmlns:a16="http://schemas.microsoft.com/office/drawing/2014/main" id="{00000000-0008-0000-0500-00004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1830050" y="40824150"/>
              <a:ext cx="4572000" cy="332497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4572000</xdr:colOff>
      <xdr:row>101</xdr:row>
      <xdr:rowOff>4483</xdr:rowOff>
    </xdr:from>
    <xdr:to>
      <xdr:col>7</xdr:col>
      <xdr:colOff>3088821</xdr:colOff>
      <xdr:row>114</xdr:row>
      <xdr:rowOff>0</xdr:rowOff>
    </xdr:to>
    <mc:AlternateContent xmlns:mc="http://schemas.openxmlformats.org/markup-compatibility/2006">
      <mc:Choice xmlns:cx1="http://schemas.microsoft.com/office/drawing/2015/9/8/chartex" Requires="cx1">
        <xdr:graphicFrame macro="">
          <xdr:nvGraphicFramePr>
            <xdr:cNvPr id="72" name="Chart 71">
              <a:extLst>
                <a:ext uri="{FF2B5EF4-FFF2-40B4-BE49-F238E27FC236}">
                  <a16:creationId xmlns:a16="http://schemas.microsoft.com/office/drawing/2014/main" id="{00000000-0008-0000-0500-00004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16402050" y="40831808"/>
              <a:ext cx="4850946" cy="333561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1666589</xdr:colOff>
      <xdr:row>0</xdr:row>
      <xdr:rowOff>0</xdr:rowOff>
    </xdr:from>
    <xdr:to>
      <xdr:col>8</xdr:col>
      <xdr:colOff>0</xdr:colOff>
      <xdr:row>1</xdr:row>
      <xdr:rowOff>0</xdr:rowOff>
    </xdr:to>
    <xdr:pic>
      <xdr:nvPicPr>
        <xdr:cNvPr id="13" name="Picture 12">
          <a:extLst>
            <a:ext uri="{FF2B5EF4-FFF2-40B4-BE49-F238E27FC236}">
              <a16:creationId xmlns:a16="http://schemas.microsoft.com/office/drawing/2014/main" id="{00000000-0008-0000-0500-00000D000000}"/>
            </a:ext>
          </a:extLst>
        </xdr:cNvPr>
        <xdr:cNvPicPr>
          <a:picLocks/>
        </xdr:cNvPicPr>
      </xdr:nvPicPr>
      <xdr:blipFill rotWithShape="1">
        <a:blip xmlns:r="http://schemas.openxmlformats.org/officeDocument/2006/relationships" r:embed="rId21" cstate="email">
          <a:extLst>
            <a:ext uri="{28A0092B-C50C-407E-A947-70E740481C1C}">
              <a14:useLocalDpi xmlns:a14="http://schemas.microsoft.com/office/drawing/2010/main" val="0"/>
            </a:ext>
          </a:extLst>
        </a:blip>
        <a:srcRect l="6697" t="-11325" r="-6697" b="-21990"/>
        <a:stretch/>
      </xdr:blipFill>
      <xdr:spPr>
        <a:xfrm>
          <a:off x="18868739" y="0"/>
          <a:ext cx="2048161" cy="1143000"/>
        </a:xfrm>
        <a:prstGeom prst="rect">
          <a:avLst/>
        </a:prstGeom>
      </xdr:spPr>
    </xdr:pic>
    <xdr:clientData/>
  </xdr:twoCellAnchor>
  <xdr:oneCellAnchor>
    <xdr:from>
      <xdr:col>0</xdr:col>
      <xdr:colOff>0</xdr:colOff>
      <xdr:row>0</xdr:row>
      <xdr:rowOff>0</xdr:rowOff>
    </xdr:from>
    <xdr:ext cx="1138918" cy="1143000"/>
    <xdr:pic>
      <xdr:nvPicPr>
        <xdr:cNvPr id="17" name="Picture 16">
          <a:extLst>
            <a:ext uri="{FF2B5EF4-FFF2-40B4-BE49-F238E27FC236}">
              <a16:creationId xmlns:a16="http://schemas.microsoft.com/office/drawing/2014/main" id="{00000000-0008-0000-0500-000011000000}"/>
            </a:ext>
          </a:extLst>
        </xdr:cNvPr>
        <xdr:cNvPicPr preferRelativeResize="0">
          <a:picLocks/>
        </xdr:cNvPicPr>
      </xdr:nvPicPr>
      <xdr:blipFill rotWithShape="1">
        <a:blip xmlns:r="http://schemas.openxmlformats.org/officeDocument/2006/relationships" r:embed="rId22">
          <a:extLst>
            <a:ext uri="{28A0092B-C50C-407E-A947-70E740481C1C}">
              <a14:useLocalDpi xmlns:a14="http://schemas.microsoft.com/office/drawing/2010/main" val="0"/>
            </a:ext>
          </a:extLst>
        </a:blip>
        <a:srcRect l="-16489" t="-15104" r="-16489" b="-15104"/>
        <a:stretch/>
      </xdr:blipFill>
      <xdr:spPr>
        <a:xfrm>
          <a:off x="843643" y="0"/>
          <a:ext cx="1138918" cy="1143000"/>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579877</xdr:colOff>
      <xdr:row>22</xdr:row>
      <xdr:rowOff>31833</xdr:rowOff>
    </xdr:from>
    <xdr:to>
      <xdr:col>5</xdr:col>
      <xdr:colOff>1037077</xdr:colOff>
      <xdr:row>22</xdr:row>
      <xdr:rowOff>489610</xdr:rowOff>
    </xdr:to>
    <xdr:pic macro="[0]!AM_1_Max_Click">
      <xdr:nvPicPr>
        <xdr:cNvPr id="26" name="Graphic 25" descr="Badge Follow with solid fill">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47877" y="9574151"/>
          <a:ext cx="457200" cy="457777"/>
        </a:xfrm>
        <a:prstGeom prst="rect">
          <a:avLst/>
        </a:prstGeom>
      </xdr:spPr>
    </xdr:pic>
    <xdr:clientData/>
  </xdr:twoCellAnchor>
  <xdr:twoCellAnchor>
    <xdr:from>
      <xdr:col>5</xdr:col>
      <xdr:colOff>82550</xdr:colOff>
      <xdr:row>22</xdr:row>
      <xdr:rowOff>32156</xdr:rowOff>
    </xdr:from>
    <xdr:to>
      <xdr:col>5</xdr:col>
      <xdr:colOff>539750</xdr:colOff>
      <xdr:row>22</xdr:row>
      <xdr:rowOff>489933</xdr:rowOff>
    </xdr:to>
    <xdr:pic macro="[0]!AM_1_Min_Click">
      <xdr:nvPicPr>
        <xdr:cNvPr id="27" name="Graphic 26" descr="Badge Unfollow with solid fill">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50550" y="9574474"/>
          <a:ext cx="457200" cy="457777"/>
        </a:xfrm>
        <a:prstGeom prst="rect">
          <a:avLst/>
        </a:prstGeom>
      </xdr:spPr>
    </xdr:pic>
    <xdr:clientData/>
  </xdr:twoCellAnchor>
  <xdr:twoCellAnchor>
    <xdr:from>
      <xdr:col>5</xdr:col>
      <xdr:colOff>579877</xdr:colOff>
      <xdr:row>24</xdr:row>
      <xdr:rowOff>36238</xdr:rowOff>
    </xdr:from>
    <xdr:to>
      <xdr:col>5</xdr:col>
      <xdr:colOff>1040252</xdr:colOff>
      <xdr:row>24</xdr:row>
      <xdr:rowOff>497190</xdr:rowOff>
    </xdr:to>
    <xdr:pic macro="[0]!AM_1_R_Max_Click">
      <xdr:nvPicPr>
        <xdr:cNvPr id="28" name="Graphic 27" descr="Badge Follow with solid fill">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47877" y="10583011"/>
          <a:ext cx="460375" cy="460952"/>
        </a:xfrm>
        <a:prstGeom prst="rect">
          <a:avLst/>
        </a:prstGeom>
      </xdr:spPr>
    </xdr:pic>
    <xdr:clientData/>
  </xdr:twoCellAnchor>
  <xdr:twoCellAnchor>
    <xdr:from>
      <xdr:col>5</xdr:col>
      <xdr:colOff>85725</xdr:colOff>
      <xdr:row>24</xdr:row>
      <xdr:rowOff>36238</xdr:rowOff>
    </xdr:from>
    <xdr:to>
      <xdr:col>5</xdr:col>
      <xdr:colOff>539750</xdr:colOff>
      <xdr:row>24</xdr:row>
      <xdr:rowOff>497190</xdr:rowOff>
    </xdr:to>
    <xdr:pic macro="[0]!AM_1_R_Min_Click">
      <xdr:nvPicPr>
        <xdr:cNvPr id="29" name="Graphic 28" descr="Badge Unfollow with solid fill">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53725" y="10583011"/>
          <a:ext cx="454025" cy="460952"/>
        </a:xfrm>
        <a:prstGeom prst="rect">
          <a:avLst/>
        </a:prstGeom>
      </xdr:spPr>
    </xdr:pic>
    <xdr:clientData/>
  </xdr:twoCellAnchor>
  <xdr:twoCellAnchor>
    <xdr:from>
      <xdr:col>5</xdr:col>
      <xdr:colOff>579877</xdr:colOff>
      <xdr:row>26</xdr:row>
      <xdr:rowOff>34381</xdr:rowOff>
    </xdr:from>
    <xdr:to>
      <xdr:col>5</xdr:col>
      <xdr:colOff>1040252</xdr:colOff>
      <xdr:row>26</xdr:row>
      <xdr:rowOff>495334</xdr:rowOff>
    </xdr:to>
    <xdr:pic macro="[0]!AM_2_Max_Click">
      <xdr:nvPicPr>
        <xdr:cNvPr id="30" name="Graphic 29" descr="Badge Follow with solid fill">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47877" y="11585608"/>
          <a:ext cx="460375" cy="460953"/>
        </a:xfrm>
        <a:prstGeom prst="rect">
          <a:avLst/>
        </a:prstGeom>
      </xdr:spPr>
    </xdr:pic>
    <xdr:clientData/>
  </xdr:twoCellAnchor>
  <xdr:twoCellAnchor>
    <xdr:from>
      <xdr:col>5</xdr:col>
      <xdr:colOff>85725</xdr:colOff>
      <xdr:row>26</xdr:row>
      <xdr:rowOff>34381</xdr:rowOff>
    </xdr:from>
    <xdr:to>
      <xdr:col>5</xdr:col>
      <xdr:colOff>539750</xdr:colOff>
      <xdr:row>26</xdr:row>
      <xdr:rowOff>495334</xdr:rowOff>
    </xdr:to>
    <xdr:pic macro="[0]!AM_2_Min_Click">
      <xdr:nvPicPr>
        <xdr:cNvPr id="31" name="Graphic 30" descr="Badge Unfollow with solid fill">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53725" y="11585608"/>
          <a:ext cx="454025" cy="460953"/>
        </a:xfrm>
        <a:prstGeom prst="rect">
          <a:avLst/>
        </a:prstGeom>
      </xdr:spPr>
    </xdr:pic>
    <xdr:clientData/>
  </xdr:twoCellAnchor>
  <xdr:twoCellAnchor>
    <xdr:from>
      <xdr:col>5</xdr:col>
      <xdr:colOff>579877</xdr:colOff>
      <xdr:row>28</xdr:row>
      <xdr:rowOff>33024</xdr:rowOff>
    </xdr:from>
    <xdr:to>
      <xdr:col>5</xdr:col>
      <xdr:colOff>1040252</xdr:colOff>
      <xdr:row>28</xdr:row>
      <xdr:rowOff>490801</xdr:rowOff>
    </xdr:to>
    <xdr:pic macro="[0]!AM_2_R_Max_Click">
      <xdr:nvPicPr>
        <xdr:cNvPr id="32" name="Graphic 31" descr="Badge Follow with solid fill">
          <a:extLst>
            <a:ext uri="{FF2B5EF4-FFF2-40B4-BE49-F238E27FC236}">
              <a16:creationId xmlns:a16="http://schemas.microsoft.com/office/drawing/2014/main" id="{00000000-0008-0000-0600-00002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47877" y="12588706"/>
          <a:ext cx="460375" cy="457777"/>
        </a:xfrm>
        <a:prstGeom prst="rect">
          <a:avLst/>
        </a:prstGeom>
      </xdr:spPr>
    </xdr:pic>
    <xdr:clientData/>
  </xdr:twoCellAnchor>
  <xdr:twoCellAnchor>
    <xdr:from>
      <xdr:col>5</xdr:col>
      <xdr:colOff>85725</xdr:colOff>
      <xdr:row>28</xdr:row>
      <xdr:rowOff>33024</xdr:rowOff>
    </xdr:from>
    <xdr:to>
      <xdr:col>5</xdr:col>
      <xdr:colOff>539750</xdr:colOff>
      <xdr:row>28</xdr:row>
      <xdr:rowOff>490801</xdr:rowOff>
    </xdr:to>
    <xdr:pic macro="[0]!AM_2_R_Min_Click">
      <xdr:nvPicPr>
        <xdr:cNvPr id="33" name="Graphic 32" descr="Badge Unfollow with solid fill">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53725" y="12588706"/>
          <a:ext cx="454025" cy="457777"/>
        </a:xfrm>
        <a:prstGeom prst="rect">
          <a:avLst/>
        </a:prstGeom>
      </xdr:spPr>
    </xdr:pic>
    <xdr:clientData/>
  </xdr:twoCellAnchor>
  <xdr:twoCellAnchor editAs="oneCell">
    <xdr:from>
      <xdr:col>7</xdr:col>
      <xdr:colOff>3096084</xdr:colOff>
      <xdr:row>6</xdr:row>
      <xdr:rowOff>42182</xdr:rowOff>
    </xdr:from>
    <xdr:to>
      <xdr:col>7</xdr:col>
      <xdr:colOff>3647899</xdr:colOff>
      <xdr:row>6</xdr:row>
      <xdr:rowOff>590822</xdr:rowOff>
    </xdr:to>
    <xdr:pic macro="[0]!HelpBox_MatChoice">
      <xdr:nvPicPr>
        <xdr:cNvPr id="24" name="Graphic 23" descr="Badge Question Mark with solid fill">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0298234" y="4280807"/>
          <a:ext cx="548640" cy="548640"/>
        </a:xfrm>
        <a:prstGeom prst="rect">
          <a:avLst/>
        </a:prstGeom>
      </xdr:spPr>
    </xdr:pic>
    <xdr:clientData/>
  </xdr:twoCellAnchor>
  <xdr:twoCellAnchor editAs="oneCell">
    <xdr:from>
      <xdr:col>7</xdr:col>
      <xdr:colOff>3096084</xdr:colOff>
      <xdr:row>69</xdr:row>
      <xdr:rowOff>43542</xdr:rowOff>
    </xdr:from>
    <xdr:to>
      <xdr:col>7</xdr:col>
      <xdr:colOff>3647899</xdr:colOff>
      <xdr:row>69</xdr:row>
      <xdr:rowOff>592182</xdr:rowOff>
    </xdr:to>
    <xdr:pic macro="[0]!HelpBox_PostProcess">
      <xdr:nvPicPr>
        <xdr:cNvPr id="48" name="Graphic 47" descr="Badge Question Mark with solid fill">
          <a:extLst>
            <a:ext uri="{FF2B5EF4-FFF2-40B4-BE49-F238E27FC236}">
              <a16:creationId xmlns:a16="http://schemas.microsoft.com/office/drawing/2014/main" id="{00000000-0008-0000-0600-00003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0298234" y="36705267"/>
          <a:ext cx="548640" cy="548640"/>
        </a:xfrm>
        <a:prstGeom prst="rect">
          <a:avLst/>
        </a:prstGeom>
      </xdr:spPr>
    </xdr:pic>
    <xdr:clientData/>
  </xdr:twoCellAnchor>
  <xdr:twoCellAnchor editAs="oneCell">
    <xdr:from>
      <xdr:col>7</xdr:col>
      <xdr:colOff>3096084</xdr:colOff>
      <xdr:row>21</xdr:row>
      <xdr:rowOff>46264</xdr:rowOff>
    </xdr:from>
    <xdr:to>
      <xdr:col>7</xdr:col>
      <xdr:colOff>3647899</xdr:colOff>
      <xdr:row>21</xdr:row>
      <xdr:rowOff>601254</xdr:rowOff>
    </xdr:to>
    <xdr:pic macro="[0]!HelpBox_MatEE_EC">
      <xdr:nvPicPr>
        <xdr:cNvPr id="90" name="Graphic 89" descr="Badge Question Mark with solid fill">
          <a:extLst>
            <a:ext uri="{FF2B5EF4-FFF2-40B4-BE49-F238E27FC236}">
              <a16:creationId xmlns:a16="http://schemas.microsoft.com/office/drawing/2014/main" id="{00000000-0008-0000-0600-00005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0298234" y="11981089"/>
          <a:ext cx="548640" cy="548640"/>
        </a:xfrm>
        <a:prstGeom prst="rect">
          <a:avLst/>
        </a:prstGeom>
      </xdr:spPr>
    </xdr:pic>
    <xdr:clientData/>
  </xdr:twoCellAnchor>
  <xdr:twoCellAnchor editAs="oneCell">
    <xdr:from>
      <xdr:col>7</xdr:col>
      <xdr:colOff>3096084</xdr:colOff>
      <xdr:row>39</xdr:row>
      <xdr:rowOff>39462</xdr:rowOff>
    </xdr:from>
    <xdr:to>
      <xdr:col>7</xdr:col>
      <xdr:colOff>3647899</xdr:colOff>
      <xdr:row>39</xdr:row>
      <xdr:rowOff>588102</xdr:rowOff>
    </xdr:to>
    <xdr:pic macro="[0]!HelpBox_AM_Manuf">
      <xdr:nvPicPr>
        <xdr:cNvPr id="93" name="Graphic 92" descr="Badge Question Mark with solid fill">
          <a:extLst>
            <a:ext uri="{FF2B5EF4-FFF2-40B4-BE49-F238E27FC236}">
              <a16:creationId xmlns:a16="http://schemas.microsoft.com/office/drawing/2014/main" id="{00000000-0008-0000-0600-00005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0298234" y="21308787"/>
          <a:ext cx="548640" cy="548640"/>
        </a:xfrm>
        <a:prstGeom prst="rect">
          <a:avLst/>
        </a:prstGeom>
      </xdr:spPr>
    </xdr:pic>
    <xdr:clientData/>
  </xdr:twoCellAnchor>
  <xdr:twoCellAnchor editAs="oneCell">
    <xdr:from>
      <xdr:col>7</xdr:col>
      <xdr:colOff>3096084</xdr:colOff>
      <xdr:row>73</xdr:row>
      <xdr:rowOff>46264</xdr:rowOff>
    </xdr:from>
    <xdr:to>
      <xdr:col>7</xdr:col>
      <xdr:colOff>3647899</xdr:colOff>
      <xdr:row>73</xdr:row>
      <xdr:rowOff>601254</xdr:rowOff>
    </xdr:to>
    <xdr:pic macro="[0]!HelpBox_Tooling">
      <xdr:nvPicPr>
        <xdr:cNvPr id="95" name="Graphic 94" descr="Badge Question Mark with solid fill">
          <a:extLst>
            <a:ext uri="{FF2B5EF4-FFF2-40B4-BE49-F238E27FC236}">
              <a16:creationId xmlns:a16="http://schemas.microsoft.com/office/drawing/2014/main" id="{00000000-0008-0000-0600-00005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0298234" y="39365464"/>
          <a:ext cx="548640" cy="548640"/>
        </a:xfrm>
        <a:prstGeom prst="rect">
          <a:avLst/>
        </a:prstGeom>
      </xdr:spPr>
    </xdr:pic>
    <xdr:clientData/>
  </xdr:twoCellAnchor>
  <xdr:twoCellAnchor editAs="oneCell">
    <xdr:from>
      <xdr:col>7</xdr:col>
      <xdr:colOff>3096084</xdr:colOff>
      <xdr:row>91</xdr:row>
      <xdr:rowOff>43135</xdr:rowOff>
    </xdr:from>
    <xdr:to>
      <xdr:col>7</xdr:col>
      <xdr:colOff>3647899</xdr:colOff>
      <xdr:row>91</xdr:row>
      <xdr:rowOff>591775</xdr:rowOff>
    </xdr:to>
    <xdr:pic macro="[0]!HelpBox_Mobile">
      <xdr:nvPicPr>
        <xdr:cNvPr id="97" name="Graphic 96" descr="Help with solid fill">
          <a:extLst>
            <a:ext uri="{FF2B5EF4-FFF2-40B4-BE49-F238E27FC236}">
              <a16:creationId xmlns:a16="http://schemas.microsoft.com/office/drawing/2014/main" id="{00000000-0008-0000-0600-00006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0298234" y="49049260"/>
          <a:ext cx="548640" cy="548640"/>
        </a:xfrm>
        <a:prstGeom prst="rect">
          <a:avLst/>
        </a:prstGeom>
      </xdr:spPr>
    </xdr:pic>
    <xdr:clientData/>
  </xdr:twoCellAnchor>
  <xdr:twoCellAnchor editAs="oneCell">
    <xdr:from>
      <xdr:col>7</xdr:col>
      <xdr:colOff>3096084</xdr:colOff>
      <xdr:row>100</xdr:row>
      <xdr:rowOff>45914</xdr:rowOff>
    </xdr:from>
    <xdr:to>
      <xdr:col>7</xdr:col>
      <xdr:colOff>3647899</xdr:colOff>
      <xdr:row>100</xdr:row>
      <xdr:rowOff>600904</xdr:rowOff>
    </xdr:to>
    <xdr:pic macro="[0]!HelpBox_Stationary">
      <xdr:nvPicPr>
        <xdr:cNvPr id="98" name="Graphic 97" descr="Help with solid fill">
          <a:extLst>
            <a:ext uri="{FF2B5EF4-FFF2-40B4-BE49-F238E27FC236}">
              <a16:creationId xmlns:a16="http://schemas.microsoft.com/office/drawing/2014/main" id="{00000000-0008-0000-0600-00006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0298234" y="53719289"/>
          <a:ext cx="548640" cy="548640"/>
        </a:xfrm>
        <a:prstGeom prst="rect">
          <a:avLst/>
        </a:prstGeom>
      </xdr:spPr>
    </xdr:pic>
    <xdr:clientData/>
  </xdr:twoCellAnchor>
  <xdr:twoCellAnchor editAs="oneCell">
    <xdr:from>
      <xdr:col>7</xdr:col>
      <xdr:colOff>3096084</xdr:colOff>
      <xdr:row>108</xdr:row>
      <xdr:rowOff>37750</xdr:rowOff>
    </xdr:from>
    <xdr:to>
      <xdr:col>7</xdr:col>
      <xdr:colOff>3647899</xdr:colOff>
      <xdr:row>108</xdr:row>
      <xdr:rowOff>580040</xdr:rowOff>
    </xdr:to>
    <xdr:pic macro="[0]!HelpBox_EoL1">
      <xdr:nvPicPr>
        <xdr:cNvPr id="99" name="Graphic 98" descr="Help with solid fill">
          <a:extLst>
            <a:ext uri="{FF2B5EF4-FFF2-40B4-BE49-F238E27FC236}">
              <a16:creationId xmlns:a16="http://schemas.microsoft.com/office/drawing/2014/main" id="{00000000-0008-0000-0600-00006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57873550"/>
          <a:ext cx="548640" cy="548640"/>
        </a:xfrm>
        <a:prstGeom prst="rect">
          <a:avLst/>
        </a:prstGeom>
      </xdr:spPr>
    </xdr:pic>
    <xdr:clientData/>
  </xdr:twoCellAnchor>
  <xdr:twoCellAnchor editAs="oneCell">
    <xdr:from>
      <xdr:col>5</xdr:col>
      <xdr:colOff>224997</xdr:colOff>
      <xdr:row>70</xdr:row>
      <xdr:rowOff>40820</xdr:rowOff>
    </xdr:from>
    <xdr:to>
      <xdr:col>5</xdr:col>
      <xdr:colOff>904447</xdr:colOff>
      <xdr:row>70</xdr:row>
      <xdr:rowOff>726620</xdr:rowOff>
    </xdr:to>
    <xdr:grpSp>
      <xdr:nvGrpSpPr>
        <xdr:cNvPr id="104" name="Group 103">
          <a:extLst>
            <a:ext uri="{FF2B5EF4-FFF2-40B4-BE49-F238E27FC236}">
              <a16:creationId xmlns:a16="http://schemas.microsoft.com/office/drawing/2014/main" id="{00000000-0008-0000-0600-000068000000}"/>
            </a:ext>
          </a:extLst>
        </xdr:cNvPr>
        <xdr:cNvGrpSpPr/>
      </xdr:nvGrpSpPr>
      <xdr:grpSpPr>
        <a:xfrm>
          <a:off x="10889822" y="26710820"/>
          <a:ext cx="685800" cy="685800"/>
          <a:chOff x="10072382" y="22877374"/>
          <a:chExt cx="685800" cy="694174"/>
        </a:xfrm>
      </xdr:grpSpPr>
      <xdr:sp macro="" textlink="">
        <xdr:nvSpPr>
          <xdr:cNvPr id="106" name="TextBox 105">
            <a:extLst>
              <a:ext uri="{FF2B5EF4-FFF2-40B4-BE49-F238E27FC236}">
                <a16:creationId xmlns:a16="http://schemas.microsoft.com/office/drawing/2014/main" id="{00000000-0008-0000-0600-00006A000000}"/>
              </a:ext>
            </a:extLst>
          </xdr:cNvPr>
          <xdr:cNvSpPr txBox="1"/>
        </xdr:nvSpPr>
        <xdr:spPr>
          <a:xfrm>
            <a:off x="10293700" y="23009599"/>
            <a:ext cx="234044" cy="11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TIME</a:t>
            </a:r>
            <a:endParaRPr lang="en-US" sz="1000"/>
          </a:p>
        </xdr:txBody>
      </xdr:sp>
      <xdr:pic macro="[0]!Post_Time_Power_calc">
        <xdr:nvPicPr>
          <xdr:cNvPr id="105" name="Graphic 104" descr="Calculator with solid fill">
            <a:extLst>
              <a:ext uri="{FF2B5EF4-FFF2-40B4-BE49-F238E27FC236}">
                <a16:creationId xmlns:a16="http://schemas.microsoft.com/office/drawing/2014/main" id="{00000000-0008-0000-0600-00006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72382" y="22877374"/>
            <a:ext cx="685800" cy="694174"/>
          </a:xfrm>
          <a:prstGeom prst="rect">
            <a:avLst/>
          </a:prstGeom>
        </xdr:spPr>
      </xdr:pic>
    </xdr:grpSp>
    <xdr:clientData/>
  </xdr:twoCellAnchor>
  <xdr:twoCellAnchor editAs="oneCell">
    <xdr:from>
      <xdr:col>5</xdr:col>
      <xdr:colOff>224997</xdr:colOff>
      <xdr:row>71</xdr:row>
      <xdr:rowOff>54988</xdr:rowOff>
    </xdr:from>
    <xdr:to>
      <xdr:col>5</xdr:col>
      <xdr:colOff>904447</xdr:colOff>
      <xdr:row>71</xdr:row>
      <xdr:rowOff>743056</xdr:rowOff>
    </xdr:to>
    <xdr:grpSp>
      <xdr:nvGrpSpPr>
        <xdr:cNvPr id="107" name="Group 106">
          <a:extLst>
            <a:ext uri="{FF2B5EF4-FFF2-40B4-BE49-F238E27FC236}">
              <a16:creationId xmlns:a16="http://schemas.microsoft.com/office/drawing/2014/main" id="{00000000-0008-0000-0600-00006B000000}"/>
            </a:ext>
          </a:extLst>
        </xdr:cNvPr>
        <xdr:cNvGrpSpPr/>
      </xdr:nvGrpSpPr>
      <xdr:grpSpPr>
        <a:xfrm>
          <a:off x="10889822" y="27486988"/>
          <a:ext cx="685800" cy="688068"/>
          <a:chOff x="10072381" y="23570748"/>
          <a:chExt cx="685800" cy="694173"/>
        </a:xfrm>
      </xdr:grpSpPr>
      <xdr:sp macro="" textlink="">
        <xdr:nvSpPr>
          <xdr:cNvPr id="109" name="TextBox 108">
            <a:extLst>
              <a:ext uri="{FF2B5EF4-FFF2-40B4-BE49-F238E27FC236}">
                <a16:creationId xmlns:a16="http://schemas.microsoft.com/office/drawing/2014/main" id="{00000000-0008-0000-0600-00006D000000}"/>
              </a:ext>
            </a:extLst>
          </xdr:cNvPr>
          <xdr:cNvSpPr txBox="1"/>
        </xdr:nvSpPr>
        <xdr:spPr>
          <a:xfrm>
            <a:off x="10288255" y="23714800"/>
            <a:ext cx="228601" cy="964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MASS</a:t>
            </a:r>
            <a:endParaRPr lang="en-US" sz="1000"/>
          </a:p>
        </xdr:txBody>
      </xdr:sp>
      <xdr:pic macro="[0]!Post_Mass_calc">
        <xdr:nvPicPr>
          <xdr:cNvPr id="108" name="Graphic 107" descr="Calculator with solid fill">
            <a:extLst>
              <a:ext uri="{FF2B5EF4-FFF2-40B4-BE49-F238E27FC236}">
                <a16:creationId xmlns:a16="http://schemas.microsoft.com/office/drawing/2014/main" id="{00000000-0008-0000-0600-00006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72381" y="23570748"/>
            <a:ext cx="685800" cy="694173"/>
          </a:xfrm>
          <a:prstGeom prst="rect">
            <a:avLst/>
          </a:prstGeom>
        </xdr:spPr>
      </xdr:pic>
    </xdr:grpSp>
    <xdr:clientData/>
  </xdr:twoCellAnchor>
  <xdr:twoCellAnchor editAs="oneCell">
    <xdr:from>
      <xdr:col>5</xdr:col>
      <xdr:colOff>218647</xdr:colOff>
      <xdr:row>74</xdr:row>
      <xdr:rowOff>51706</xdr:rowOff>
    </xdr:from>
    <xdr:to>
      <xdr:col>5</xdr:col>
      <xdr:colOff>904447</xdr:colOff>
      <xdr:row>74</xdr:row>
      <xdr:rowOff>740681</xdr:rowOff>
    </xdr:to>
    <xdr:grpSp>
      <xdr:nvGrpSpPr>
        <xdr:cNvPr id="110" name="Group 109">
          <a:extLst>
            <a:ext uri="{FF2B5EF4-FFF2-40B4-BE49-F238E27FC236}">
              <a16:creationId xmlns:a16="http://schemas.microsoft.com/office/drawing/2014/main" id="{00000000-0008-0000-0600-00006E000000}"/>
            </a:ext>
          </a:extLst>
        </xdr:cNvPr>
        <xdr:cNvGrpSpPr/>
      </xdr:nvGrpSpPr>
      <xdr:grpSpPr>
        <a:xfrm>
          <a:off x="10889822" y="29385531"/>
          <a:ext cx="685800" cy="692150"/>
          <a:chOff x="10045167" y="25408721"/>
          <a:chExt cx="685800" cy="702548"/>
        </a:xfrm>
      </xdr:grpSpPr>
      <xdr:sp macro="" textlink="">
        <xdr:nvSpPr>
          <xdr:cNvPr id="112" name="TextBox 111">
            <a:extLst>
              <a:ext uri="{FF2B5EF4-FFF2-40B4-BE49-F238E27FC236}">
                <a16:creationId xmlns:a16="http://schemas.microsoft.com/office/drawing/2014/main" id="{00000000-0008-0000-0600-000070000000}"/>
              </a:ext>
            </a:extLst>
          </xdr:cNvPr>
          <xdr:cNvSpPr txBox="1"/>
        </xdr:nvSpPr>
        <xdr:spPr>
          <a:xfrm>
            <a:off x="10266485" y="25542899"/>
            <a:ext cx="234044" cy="120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TOOL</a:t>
            </a:r>
            <a:endParaRPr lang="en-US" sz="1000"/>
          </a:p>
        </xdr:txBody>
      </xdr:sp>
      <xdr:pic macro="[0]!Tooling_calc">
        <xdr:nvPicPr>
          <xdr:cNvPr id="111" name="Graphic 110" descr="Calculator with solid fill">
            <a:extLst>
              <a:ext uri="{FF2B5EF4-FFF2-40B4-BE49-F238E27FC236}">
                <a16:creationId xmlns:a16="http://schemas.microsoft.com/office/drawing/2014/main" id="{00000000-0008-0000-0600-00006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45167" y="25408721"/>
            <a:ext cx="685800" cy="702548"/>
          </a:xfrm>
          <a:prstGeom prst="rect">
            <a:avLst/>
          </a:prstGeom>
        </xdr:spPr>
      </xdr:pic>
    </xdr:grpSp>
    <xdr:clientData/>
  </xdr:twoCellAnchor>
  <xdr:twoCellAnchor editAs="oneCell">
    <xdr:from>
      <xdr:col>5</xdr:col>
      <xdr:colOff>219075</xdr:colOff>
      <xdr:row>109</xdr:row>
      <xdr:rowOff>43543</xdr:rowOff>
    </xdr:from>
    <xdr:to>
      <xdr:col>5</xdr:col>
      <xdr:colOff>911225</xdr:colOff>
      <xdr:row>109</xdr:row>
      <xdr:rowOff>741135</xdr:rowOff>
    </xdr:to>
    <xdr:grpSp>
      <xdr:nvGrpSpPr>
        <xdr:cNvPr id="113" name="Group 112">
          <a:extLst>
            <a:ext uri="{FF2B5EF4-FFF2-40B4-BE49-F238E27FC236}">
              <a16:creationId xmlns:a16="http://schemas.microsoft.com/office/drawing/2014/main" id="{00000000-0008-0000-0600-000071000000}"/>
            </a:ext>
          </a:extLst>
        </xdr:cNvPr>
        <xdr:cNvGrpSpPr/>
      </xdr:nvGrpSpPr>
      <xdr:grpSpPr>
        <a:xfrm>
          <a:off x="10883900" y="42874582"/>
          <a:ext cx="695325" cy="694417"/>
          <a:chOff x="10059385" y="41048340"/>
          <a:chExt cx="685800" cy="688614"/>
        </a:xfrm>
      </xdr:grpSpPr>
      <xdr:sp macro="" textlink="">
        <xdr:nvSpPr>
          <xdr:cNvPr id="115" name="TextBox 114">
            <a:extLst>
              <a:ext uri="{FF2B5EF4-FFF2-40B4-BE49-F238E27FC236}">
                <a16:creationId xmlns:a16="http://schemas.microsoft.com/office/drawing/2014/main" id="{00000000-0008-0000-0600-000073000000}"/>
              </a:ext>
            </a:extLst>
          </xdr:cNvPr>
          <xdr:cNvSpPr txBox="1"/>
        </xdr:nvSpPr>
        <xdr:spPr>
          <a:xfrm>
            <a:off x="10281180" y="4118223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EOL1_1</a:t>
            </a:r>
            <a:endParaRPr lang="en-US" sz="900"/>
          </a:p>
        </xdr:txBody>
      </xdr:sp>
      <xdr:pic macro="[0]!EoL1a_calc">
        <xdr:nvPicPr>
          <xdr:cNvPr id="114" name="Graphic 113" descr="Calculator with solid fill">
            <a:extLst>
              <a:ext uri="{FF2B5EF4-FFF2-40B4-BE49-F238E27FC236}">
                <a16:creationId xmlns:a16="http://schemas.microsoft.com/office/drawing/2014/main" id="{00000000-0008-0000-0600-00007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59385" y="41048340"/>
            <a:ext cx="685800" cy="688614"/>
          </a:xfrm>
          <a:prstGeom prst="rect">
            <a:avLst/>
          </a:prstGeom>
        </xdr:spPr>
      </xdr:pic>
    </xdr:grpSp>
    <xdr:clientData/>
  </xdr:twoCellAnchor>
  <xdr:twoCellAnchor editAs="oneCell">
    <xdr:from>
      <xdr:col>5</xdr:col>
      <xdr:colOff>219075</xdr:colOff>
      <xdr:row>110</xdr:row>
      <xdr:rowOff>43543</xdr:rowOff>
    </xdr:from>
    <xdr:to>
      <xdr:col>5</xdr:col>
      <xdr:colOff>911225</xdr:colOff>
      <xdr:row>110</xdr:row>
      <xdr:rowOff>741135</xdr:rowOff>
    </xdr:to>
    <xdr:grpSp>
      <xdr:nvGrpSpPr>
        <xdr:cNvPr id="116" name="Group 115">
          <a:extLst>
            <a:ext uri="{FF2B5EF4-FFF2-40B4-BE49-F238E27FC236}">
              <a16:creationId xmlns:a16="http://schemas.microsoft.com/office/drawing/2014/main" id="{00000000-0008-0000-0600-000074000000}"/>
            </a:ext>
          </a:extLst>
        </xdr:cNvPr>
        <xdr:cNvGrpSpPr/>
      </xdr:nvGrpSpPr>
      <xdr:grpSpPr>
        <a:xfrm>
          <a:off x="10883900" y="43636582"/>
          <a:ext cx="695325" cy="694417"/>
          <a:chOff x="10059386" y="41715090"/>
          <a:chExt cx="685800" cy="688614"/>
        </a:xfrm>
      </xdr:grpSpPr>
      <xdr:sp macro="" textlink="">
        <xdr:nvSpPr>
          <xdr:cNvPr id="118" name="TextBox 117">
            <a:extLst>
              <a:ext uri="{FF2B5EF4-FFF2-40B4-BE49-F238E27FC236}">
                <a16:creationId xmlns:a16="http://schemas.microsoft.com/office/drawing/2014/main" id="{00000000-0008-0000-0600-000076000000}"/>
              </a:ext>
            </a:extLst>
          </xdr:cNvPr>
          <xdr:cNvSpPr txBox="1"/>
        </xdr:nvSpPr>
        <xdr:spPr>
          <a:xfrm>
            <a:off x="10281180" y="4184898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EOL2_1</a:t>
            </a:r>
            <a:endParaRPr lang="en-US" sz="900"/>
          </a:p>
        </xdr:txBody>
      </xdr:sp>
      <xdr:pic macro="[0]!EoL1b_calc">
        <xdr:nvPicPr>
          <xdr:cNvPr id="117" name="Graphic 116" descr="Calculator with solid fill">
            <a:extLst>
              <a:ext uri="{FF2B5EF4-FFF2-40B4-BE49-F238E27FC236}">
                <a16:creationId xmlns:a16="http://schemas.microsoft.com/office/drawing/2014/main" id="{00000000-0008-0000-0600-000075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59386" y="41715090"/>
            <a:ext cx="685800" cy="688614"/>
          </a:xfrm>
          <a:prstGeom prst="rect">
            <a:avLst/>
          </a:prstGeom>
        </xdr:spPr>
      </xdr:pic>
    </xdr:grpSp>
    <xdr:clientData/>
  </xdr:twoCellAnchor>
  <xdr:twoCellAnchor editAs="oneCell">
    <xdr:from>
      <xdr:col>5</xdr:col>
      <xdr:colOff>205468</xdr:colOff>
      <xdr:row>111</xdr:row>
      <xdr:rowOff>468086</xdr:rowOff>
    </xdr:from>
    <xdr:to>
      <xdr:col>5</xdr:col>
      <xdr:colOff>884918</xdr:colOff>
      <xdr:row>113</xdr:row>
      <xdr:rowOff>153185</xdr:rowOff>
    </xdr:to>
    <xdr:grpSp>
      <xdr:nvGrpSpPr>
        <xdr:cNvPr id="119" name="Group 118">
          <a:extLst>
            <a:ext uri="{FF2B5EF4-FFF2-40B4-BE49-F238E27FC236}">
              <a16:creationId xmlns:a16="http://schemas.microsoft.com/office/drawing/2014/main" id="{00000000-0008-0000-0600-000077000000}"/>
            </a:ext>
          </a:extLst>
        </xdr:cNvPr>
        <xdr:cNvGrpSpPr/>
      </xdr:nvGrpSpPr>
      <xdr:grpSpPr>
        <a:xfrm>
          <a:off x="10870293" y="44816775"/>
          <a:ext cx="685800" cy="692728"/>
          <a:chOff x="10045778" y="42877327"/>
          <a:chExt cx="685800" cy="689085"/>
        </a:xfrm>
      </xdr:grpSpPr>
      <xdr:sp macro="" textlink="">
        <xdr:nvSpPr>
          <xdr:cNvPr id="121" name="TextBox 120">
            <a:extLst>
              <a:ext uri="{FF2B5EF4-FFF2-40B4-BE49-F238E27FC236}">
                <a16:creationId xmlns:a16="http://schemas.microsoft.com/office/drawing/2014/main" id="{00000000-0008-0000-0600-000079000000}"/>
              </a:ext>
            </a:extLst>
          </xdr:cNvPr>
          <xdr:cNvSpPr txBox="1"/>
        </xdr:nvSpPr>
        <xdr:spPr>
          <a:xfrm>
            <a:off x="10267573" y="43016784"/>
            <a:ext cx="337458" cy="125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EOL1_2</a:t>
            </a:r>
            <a:endParaRPr lang="en-US" sz="900"/>
          </a:p>
        </xdr:txBody>
      </xdr:sp>
      <xdr:pic macro="[0]!EoL2a_calc">
        <xdr:nvPicPr>
          <xdr:cNvPr id="120" name="Graphic 119" descr="Calculator with solid fill">
            <a:extLst>
              <a:ext uri="{FF2B5EF4-FFF2-40B4-BE49-F238E27FC236}">
                <a16:creationId xmlns:a16="http://schemas.microsoft.com/office/drawing/2014/main" id="{00000000-0008-0000-0600-00007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45778" y="42877327"/>
            <a:ext cx="685800" cy="689085"/>
          </a:xfrm>
          <a:prstGeom prst="rect">
            <a:avLst/>
          </a:prstGeom>
        </xdr:spPr>
      </xdr:pic>
    </xdr:grpSp>
    <xdr:clientData/>
  </xdr:twoCellAnchor>
  <xdr:twoCellAnchor editAs="oneCell">
    <xdr:from>
      <xdr:col>5</xdr:col>
      <xdr:colOff>205468</xdr:colOff>
      <xdr:row>113</xdr:row>
      <xdr:rowOff>5443</xdr:rowOff>
    </xdr:from>
    <xdr:to>
      <xdr:col>5</xdr:col>
      <xdr:colOff>884918</xdr:colOff>
      <xdr:row>114</xdr:row>
      <xdr:rowOff>191861</xdr:rowOff>
    </xdr:to>
    <xdr:grpSp>
      <xdr:nvGrpSpPr>
        <xdr:cNvPr id="122" name="Group 121">
          <a:extLst>
            <a:ext uri="{FF2B5EF4-FFF2-40B4-BE49-F238E27FC236}">
              <a16:creationId xmlns:a16="http://schemas.microsoft.com/office/drawing/2014/main" id="{00000000-0008-0000-0600-00007A000000}"/>
            </a:ext>
          </a:extLst>
        </xdr:cNvPr>
        <xdr:cNvGrpSpPr/>
      </xdr:nvGrpSpPr>
      <xdr:grpSpPr>
        <a:xfrm>
          <a:off x="10870293" y="45364936"/>
          <a:ext cx="685800" cy="685470"/>
          <a:chOff x="10045778" y="43577391"/>
          <a:chExt cx="685800" cy="688616"/>
        </a:xfrm>
      </xdr:grpSpPr>
      <xdr:sp macro="" textlink="">
        <xdr:nvSpPr>
          <xdr:cNvPr id="124" name="TextBox 123">
            <a:extLst>
              <a:ext uri="{FF2B5EF4-FFF2-40B4-BE49-F238E27FC236}">
                <a16:creationId xmlns:a16="http://schemas.microsoft.com/office/drawing/2014/main" id="{00000000-0008-0000-0600-00007C000000}"/>
              </a:ext>
            </a:extLst>
          </xdr:cNvPr>
          <xdr:cNvSpPr txBox="1"/>
        </xdr:nvSpPr>
        <xdr:spPr>
          <a:xfrm>
            <a:off x="10267573" y="43716753"/>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EOL2_2</a:t>
            </a:r>
            <a:endParaRPr lang="en-US" sz="900"/>
          </a:p>
        </xdr:txBody>
      </xdr:sp>
      <xdr:pic macro="[0]!EoL2b_calc">
        <xdr:nvPicPr>
          <xdr:cNvPr id="123" name="Graphic 122" descr="Calculator with solid fill">
            <a:extLst>
              <a:ext uri="{FF2B5EF4-FFF2-40B4-BE49-F238E27FC236}">
                <a16:creationId xmlns:a16="http://schemas.microsoft.com/office/drawing/2014/main" id="{00000000-0008-0000-0600-00007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45778" y="43577391"/>
            <a:ext cx="685800" cy="688616"/>
          </a:xfrm>
          <a:prstGeom prst="rect">
            <a:avLst/>
          </a:prstGeom>
        </xdr:spPr>
      </xdr:pic>
    </xdr:grpSp>
    <xdr:clientData/>
  </xdr:twoCellAnchor>
  <xdr:twoCellAnchor>
    <xdr:from>
      <xdr:col>6</xdr:col>
      <xdr:colOff>0</xdr:colOff>
      <xdr:row>118</xdr:row>
      <xdr:rowOff>247649</xdr:rowOff>
    </xdr:from>
    <xdr:to>
      <xdr:col>6</xdr:col>
      <xdr:colOff>4572000</xdr:colOff>
      <xdr:row>125</xdr:row>
      <xdr:rowOff>171449</xdr:rowOff>
    </xdr:to>
    <xdr:graphicFrame macro="">
      <xdr:nvGraphicFramePr>
        <xdr:cNvPr id="125" name="Chart 124">
          <a:extLst>
            <a:ext uri="{FF2B5EF4-FFF2-40B4-BE49-F238E27FC236}">
              <a16:creationId xmlns:a16="http://schemas.microsoft.com/office/drawing/2014/main" id="{00000000-0008-0000-0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95250</xdr:colOff>
          <xdr:row>120</xdr:row>
          <xdr:rowOff>76200</xdr:rowOff>
        </xdr:from>
        <xdr:to>
          <xdr:col>5</xdr:col>
          <xdr:colOff>463550</xdr:colOff>
          <xdr:row>120</xdr:row>
          <xdr:rowOff>438150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6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121</xdr:row>
          <xdr:rowOff>76200</xdr:rowOff>
        </xdr:from>
        <xdr:to>
          <xdr:col>5</xdr:col>
          <xdr:colOff>463550</xdr:colOff>
          <xdr:row>121</xdr:row>
          <xdr:rowOff>438150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6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122</xdr:row>
          <xdr:rowOff>76200</xdr:rowOff>
        </xdr:from>
        <xdr:to>
          <xdr:col>5</xdr:col>
          <xdr:colOff>463550</xdr:colOff>
          <xdr:row>122</xdr:row>
          <xdr:rowOff>438150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6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123</xdr:row>
          <xdr:rowOff>76200</xdr:rowOff>
        </xdr:from>
        <xdr:to>
          <xdr:col>5</xdr:col>
          <xdr:colOff>463550</xdr:colOff>
          <xdr:row>123</xdr:row>
          <xdr:rowOff>438150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6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124</xdr:row>
          <xdr:rowOff>76200</xdr:rowOff>
        </xdr:from>
        <xdr:to>
          <xdr:col>5</xdr:col>
          <xdr:colOff>463550</xdr:colOff>
          <xdr:row>124</xdr:row>
          <xdr:rowOff>438150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6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6</xdr:col>
      <xdr:colOff>4569474</xdr:colOff>
      <xdr:row>119</xdr:row>
      <xdr:rowOff>0</xdr:rowOff>
    </xdr:from>
    <xdr:to>
      <xdr:col>7</xdr:col>
      <xdr:colOff>3096084</xdr:colOff>
      <xdr:row>125</xdr:row>
      <xdr:rowOff>171450</xdr:rowOff>
    </xdr:to>
    <xdr:graphicFrame macro="">
      <xdr:nvGraphicFramePr>
        <xdr:cNvPr id="126" name="Chart 125">
          <a:extLst>
            <a:ext uri="{FF2B5EF4-FFF2-40B4-BE49-F238E27FC236}">
              <a16:creationId xmlns:a16="http://schemas.microsoft.com/office/drawing/2014/main" id="{00000000-0008-0000-0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0</xdr:colOff>
      <xdr:row>126</xdr:row>
      <xdr:rowOff>0</xdr:rowOff>
    </xdr:from>
    <xdr:to>
      <xdr:col>6</xdr:col>
      <xdr:colOff>4572000</xdr:colOff>
      <xdr:row>138</xdr:row>
      <xdr:rowOff>228600</xdr:rowOff>
    </xdr:to>
    <mc:AlternateContent xmlns:mc="http://schemas.openxmlformats.org/markup-compatibility/2006">
      <mc:Choice xmlns:cx1="http://schemas.microsoft.com/office/drawing/2015/9/8/chartex" Requires="cx1">
        <xdr:graphicFrame macro="">
          <xdr:nvGraphicFramePr>
            <xdr:cNvPr id="127" name="Chart 126">
              <a:extLst>
                <a:ext uri="{FF2B5EF4-FFF2-40B4-BE49-F238E27FC236}">
                  <a16:creationId xmlns:a16="http://schemas.microsoft.com/office/drawing/2014/main" id="{00000000-0008-0000-0600-00007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11830050" y="51558825"/>
              <a:ext cx="4572000" cy="3314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4569474</xdr:colOff>
      <xdr:row>126</xdr:row>
      <xdr:rowOff>0</xdr:rowOff>
    </xdr:from>
    <xdr:to>
      <xdr:col>7</xdr:col>
      <xdr:colOff>3093099</xdr:colOff>
      <xdr:row>138</xdr:row>
      <xdr:rowOff>228600</xdr:rowOff>
    </xdr:to>
    <mc:AlternateContent xmlns:mc="http://schemas.openxmlformats.org/markup-compatibility/2006">
      <mc:Choice xmlns:cx1="http://schemas.microsoft.com/office/drawing/2015/9/8/chartex" Requires="cx1">
        <xdr:graphicFrame macro="">
          <xdr:nvGraphicFramePr>
            <xdr:cNvPr id="3072" name="Chart 3071">
              <a:extLst>
                <a:ext uri="{FF2B5EF4-FFF2-40B4-BE49-F238E27FC236}">
                  <a16:creationId xmlns:a16="http://schemas.microsoft.com/office/drawing/2014/main" id="{00000000-0008-0000-0600-0000000C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6399524" y="51558825"/>
              <a:ext cx="4860925" cy="3314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3096084</xdr:colOff>
      <xdr:row>76</xdr:row>
      <xdr:rowOff>45914</xdr:rowOff>
    </xdr:from>
    <xdr:to>
      <xdr:col>7</xdr:col>
      <xdr:colOff>3647899</xdr:colOff>
      <xdr:row>76</xdr:row>
      <xdr:rowOff>600904</xdr:rowOff>
    </xdr:to>
    <xdr:pic macro="[0]!HelpBox_TransData">
      <xdr:nvPicPr>
        <xdr:cNvPr id="2" name="Graphic 1" descr="Help with solid fill">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41232014"/>
          <a:ext cx="548640" cy="548640"/>
        </a:xfrm>
        <a:prstGeom prst="rect">
          <a:avLst/>
        </a:prstGeom>
      </xdr:spPr>
    </xdr:pic>
    <xdr:clientData/>
  </xdr:twoCellAnchor>
  <xdr:twoCellAnchor editAs="oneCell">
    <xdr:from>
      <xdr:col>7</xdr:col>
      <xdr:colOff>1666589</xdr:colOff>
      <xdr:row>0</xdr:row>
      <xdr:rowOff>0</xdr:rowOff>
    </xdr:from>
    <xdr:to>
      <xdr:col>8</xdr:col>
      <xdr:colOff>0</xdr:colOff>
      <xdr:row>1</xdr:row>
      <xdr:rowOff>0</xdr:rowOff>
    </xdr:to>
    <xdr:pic>
      <xdr:nvPicPr>
        <xdr:cNvPr id="5" name="Picture 4">
          <a:extLst>
            <a:ext uri="{FF2B5EF4-FFF2-40B4-BE49-F238E27FC236}">
              <a16:creationId xmlns:a16="http://schemas.microsoft.com/office/drawing/2014/main" id="{00000000-0008-0000-0600-000005000000}"/>
            </a:ext>
          </a:extLst>
        </xdr:cNvPr>
        <xdr:cNvPicPr>
          <a:picLocks/>
        </xdr:cNvPicPr>
      </xdr:nvPicPr>
      <xdr:blipFill rotWithShape="1">
        <a:blip xmlns:r="http://schemas.openxmlformats.org/officeDocument/2006/relationships" r:embed="rId20" cstate="email">
          <a:extLst>
            <a:ext uri="{28A0092B-C50C-407E-A947-70E740481C1C}">
              <a14:useLocalDpi xmlns:a14="http://schemas.microsoft.com/office/drawing/2010/main" val="0"/>
            </a:ext>
          </a:extLst>
        </a:blip>
        <a:srcRect l="6697" t="-11325" r="-6697" b="-21990"/>
        <a:stretch/>
      </xdr:blipFill>
      <xdr:spPr>
        <a:xfrm>
          <a:off x="18868739" y="0"/>
          <a:ext cx="2048161" cy="1143000"/>
        </a:xfrm>
        <a:prstGeom prst="rect">
          <a:avLst/>
        </a:prstGeom>
      </xdr:spPr>
    </xdr:pic>
    <xdr:clientData/>
  </xdr:twoCellAnchor>
  <xdr:oneCellAnchor>
    <xdr:from>
      <xdr:col>0</xdr:col>
      <xdr:colOff>0</xdr:colOff>
      <xdr:row>0</xdr:row>
      <xdr:rowOff>0</xdr:rowOff>
    </xdr:from>
    <xdr:ext cx="1138918" cy="1143000"/>
    <xdr:pic>
      <xdr:nvPicPr>
        <xdr:cNvPr id="7" name="Picture 6">
          <a:extLst>
            <a:ext uri="{FF2B5EF4-FFF2-40B4-BE49-F238E27FC236}">
              <a16:creationId xmlns:a16="http://schemas.microsoft.com/office/drawing/2014/main" id="{00000000-0008-0000-0600-000007000000}"/>
            </a:ext>
          </a:extLst>
        </xdr:cNvPr>
        <xdr:cNvPicPr preferRelativeResize="0">
          <a:picLocks/>
        </xdr:cNvPicPr>
      </xdr:nvPicPr>
      <xdr:blipFill rotWithShape="1">
        <a:blip xmlns:r="http://schemas.openxmlformats.org/officeDocument/2006/relationships" r:embed="rId21">
          <a:extLst>
            <a:ext uri="{28A0092B-C50C-407E-A947-70E740481C1C}">
              <a14:useLocalDpi xmlns:a14="http://schemas.microsoft.com/office/drawing/2010/main" val="0"/>
            </a:ext>
          </a:extLst>
        </a:blip>
        <a:srcRect l="-16489" t="-15104" r="-16489" b="-15104"/>
        <a:stretch/>
      </xdr:blipFill>
      <xdr:spPr>
        <a:xfrm>
          <a:off x="843643" y="0"/>
          <a:ext cx="1138918" cy="1143000"/>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twoCellAnchor>
    <xdr:from>
      <xdr:col>5</xdr:col>
      <xdr:colOff>615208</xdr:colOff>
      <xdr:row>22</xdr:row>
      <xdr:rowOff>30596</xdr:rowOff>
    </xdr:from>
    <xdr:to>
      <xdr:col>5</xdr:col>
      <xdr:colOff>1072408</xdr:colOff>
      <xdr:row>22</xdr:row>
      <xdr:rowOff>488373</xdr:rowOff>
    </xdr:to>
    <xdr:pic macro="[0]!AMa_1_Max_Click">
      <xdr:nvPicPr>
        <xdr:cNvPr id="14" name="Graphic 13" descr="Badge Follow with solid fill">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83208" y="9572914"/>
          <a:ext cx="457200" cy="457777"/>
        </a:xfrm>
        <a:prstGeom prst="rect">
          <a:avLst/>
        </a:prstGeom>
      </xdr:spPr>
    </xdr:pic>
    <xdr:clientData/>
  </xdr:twoCellAnchor>
  <xdr:twoCellAnchor>
    <xdr:from>
      <xdr:col>5</xdr:col>
      <xdr:colOff>117187</xdr:colOff>
      <xdr:row>22</xdr:row>
      <xdr:rowOff>30596</xdr:rowOff>
    </xdr:from>
    <xdr:to>
      <xdr:col>5</xdr:col>
      <xdr:colOff>574387</xdr:colOff>
      <xdr:row>22</xdr:row>
      <xdr:rowOff>488373</xdr:rowOff>
    </xdr:to>
    <xdr:pic macro="[0]!AMa_1_Min_Click">
      <xdr:nvPicPr>
        <xdr:cNvPr id="15" name="Graphic 14" descr="Badge Unfollow with solid fill">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85187" y="9572914"/>
          <a:ext cx="457200" cy="457777"/>
        </a:xfrm>
        <a:prstGeom prst="rect">
          <a:avLst/>
        </a:prstGeom>
      </xdr:spPr>
    </xdr:pic>
    <xdr:clientData/>
  </xdr:twoCellAnchor>
  <xdr:twoCellAnchor>
    <xdr:from>
      <xdr:col>5</xdr:col>
      <xdr:colOff>615208</xdr:colOff>
      <xdr:row>24</xdr:row>
      <xdr:rowOff>32865</xdr:rowOff>
    </xdr:from>
    <xdr:to>
      <xdr:col>5</xdr:col>
      <xdr:colOff>1072408</xdr:colOff>
      <xdr:row>24</xdr:row>
      <xdr:rowOff>490642</xdr:rowOff>
    </xdr:to>
    <xdr:pic macro="[0]!AMa_1_R_Max_Click">
      <xdr:nvPicPr>
        <xdr:cNvPr id="16" name="Graphic 15" descr="Badge Follow with solid fill">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83208" y="10579638"/>
          <a:ext cx="457200" cy="457777"/>
        </a:xfrm>
        <a:prstGeom prst="rect">
          <a:avLst/>
        </a:prstGeom>
      </xdr:spPr>
    </xdr:pic>
    <xdr:clientData/>
  </xdr:twoCellAnchor>
  <xdr:twoCellAnchor>
    <xdr:from>
      <xdr:col>5</xdr:col>
      <xdr:colOff>126712</xdr:colOff>
      <xdr:row>24</xdr:row>
      <xdr:rowOff>33188</xdr:rowOff>
    </xdr:from>
    <xdr:to>
      <xdr:col>5</xdr:col>
      <xdr:colOff>574387</xdr:colOff>
      <xdr:row>24</xdr:row>
      <xdr:rowOff>490965</xdr:rowOff>
    </xdr:to>
    <xdr:pic macro="[0]!AMa_1_R_Min_Click">
      <xdr:nvPicPr>
        <xdr:cNvPr id="17" name="Graphic 16" descr="Badge Unfollow with solid fill">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94712" y="10579961"/>
          <a:ext cx="447675" cy="457777"/>
        </a:xfrm>
        <a:prstGeom prst="rect">
          <a:avLst/>
        </a:prstGeom>
      </xdr:spPr>
    </xdr:pic>
    <xdr:clientData/>
  </xdr:twoCellAnchor>
  <xdr:twoCellAnchor>
    <xdr:from>
      <xdr:col>5</xdr:col>
      <xdr:colOff>615208</xdr:colOff>
      <xdr:row>26</xdr:row>
      <xdr:rowOff>41482</xdr:rowOff>
    </xdr:from>
    <xdr:to>
      <xdr:col>5</xdr:col>
      <xdr:colOff>1072408</xdr:colOff>
      <xdr:row>26</xdr:row>
      <xdr:rowOff>499260</xdr:rowOff>
    </xdr:to>
    <xdr:pic macro="[0]!AMa_2_Max_Click">
      <xdr:nvPicPr>
        <xdr:cNvPr id="18" name="Graphic 17" descr="Badge Follow with solid fill">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83208" y="11592709"/>
          <a:ext cx="457200" cy="457778"/>
        </a:xfrm>
        <a:prstGeom prst="rect">
          <a:avLst/>
        </a:prstGeom>
      </xdr:spPr>
    </xdr:pic>
    <xdr:clientData/>
  </xdr:twoCellAnchor>
  <xdr:twoCellAnchor>
    <xdr:from>
      <xdr:col>5</xdr:col>
      <xdr:colOff>126712</xdr:colOff>
      <xdr:row>26</xdr:row>
      <xdr:rowOff>41805</xdr:rowOff>
    </xdr:from>
    <xdr:to>
      <xdr:col>5</xdr:col>
      <xdr:colOff>574387</xdr:colOff>
      <xdr:row>26</xdr:row>
      <xdr:rowOff>499583</xdr:rowOff>
    </xdr:to>
    <xdr:pic macro="[0]!AMa_2_Min_Click">
      <xdr:nvPicPr>
        <xdr:cNvPr id="19" name="Graphic 18" descr="Badge Unfollow with solid fill">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94712" y="11593032"/>
          <a:ext cx="447675" cy="457778"/>
        </a:xfrm>
        <a:prstGeom prst="rect">
          <a:avLst/>
        </a:prstGeom>
      </xdr:spPr>
    </xdr:pic>
    <xdr:clientData/>
  </xdr:twoCellAnchor>
  <xdr:twoCellAnchor>
    <xdr:from>
      <xdr:col>5</xdr:col>
      <xdr:colOff>615208</xdr:colOff>
      <xdr:row>28</xdr:row>
      <xdr:rowOff>35589</xdr:rowOff>
    </xdr:from>
    <xdr:to>
      <xdr:col>5</xdr:col>
      <xdr:colOff>1072408</xdr:colOff>
      <xdr:row>28</xdr:row>
      <xdr:rowOff>496541</xdr:rowOff>
    </xdr:to>
    <xdr:pic macro="[0]!AMa_2_R_Max_Click">
      <xdr:nvPicPr>
        <xdr:cNvPr id="20" name="Graphic 19" descr="Badge Follow with solid fill">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83208" y="12591271"/>
          <a:ext cx="457200" cy="460952"/>
        </a:xfrm>
        <a:prstGeom prst="rect">
          <a:avLst/>
        </a:prstGeom>
      </xdr:spPr>
    </xdr:pic>
    <xdr:clientData/>
  </xdr:twoCellAnchor>
  <xdr:twoCellAnchor>
    <xdr:from>
      <xdr:col>5</xdr:col>
      <xdr:colOff>117187</xdr:colOff>
      <xdr:row>28</xdr:row>
      <xdr:rowOff>35912</xdr:rowOff>
    </xdr:from>
    <xdr:to>
      <xdr:col>5</xdr:col>
      <xdr:colOff>574387</xdr:colOff>
      <xdr:row>28</xdr:row>
      <xdr:rowOff>496864</xdr:rowOff>
    </xdr:to>
    <xdr:pic macro="[0]!AMa_2_R_Min_Click">
      <xdr:nvPicPr>
        <xdr:cNvPr id="21" name="Graphic 20" descr="Badge Unfollow with solid fill">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85187" y="12591594"/>
          <a:ext cx="457200" cy="460952"/>
        </a:xfrm>
        <a:prstGeom prst="rect">
          <a:avLst/>
        </a:prstGeom>
      </xdr:spPr>
    </xdr:pic>
    <xdr:clientData/>
  </xdr:twoCellAnchor>
  <xdr:twoCellAnchor editAs="oneCell">
    <xdr:from>
      <xdr:col>7</xdr:col>
      <xdr:colOff>3096084</xdr:colOff>
      <xdr:row>6</xdr:row>
      <xdr:rowOff>42182</xdr:rowOff>
    </xdr:from>
    <xdr:to>
      <xdr:col>7</xdr:col>
      <xdr:colOff>3647899</xdr:colOff>
      <xdr:row>6</xdr:row>
      <xdr:rowOff>590822</xdr:rowOff>
    </xdr:to>
    <xdr:pic macro="[0]!HelpBox_MatChoice">
      <xdr:nvPicPr>
        <xdr:cNvPr id="43" name="Graphic 42" descr="Badge Question Mark with solid fill">
          <a:extLst>
            <a:ext uri="{FF2B5EF4-FFF2-40B4-BE49-F238E27FC236}">
              <a16:creationId xmlns:a16="http://schemas.microsoft.com/office/drawing/2014/main" id="{00000000-0008-0000-0700-00002B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0298234" y="4280807"/>
          <a:ext cx="548640" cy="548640"/>
        </a:xfrm>
        <a:prstGeom prst="rect">
          <a:avLst/>
        </a:prstGeom>
      </xdr:spPr>
    </xdr:pic>
    <xdr:clientData/>
  </xdr:twoCellAnchor>
  <xdr:twoCellAnchor editAs="oneCell">
    <xdr:from>
      <xdr:col>7</xdr:col>
      <xdr:colOff>3096084</xdr:colOff>
      <xdr:row>108</xdr:row>
      <xdr:rowOff>37750</xdr:rowOff>
    </xdr:from>
    <xdr:to>
      <xdr:col>7</xdr:col>
      <xdr:colOff>3647899</xdr:colOff>
      <xdr:row>108</xdr:row>
      <xdr:rowOff>583215</xdr:rowOff>
    </xdr:to>
    <xdr:pic macro="[0]!HelpBox_EoL1">
      <xdr:nvPicPr>
        <xdr:cNvPr id="59" name="Graphic 58" descr="Help with solid fill">
          <a:extLst>
            <a:ext uri="{FF2B5EF4-FFF2-40B4-BE49-F238E27FC236}">
              <a16:creationId xmlns:a16="http://schemas.microsoft.com/office/drawing/2014/main" id="{00000000-0008-0000-0700-00003B00000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298234" y="57902125"/>
          <a:ext cx="548640" cy="548640"/>
        </a:xfrm>
        <a:prstGeom prst="rect">
          <a:avLst/>
        </a:prstGeom>
      </xdr:spPr>
    </xdr:pic>
    <xdr:clientData/>
  </xdr:twoCellAnchor>
  <xdr:twoCellAnchor editAs="oneCell">
    <xdr:from>
      <xdr:col>7</xdr:col>
      <xdr:colOff>3096084</xdr:colOff>
      <xdr:row>100</xdr:row>
      <xdr:rowOff>45914</xdr:rowOff>
    </xdr:from>
    <xdr:to>
      <xdr:col>7</xdr:col>
      <xdr:colOff>3647899</xdr:colOff>
      <xdr:row>100</xdr:row>
      <xdr:rowOff>597729</xdr:rowOff>
    </xdr:to>
    <xdr:pic macro="[0]!HelpBox_Stationary">
      <xdr:nvPicPr>
        <xdr:cNvPr id="94" name="Graphic 93" descr="Help with solid fill">
          <a:extLst>
            <a:ext uri="{FF2B5EF4-FFF2-40B4-BE49-F238E27FC236}">
              <a16:creationId xmlns:a16="http://schemas.microsoft.com/office/drawing/2014/main" id="{00000000-0008-0000-0700-00005E00000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298234" y="53747864"/>
          <a:ext cx="548640" cy="548640"/>
        </a:xfrm>
        <a:prstGeom prst="rect">
          <a:avLst/>
        </a:prstGeom>
      </xdr:spPr>
    </xdr:pic>
    <xdr:clientData/>
  </xdr:twoCellAnchor>
  <xdr:twoCellAnchor editAs="oneCell">
    <xdr:from>
      <xdr:col>7</xdr:col>
      <xdr:colOff>3096084</xdr:colOff>
      <xdr:row>21</xdr:row>
      <xdr:rowOff>36739</xdr:rowOff>
    </xdr:from>
    <xdr:to>
      <xdr:col>7</xdr:col>
      <xdr:colOff>3647899</xdr:colOff>
      <xdr:row>21</xdr:row>
      <xdr:rowOff>582204</xdr:rowOff>
    </xdr:to>
    <xdr:pic macro="[0]!HelpBox_MatEE_EC">
      <xdr:nvPicPr>
        <xdr:cNvPr id="96" name="Graphic 95" descr="Badge Question Mark with solid fill">
          <a:extLst>
            <a:ext uri="{FF2B5EF4-FFF2-40B4-BE49-F238E27FC236}">
              <a16:creationId xmlns:a16="http://schemas.microsoft.com/office/drawing/2014/main" id="{00000000-0008-0000-0700-000060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11971564"/>
          <a:ext cx="548640" cy="548640"/>
        </a:xfrm>
        <a:prstGeom prst="rect">
          <a:avLst/>
        </a:prstGeom>
      </xdr:spPr>
    </xdr:pic>
    <xdr:clientData/>
  </xdr:twoCellAnchor>
  <xdr:oneCellAnchor>
    <xdr:from>
      <xdr:col>7</xdr:col>
      <xdr:colOff>3096084</xdr:colOff>
      <xdr:row>39</xdr:row>
      <xdr:rowOff>39462</xdr:rowOff>
    </xdr:from>
    <xdr:ext cx="548640" cy="548640"/>
    <xdr:pic macro="[0]!HelpBox_AM_Manuf">
      <xdr:nvPicPr>
        <xdr:cNvPr id="99" name="Graphic 98" descr="Badge Question Mark with solid fill">
          <a:extLst>
            <a:ext uri="{FF2B5EF4-FFF2-40B4-BE49-F238E27FC236}">
              <a16:creationId xmlns:a16="http://schemas.microsoft.com/office/drawing/2014/main" id="{00000000-0008-0000-0700-000063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21308787"/>
          <a:ext cx="548640" cy="548640"/>
        </a:xfrm>
        <a:prstGeom prst="rect">
          <a:avLst/>
        </a:prstGeom>
      </xdr:spPr>
    </xdr:pic>
    <xdr:clientData/>
  </xdr:oneCellAnchor>
  <xdr:oneCellAnchor>
    <xdr:from>
      <xdr:col>7</xdr:col>
      <xdr:colOff>3096084</xdr:colOff>
      <xdr:row>69</xdr:row>
      <xdr:rowOff>34017</xdr:rowOff>
    </xdr:from>
    <xdr:ext cx="548640" cy="548640"/>
    <xdr:pic macro="[0]!HelpBox_PostProcess">
      <xdr:nvPicPr>
        <xdr:cNvPr id="100" name="Graphic 99" descr="Badge Question Mark with solid fill">
          <a:extLst>
            <a:ext uri="{FF2B5EF4-FFF2-40B4-BE49-F238E27FC236}">
              <a16:creationId xmlns:a16="http://schemas.microsoft.com/office/drawing/2014/main" id="{00000000-0008-0000-0700-000064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36695742"/>
          <a:ext cx="548640" cy="548640"/>
        </a:xfrm>
        <a:prstGeom prst="rect">
          <a:avLst/>
        </a:prstGeom>
      </xdr:spPr>
    </xdr:pic>
    <xdr:clientData/>
  </xdr:oneCellAnchor>
  <xdr:twoCellAnchor editAs="oneCell">
    <xdr:from>
      <xdr:col>7</xdr:col>
      <xdr:colOff>3096084</xdr:colOff>
      <xdr:row>73</xdr:row>
      <xdr:rowOff>36739</xdr:rowOff>
    </xdr:from>
    <xdr:to>
      <xdr:col>7</xdr:col>
      <xdr:colOff>3647899</xdr:colOff>
      <xdr:row>73</xdr:row>
      <xdr:rowOff>582204</xdr:rowOff>
    </xdr:to>
    <xdr:pic macro="[0]!HelpBox_Tooling">
      <xdr:nvPicPr>
        <xdr:cNvPr id="101" name="Graphic 100" descr="Badge Question Mark with solid fill">
          <a:extLst>
            <a:ext uri="{FF2B5EF4-FFF2-40B4-BE49-F238E27FC236}">
              <a16:creationId xmlns:a16="http://schemas.microsoft.com/office/drawing/2014/main" id="{00000000-0008-0000-0700-000065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39355939"/>
          <a:ext cx="548640" cy="548640"/>
        </a:xfrm>
        <a:prstGeom prst="rect">
          <a:avLst/>
        </a:prstGeom>
      </xdr:spPr>
    </xdr:pic>
    <xdr:clientData/>
  </xdr:twoCellAnchor>
  <xdr:twoCellAnchor editAs="oneCell">
    <xdr:from>
      <xdr:col>7</xdr:col>
      <xdr:colOff>3096084</xdr:colOff>
      <xdr:row>91</xdr:row>
      <xdr:rowOff>36389</xdr:rowOff>
    </xdr:from>
    <xdr:to>
      <xdr:col>7</xdr:col>
      <xdr:colOff>3647899</xdr:colOff>
      <xdr:row>91</xdr:row>
      <xdr:rowOff>581854</xdr:rowOff>
    </xdr:to>
    <xdr:pic macro="[0]!HelpBox_Stationary">
      <xdr:nvPicPr>
        <xdr:cNvPr id="104" name="Graphic 103" descr="Help with solid fill">
          <a:extLst>
            <a:ext uri="{FF2B5EF4-FFF2-40B4-BE49-F238E27FC236}">
              <a16:creationId xmlns:a16="http://schemas.microsoft.com/office/drawing/2014/main" id="{00000000-0008-0000-0700-00006800000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298234" y="49071089"/>
          <a:ext cx="548640" cy="548640"/>
        </a:xfrm>
        <a:prstGeom prst="rect">
          <a:avLst/>
        </a:prstGeom>
      </xdr:spPr>
    </xdr:pic>
    <xdr:clientData/>
  </xdr:twoCellAnchor>
  <xdr:twoCellAnchor editAs="oneCell">
    <xdr:from>
      <xdr:col>5</xdr:col>
      <xdr:colOff>215470</xdr:colOff>
      <xdr:row>70</xdr:row>
      <xdr:rowOff>40820</xdr:rowOff>
    </xdr:from>
    <xdr:to>
      <xdr:col>5</xdr:col>
      <xdr:colOff>904445</xdr:colOff>
      <xdr:row>70</xdr:row>
      <xdr:rowOff>726620</xdr:rowOff>
    </xdr:to>
    <xdr:grpSp>
      <xdr:nvGrpSpPr>
        <xdr:cNvPr id="107" name="Group 106">
          <a:extLst>
            <a:ext uri="{FF2B5EF4-FFF2-40B4-BE49-F238E27FC236}">
              <a16:creationId xmlns:a16="http://schemas.microsoft.com/office/drawing/2014/main" id="{00000000-0008-0000-0700-00006B000000}"/>
            </a:ext>
          </a:extLst>
        </xdr:cNvPr>
        <xdr:cNvGrpSpPr>
          <a:grpSpLocks noChangeAspect="1"/>
        </xdr:cNvGrpSpPr>
      </xdr:nvGrpSpPr>
      <xdr:grpSpPr>
        <a:xfrm>
          <a:off x="10886645" y="21688547"/>
          <a:ext cx="688975" cy="685800"/>
          <a:chOff x="10072382" y="22877374"/>
          <a:chExt cx="685800" cy="694174"/>
        </a:xfrm>
      </xdr:grpSpPr>
      <xdr:sp macro="" textlink="">
        <xdr:nvSpPr>
          <xdr:cNvPr id="109" name="TextBox 108">
            <a:extLst>
              <a:ext uri="{FF2B5EF4-FFF2-40B4-BE49-F238E27FC236}">
                <a16:creationId xmlns:a16="http://schemas.microsoft.com/office/drawing/2014/main" id="{00000000-0008-0000-0700-00006D000000}"/>
              </a:ext>
            </a:extLst>
          </xdr:cNvPr>
          <xdr:cNvSpPr txBox="1"/>
        </xdr:nvSpPr>
        <xdr:spPr>
          <a:xfrm>
            <a:off x="10293700" y="23009599"/>
            <a:ext cx="234044" cy="11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TIME</a:t>
            </a:r>
            <a:endParaRPr lang="en-US" sz="1000"/>
          </a:p>
        </xdr:txBody>
      </xdr:sp>
      <xdr:pic macro="[0]!Post_Time_Power_calc">
        <xdr:nvPicPr>
          <xdr:cNvPr id="108" name="Graphic 107" descr="Calculator with solid fill">
            <a:extLst>
              <a:ext uri="{FF2B5EF4-FFF2-40B4-BE49-F238E27FC236}">
                <a16:creationId xmlns:a16="http://schemas.microsoft.com/office/drawing/2014/main" id="{00000000-0008-0000-0700-00006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72382" y="22877374"/>
            <a:ext cx="685800" cy="694174"/>
          </a:xfrm>
          <a:prstGeom prst="rect">
            <a:avLst/>
          </a:prstGeom>
        </xdr:spPr>
      </xdr:pic>
    </xdr:grpSp>
    <xdr:clientData/>
  </xdr:twoCellAnchor>
  <xdr:twoCellAnchor editAs="oneCell">
    <xdr:from>
      <xdr:col>5</xdr:col>
      <xdr:colOff>215470</xdr:colOff>
      <xdr:row>71</xdr:row>
      <xdr:rowOff>45463</xdr:rowOff>
    </xdr:from>
    <xdr:to>
      <xdr:col>5</xdr:col>
      <xdr:colOff>904445</xdr:colOff>
      <xdr:row>71</xdr:row>
      <xdr:rowOff>734438</xdr:rowOff>
    </xdr:to>
    <xdr:grpSp>
      <xdr:nvGrpSpPr>
        <xdr:cNvPr id="110" name="Group 109">
          <a:extLst>
            <a:ext uri="{FF2B5EF4-FFF2-40B4-BE49-F238E27FC236}">
              <a16:creationId xmlns:a16="http://schemas.microsoft.com/office/drawing/2014/main" id="{00000000-0008-0000-0700-00006E000000}"/>
            </a:ext>
          </a:extLst>
        </xdr:cNvPr>
        <xdr:cNvGrpSpPr>
          <a:grpSpLocks noChangeAspect="1"/>
        </xdr:cNvGrpSpPr>
      </xdr:nvGrpSpPr>
      <xdr:grpSpPr>
        <a:xfrm>
          <a:off x="10886645" y="22458365"/>
          <a:ext cx="688975" cy="682625"/>
          <a:chOff x="10072381" y="23570748"/>
          <a:chExt cx="685800" cy="694173"/>
        </a:xfrm>
      </xdr:grpSpPr>
      <xdr:sp macro="" textlink="">
        <xdr:nvSpPr>
          <xdr:cNvPr id="112" name="TextBox 111">
            <a:extLst>
              <a:ext uri="{FF2B5EF4-FFF2-40B4-BE49-F238E27FC236}">
                <a16:creationId xmlns:a16="http://schemas.microsoft.com/office/drawing/2014/main" id="{00000000-0008-0000-0700-000070000000}"/>
              </a:ext>
            </a:extLst>
          </xdr:cNvPr>
          <xdr:cNvSpPr txBox="1"/>
        </xdr:nvSpPr>
        <xdr:spPr>
          <a:xfrm>
            <a:off x="10288255" y="23714800"/>
            <a:ext cx="228601" cy="964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MASS</a:t>
            </a:r>
            <a:endParaRPr lang="en-US" sz="1000"/>
          </a:p>
        </xdr:txBody>
      </xdr:sp>
      <xdr:pic macro="[0]!Post_Mass_calc">
        <xdr:nvPicPr>
          <xdr:cNvPr id="111" name="Graphic 110" descr="Calculator with solid fill">
            <a:extLst>
              <a:ext uri="{FF2B5EF4-FFF2-40B4-BE49-F238E27FC236}">
                <a16:creationId xmlns:a16="http://schemas.microsoft.com/office/drawing/2014/main" id="{00000000-0008-0000-0700-00006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72381" y="23570748"/>
            <a:ext cx="685800" cy="694173"/>
          </a:xfrm>
          <a:prstGeom prst="rect">
            <a:avLst/>
          </a:prstGeom>
        </xdr:spPr>
      </xdr:pic>
    </xdr:grpSp>
    <xdr:clientData/>
  </xdr:twoCellAnchor>
  <xdr:twoCellAnchor editAs="oneCell">
    <xdr:from>
      <xdr:col>5</xdr:col>
      <xdr:colOff>215470</xdr:colOff>
      <xdr:row>74</xdr:row>
      <xdr:rowOff>42181</xdr:rowOff>
    </xdr:from>
    <xdr:to>
      <xdr:col>5</xdr:col>
      <xdr:colOff>904445</xdr:colOff>
      <xdr:row>74</xdr:row>
      <xdr:rowOff>731156</xdr:rowOff>
    </xdr:to>
    <xdr:grpSp>
      <xdr:nvGrpSpPr>
        <xdr:cNvPr id="113" name="Group 112">
          <a:extLst>
            <a:ext uri="{FF2B5EF4-FFF2-40B4-BE49-F238E27FC236}">
              <a16:creationId xmlns:a16="http://schemas.microsoft.com/office/drawing/2014/main" id="{00000000-0008-0000-0700-000071000000}"/>
            </a:ext>
          </a:extLst>
        </xdr:cNvPr>
        <xdr:cNvGrpSpPr>
          <a:grpSpLocks noChangeAspect="1"/>
        </xdr:cNvGrpSpPr>
      </xdr:nvGrpSpPr>
      <xdr:grpSpPr>
        <a:xfrm>
          <a:off x="10886645" y="24360083"/>
          <a:ext cx="688975" cy="688975"/>
          <a:chOff x="10045167" y="25408721"/>
          <a:chExt cx="685800" cy="702548"/>
        </a:xfrm>
      </xdr:grpSpPr>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10266485" y="25542899"/>
            <a:ext cx="234044" cy="120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TOOL</a:t>
            </a:r>
            <a:endParaRPr lang="en-US" sz="1000"/>
          </a:p>
        </xdr:txBody>
      </xdr:sp>
      <xdr:pic macro="[0]!Tooling_calc">
        <xdr:nvPicPr>
          <xdr:cNvPr id="114" name="Graphic 113" descr="Calculator with solid fill">
            <a:extLst>
              <a:ext uri="{FF2B5EF4-FFF2-40B4-BE49-F238E27FC236}">
                <a16:creationId xmlns:a16="http://schemas.microsoft.com/office/drawing/2014/main" id="{00000000-0008-0000-0700-000072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45167" y="25408721"/>
            <a:ext cx="685800" cy="702548"/>
          </a:xfrm>
          <a:prstGeom prst="rect">
            <a:avLst/>
          </a:prstGeom>
        </xdr:spPr>
      </xdr:pic>
    </xdr:grpSp>
    <xdr:clientData/>
  </xdr:twoCellAnchor>
  <xdr:twoCellAnchor editAs="oneCell">
    <xdr:from>
      <xdr:col>5</xdr:col>
      <xdr:colOff>219075</xdr:colOff>
      <xdr:row>109</xdr:row>
      <xdr:rowOff>34018</xdr:rowOff>
    </xdr:from>
    <xdr:to>
      <xdr:col>5</xdr:col>
      <xdr:colOff>904875</xdr:colOff>
      <xdr:row>109</xdr:row>
      <xdr:rowOff>722085</xdr:rowOff>
    </xdr:to>
    <xdr:grpSp>
      <xdr:nvGrpSpPr>
        <xdr:cNvPr id="116" name="Group 115">
          <a:extLst>
            <a:ext uri="{FF2B5EF4-FFF2-40B4-BE49-F238E27FC236}">
              <a16:creationId xmlns:a16="http://schemas.microsoft.com/office/drawing/2014/main" id="{00000000-0008-0000-0700-000074000000}"/>
            </a:ext>
          </a:extLst>
        </xdr:cNvPr>
        <xdr:cNvGrpSpPr>
          <a:grpSpLocks noChangeAspect="1"/>
        </xdr:cNvGrpSpPr>
      </xdr:nvGrpSpPr>
      <xdr:grpSpPr>
        <a:xfrm>
          <a:off x="10883900" y="37853752"/>
          <a:ext cx="685800" cy="691242"/>
          <a:chOff x="10059385" y="41048340"/>
          <a:chExt cx="685800" cy="688614"/>
        </a:xfrm>
      </xdr:grpSpPr>
      <xdr:sp macro="" textlink="">
        <xdr:nvSpPr>
          <xdr:cNvPr id="118" name="TextBox 117">
            <a:extLst>
              <a:ext uri="{FF2B5EF4-FFF2-40B4-BE49-F238E27FC236}">
                <a16:creationId xmlns:a16="http://schemas.microsoft.com/office/drawing/2014/main" id="{00000000-0008-0000-0700-000076000000}"/>
              </a:ext>
            </a:extLst>
          </xdr:cNvPr>
          <xdr:cNvSpPr txBox="1"/>
        </xdr:nvSpPr>
        <xdr:spPr>
          <a:xfrm>
            <a:off x="10281180" y="4118223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EOL1_1</a:t>
            </a:r>
            <a:endParaRPr lang="en-US" sz="900"/>
          </a:p>
        </xdr:txBody>
      </xdr:sp>
      <xdr:pic macro="[0]!EoL1a_calc">
        <xdr:nvPicPr>
          <xdr:cNvPr id="117" name="Graphic 116" descr="Calculator with solid fill">
            <a:extLst>
              <a:ext uri="{FF2B5EF4-FFF2-40B4-BE49-F238E27FC236}">
                <a16:creationId xmlns:a16="http://schemas.microsoft.com/office/drawing/2014/main" id="{00000000-0008-0000-0700-000075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59385" y="41048340"/>
            <a:ext cx="685800" cy="688614"/>
          </a:xfrm>
          <a:prstGeom prst="rect">
            <a:avLst/>
          </a:prstGeom>
        </xdr:spPr>
      </xdr:pic>
    </xdr:grpSp>
    <xdr:clientData/>
  </xdr:twoCellAnchor>
  <xdr:twoCellAnchor editAs="oneCell">
    <xdr:from>
      <xdr:col>5</xdr:col>
      <xdr:colOff>219076</xdr:colOff>
      <xdr:row>110</xdr:row>
      <xdr:rowOff>34018</xdr:rowOff>
    </xdr:from>
    <xdr:to>
      <xdr:col>5</xdr:col>
      <xdr:colOff>904876</xdr:colOff>
      <xdr:row>110</xdr:row>
      <xdr:rowOff>722085</xdr:rowOff>
    </xdr:to>
    <xdr:grpSp>
      <xdr:nvGrpSpPr>
        <xdr:cNvPr id="119" name="Group 118">
          <a:extLst>
            <a:ext uri="{FF2B5EF4-FFF2-40B4-BE49-F238E27FC236}">
              <a16:creationId xmlns:a16="http://schemas.microsoft.com/office/drawing/2014/main" id="{00000000-0008-0000-0700-000077000000}"/>
            </a:ext>
          </a:extLst>
        </xdr:cNvPr>
        <xdr:cNvGrpSpPr>
          <a:grpSpLocks noChangeAspect="1"/>
        </xdr:cNvGrpSpPr>
      </xdr:nvGrpSpPr>
      <xdr:grpSpPr>
        <a:xfrm>
          <a:off x="10883901" y="38615752"/>
          <a:ext cx="685800" cy="691242"/>
          <a:chOff x="10059386" y="41715090"/>
          <a:chExt cx="685800" cy="688614"/>
        </a:xfrm>
      </xdr:grpSpPr>
      <xdr:sp macro="" textlink="">
        <xdr:nvSpPr>
          <xdr:cNvPr id="121" name="TextBox 120">
            <a:extLst>
              <a:ext uri="{FF2B5EF4-FFF2-40B4-BE49-F238E27FC236}">
                <a16:creationId xmlns:a16="http://schemas.microsoft.com/office/drawing/2014/main" id="{00000000-0008-0000-0700-000079000000}"/>
              </a:ext>
            </a:extLst>
          </xdr:cNvPr>
          <xdr:cNvSpPr txBox="1"/>
        </xdr:nvSpPr>
        <xdr:spPr>
          <a:xfrm>
            <a:off x="10281180" y="4184898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EOL2_1</a:t>
            </a:r>
            <a:endParaRPr lang="en-US" sz="900"/>
          </a:p>
        </xdr:txBody>
      </xdr:sp>
      <xdr:pic macro="[0]!EoL1b_calc">
        <xdr:nvPicPr>
          <xdr:cNvPr id="120" name="Graphic 119" descr="Calculator with solid fill">
            <a:extLst>
              <a:ext uri="{FF2B5EF4-FFF2-40B4-BE49-F238E27FC236}">
                <a16:creationId xmlns:a16="http://schemas.microsoft.com/office/drawing/2014/main" id="{00000000-0008-0000-0700-00007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59386" y="41715090"/>
            <a:ext cx="685800" cy="688614"/>
          </a:xfrm>
          <a:prstGeom prst="rect">
            <a:avLst/>
          </a:prstGeom>
        </xdr:spPr>
      </xdr:pic>
    </xdr:grpSp>
    <xdr:clientData/>
  </xdr:twoCellAnchor>
  <xdr:twoCellAnchor editAs="oneCell">
    <xdr:from>
      <xdr:col>5</xdr:col>
      <xdr:colOff>205468</xdr:colOff>
      <xdr:row>111</xdr:row>
      <xdr:rowOff>468086</xdr:rowOff>
    </xdr:from>
    <xdr:to>
      <xdr:col>5</xdr:col>
      <xdr:colOff>884918</xdr:colOff>
      <xdr:row>116</xdr:row>
      <xdr:rowOff>200624</xdr:rowOff>
    </xdr:to>
    <xdr:grpSp>
      <xdr:nvGrpSpPr>
        <xdr:cNvPr id="122" name="Group 121" hidden="1">
          <a:extLst>
            <a:ext uri="{FF2B5EF4-FFF2-40B4-BE49-F238E27FC236}">
              <a16:creationId xmlns:a16="http://schemas.microsoft.com/office/drawing/2014/main" id="{00000000-0008-0000-0700-00007A000000}"/>
            </a:ext>
          </a:extLst>
        </xdr:cNvPr>
        <xdr:cNvGrpSpPr/>
      </xdr:nvGrpSpPr>
      <xdr:grpSpPr>
        <a:xfrm>
          <a:off x="10870293" y="39346909"/>
          <a:ext cx="685800" cy="699676"/>
          <a:chOff x="10045778" y="42877327"/>
          <a:chExt cx="685800" cy="689085"/>
        </a:xfrm>
      </xdr:grpSpPr>
      <xdr:sp macro="" textlink="">
        <xdr:nvSpPr>
          <xdr:cNvPr id="124" name="TextBox 123" hidden="1">
            <a:extLst>
              <a:ext uri="{FF2B5EF4-FFF2-40B4-BE49-F238E27FC236}">
                <a16:creationId xmlns:a16="http://schemas.microsoft.com/office/drawing/2014/main" id="{00000000-0008-0000-0700-00007C000000}"/>
              </a:ext>
            </a:extLst>
          </xdr:cNvPr>
          <xdr:cNvSpPr txBox="1"/>
        </xdr:nvSpPr>
        <xdr:spPr>
          <a:xfrm>
            <a:off x="10267573" y="43016784"/>
            <a:ext cx="337458" cy="125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EOL1_2</a:t>
            </a:r>
            <a:endParaRPr lang="en-US" sz="900"/>
          </a:p>
        </xdr:txBody>
      </xdr:sp>
      <xdr:pic macro="[0]!EoL2a_calc">
        <xdr:nvPicPr>
          <xdr:cNvPr id="123" name="Graphic 122" descr="Calculator with solid fill" hidden="1">
            <a:extLst>
              <a:ext uri="{FF2B5EF4-FFF2-40B4-BE49-F238E27FC236}">
                <a16:creationId xmlns:a16="http://schemas.microsoft.com/office/drawing/2014/main" id="{00000000-0008-0000-0700-00007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45778" y="42877327"/>
            <a:ext cx="685800" cy="689085"/>
          </a:xfrm>
          <a:prstGeom prst="rect">
            <a:avLst/>
          </a:prstGeom>
        </xdr:spPr>
      </xdr:pic>
    </xdr:grpSp>
    <xdr:clientData/>
  </xdr:twoCellAnchor>
  <xdr:twoCellAnchor editAs="oneCell">
    <xdr:from>
      <xdr:col>5</xdr:col>
      <xdr:colOff>205468</xdr:colOff>
      <xdr:row>113</xdr:row>
      <xdr:rowOff>5443</xdr:rowOff>
    </xdr:from>
    <xdr:to>
      <xdr:col>5</xdr:col>
      <xdr:colOff>884918</xdr:colOff>
      <xdr:row>116</xdr:row>
      <xdr:rowOff>183242</xdr:rowOff>
    </xdr:to>
    <xdr:grpSp>
      <xdr:nvGrpSpPr>
        <xdr:cNvPr id="125" name="Group 124" hidden="1">
          <a:extLst>
            <a:ext uri="{FF2B5EF4-FFF2-40B4-BE49-F238E27FC236}">
              <a16:creationId xmlns:a16="http://schemas.microsoft.com/office/drawing/2014/main" id="{00000000-0008-0000-0700-00007D000000}"/>
            </a:ext>
          </a:extLst>
        </xdr:cNvPr>
        <xdr:cNvGrpSpPr/>
      </xdr:nvGrpSpPr>
      <xdr:grpSpPr>
        <a:xfrm>
          <a:off x="10870293" y="39346909"/>
          <a:ext cx="685800" cy="682294"/>
          <a:chOff x="10045778" y="43577391"/>
          <a:chExt cx="685800" cy="688616"/>
        </a:xfrm>
      </xdr:grpSpPr>
      <xdr:sp macro="" textlink="">
        <xdr:nvSpPr>
          <xdr:cNvPr id="127" name="TextBox 126" hidden="1">
            <a:extLst>
              <a:ext uri="{FF2B5EF4-FFF2-40B4-BE49-F238E27FC236}">
                <a16:creationId xmlns:a16="http://schemas.microsoft.com/office/drawing/2014/main" id="{00000000-0008-0000-0700-00007F000000}"/>
              </a:ext>
            </a:extLst>
          </xdr:cNvPr>
          <xdr:cNvSpPr txBox="1"/>
        </xdr:nvSpPr>
        <xdr:spPr>
          <a:xfrm>
            <a:off x="10267573" y="43716753"/>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EOL2_2</a:t>
            </a:r>
            <a:endParaRPr lang="en-US" sz="900"/>
          </a:p>
        </xdr:txBody>
      </xdr:sp>
      <xdr:pic macro="[0]!EoL2b_calc">
        <xdr:nvPicPr>
          <xdr:cNvPr id="126" name="Graphic 125" descr="Calculator with solid fill" hidden="1">
            <a:extLst>
              <a:ext uri="{FF2B5EF4-FFF2-40B4-BE49-F238E27FC236}">
                <a16:creationId xmlns:a16="http://schemas.microsoft.com/office/drawing/2014/main" id="{00000000-0008-0000-0700-00007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45778" y="43577391"/>
            <a:ext cx="685800" cy="688616"/>
          </a:xfrm>
          <a:prstGeom prst="rect">
            <a:avLst/>
          </a:prstGeom>
        </xdr:spPr>
      </xdr:pic>
    </xdr:grpSp>
    <xdr:clientData/>
  </xdr:twoCellAnchor>
  <xdr:twoCellAnchor>
    <xdr:from>
      <xdr:col>6</xdr:col>
      <xdr:colOff>0</xdr:colOff>
      <xdr:row>118</xdr:row>
      <xdr:rowOff>247649</xdr:rowOff>
    </xdr:from>
    <xdr:to>
      <xdr:col>6</xdr:col>
      <xdr:colOff>4572000</xdr:colOff>
      <xdr:row>125</xdr:row>
      <xdr:rowOff>171449</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95250</xdr:colOff>
          <xdr:row>120</xdr:row>
          <xdr:rowOff>76200</xdr:rowOff>
        </xdr:from>
        <xdr:to>
          <xdr:col>5</xdr:col>
          <xdr:colOff>447675</xdr:colOff>
          <xdr:row>120</xdr:row>
          <xdr:rowOff>447675</xdr:rowOff>
        </xdr:to>
        <xdr:sp macro="" textlink="">
          <xdr:nvSpPr>
            <xdr:cNvPr id="103425" name="Check Box 1" hidden="1">
              <a:extLst>
                <a:ext uri="{63B3BB69-23CF-44E3-9099-C40C66FF867C}">
                  <a14:compatExt spid="_x0000_s103425"/>
                </a:ext>
                <a:ext uri="{FF2B5EF4-FFF2-40B4-BE49-F238E27FC236}">
                  <a16:creationId xmlns:a16="http://schemas.microsoft.com/office/drawing/2014/main" id="{00000000-0008-0000-0700-000001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121</xdr:row>
          <xdr:rowOff>76200</xdr:rowOff>
        </xdr:from>
        <xdr:to>
          <xdr:col>5</xdr:col>
          <xdr:colOff>447675</xdr:colOff>
          <xdr:row>121</xdr:row>
          <xdr:rowOff>447675</xdr:rowOff>
        </xdr:to>
        <xdr:sp macro="" textlink="">
          <xdr:nvSpPr>
            <xdr:cNvPr id="103426" name="Check Box 2" hidden="1">
              <a:extLst>
                <a:ext uri="{63B3BB69-23CF-44E3-9099-C40C66FF867C}">
                  <a14:compatExt spid="_x0000_s103426"/>
                </a:ext>
                <a:ext uri="{FF2B5EF4-FFF2-40B4-BE49-F238E27FC236}">
                  <a16:creationId xmlns:a16="http://schemas.microsoft.com/office/drawing/2014/main" id="{00000000-0008-0000-0700-000002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122</xdr:row>
          <xdr:rowOff>76200</xdr:rowOff>
        </xdr:from>
        <xdr:to>
          <xdr:col>5</xdr:col>
          <xdr:colOff>447675</xdr:colOff>
          <xdr:row>122</xdr:row>
          <xdr:rowOff>447675</xdr:rowOff>
        </xdr:to>
        <xdr:sp macro="" textlink="">
          <xdr:nvSpPr>
            <xdr:cNvPr id="103427" name="Check Box 3" hidden="1">
              <a:extLst>
                <a:ext uri="{63B3BB69-23CF-44E3-9099-C40C66FF867C}">
                  <a14:compatExt spid="_x0000_s103427"/>
                </a:ext>
                <a:ext uri="{FF2B5EF4-FFF2-40B4-BE49-F238E27FC236}">
                  <a16:creationId xmlns:a16="http://schemas.microsoft.com/office/drawing/2014/main" id="{00000000-0008-0000-0700-000003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123</xdr:row>
          <xdr:rowOff>76200</xdr:rowOff>
        </xdr:from>
        <xdr:to>
          <xdr:col>5</xdr:col>
          <xdr:colOff>447675</xdr:colOff>
          <xdr:row>123</xdr:row>
          <xdr:rowOff>447675</xdr:rowOff>
        </xdr:to>
        <xdr:sp macro="" textlink="">
          <xdr:nvSpPr>
            <xdr:cNvPr id="103428" name="Check Box 4" hidden="1">
              <a:extLst>
                <a:ext uri="{63B3BB69-23CF-44E3-9099-C40C66FF867C}">
                  <a14:compatExt spid="_x0000_s103428"/>
                </a:ext>
                <a:ext uri="{FF2B5EF4-FFF2-40B4-BE49-F238E27FC236}">
                  <a16:creationId xmlns:a16="http://schemas.microsoft.com/office/drawing/2014/main" id="{00000000-0008-0000-0700-000004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124</xdr:row>
          <xdr:rowOff>76200</xdr:rowOff>
        </xdr:from>
        <xdr:to>
          <xdr:col>5</xdr:col>
          <xdr:colOff>447675</xdr:colOff>
          <xdr:row>124</xdr:row>
          <xdr:rowOff>447675</xdr:rowOff>
        </xdr:to>
        <xdr:sp macro="" textlink="">
          <xdr:nvSpPr>
            <xdr:cNvPr id="103429" name="Check Box 5" hidden="1">
              <a:extLst>
                <a:ext uri="{63B3BB69-23CF-44E3-9099-C40C66FF867C}">
                  <a14:compatExt spid="_x0000_s103429"/>
                </a:ext>
                <a:ext uri="{FF2B5EF4-FFF2-40B4-BE49-F238E27FC236}">
                  <a16:creationId xmlns:a16="http://schemas.microsoft.com/office/drawing/2014/main" id="{00000000-0008-0000-0700-000005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4572000</xdr:colOff>
      <xdr:row>118</xdr:row>
      <xdr:rowOff>247649</xdr:rowOff>
    </xdr:from>
    <xdr:to>
      <xdr:col>7</xdr:col>
      <xdr:colOff>3098610</xdr:colOff>
      <xdr:row>125</xdr:row>
      <xdr:rowOff>171449</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0</xdr:colOff>
      <xdr:row>126</xdr:row>
      <xdr:rowOff>0</xdr:rowOff>
    </xdr:from>
    <xdr:to>
      <xdr:col>6</xdr:col>
      <xdr:colOff>4572000</xdr:colOff>
      <xdr:row>138</xdr:row>
      <xdr:rowOff>228600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11830050" y="43500675"/>
              <a:ext cx="4572000" cy="3314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4572000</xdr:colOff>
      <xdr:row>126</xdr:row>
      <xdr:rowOff>0</xdr:rowOff>
    </xdr:from>
    <xdr:to>
      <xdr:col>7</xdr:col>
      <xdr:colOff>3095625</xdr:colOff>
      <xdr:row>138</xdr:row>
      <xdr:rowOff>228600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6402050" y="43500675"/>
              <a:ext cx="4854575" cy="3314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144</xdr:row>
      <xdr:rowOff>247649</xdr:rowOff>
    </xdr:from>
    <xdr:to>
      <xdr:col>6</xdr:col>
      <xdr:colOff>4572000</xdr:colOff>
      <xdr:row>151</xdr:row>
      <xdr:rowOff>171449</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95250</xdr:colOff>
          <xdr:row>146</xdr:row>
          <xdr:rowOff>76200</xdr:rowOff>
        </xdr:from>
        <xdr:to>
          <xdr:col>5</xdr:col>
          <xdr:colOff>447675</xdr:colOff>
          <xdr:row>146</xdr:row>
          <xdr:rowOff>447675</xdr:rowOff>
        </xdr:to>
        <xdr:sp macro="" textlink="">
          <xdr:nvSpPr>
            <xdr:cNvPr id="103434" name="Check Box 10" hidden="1">
              <a:extLst>
                <a:ext uri="{63B3BB69-23CF-44E3-9099-C40C66FF867C}">
                  <a14:compatExt spid="_x0000_s103434"/>
                </a:ext>
                <a:ext uri="{FF2B5EF4-FFF2-40B4-BE49-F238E27FC236}">
                  <a16:creationId xmlns:a16="http://schemas.microsoft.com/office/drawing/2014/main" id="{00000000-0008-0000-0700-00000A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147</xdr:row>
          <xdr:rowOff>76200</xdr:rowOff>
        </xdr:from>
        <xdr:to>
          <xdr:col>5</xdr:col>
          <xdr:colOff>447675</xdr:colOff>
          <xdr:row>147</xdr:row>
          <xdr:rowOff>447675</xdr:rowOff>
        </xdr:to>
        <xdr:sp macro="" textlink="">
          <xdr:nvSpPr>
            <xdr:cNvPr id="103435" name="Check Box 11" hidden="1">
              <a:extLst>
                <a:ext uri="{63B3BB69-23CF-44E3-9099-C40C66FF867C}">
                  <a14:compatExt spid="_x0000_s103435"/>
                </a:ext>
                <a:ext uri="{FF2B5EF4-FFF2-40B4-BE49-F238E27FC236}">
                  <a16:creationId xmlns:a16="http://schemas.microsoft.com/office/drawing/2014/main" id="{00000000-0008-0000-0700-00000B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148</xdr:row>
          <xdr:rowOff>76200</xdr:rowOff>
        </xdr:from>
        <xdr:to>
          <xdr:col>5</xdr:col>
          <xdr:colOff>447675</xdr:colOff>
          <xdr:row>148</xdr:row>
          <xdr:rowOff>447675</xdr:rowOff>
        </xdr:to>
        <xdr:sp macro="" textlink="">
          <xdr:nvSpPr>
            <xdr:cNvPr id="103436" name="Check Box 12" hidden="1">
              <a:extLst>
                <a:ext uri="{63B3BB69-23CF-44E3-9099-C40C66FF867C}">
                  <a14:compatExt spid="_x0000_s103436"/>
                </a:ext>
                <a:ext uri="{FF2B5EF4-FFF2-40B4-BE49-F238E27FC236}">
                  <a16:creationId xmlns:a16="http://schemas.microsoft.com/office/drawing/2014/main" id="{00000000-0008-0000-0700-00000C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149</xdr:row>
          <xdr:rowOff>76200</xdr:rowOff>
        </xdr:from>
        <xdr:to>
          <xdr:col>5</xdr:col>
          <xdr:colOff>447675</xdr:colOff>
          <xdr:row>149</xdr:row>
          <xdr:rowOff>447675</xdr:rowOff>
        </xdr:to>
        <xdr:sp macro="" textlink="">
          <xdr:nvSpPr>
            <xdr:cNvPr id="103437" name="Check Box 13" hidden="1">
              <a:extLst>
                <a:ext uri="{63B3BB69-23CF-44E3-9099-C40C66FF867C}">
                  <a14:compatExt spid="_x0000_s103437"/>
                </a:ext>
                <a:ext uri="{FF2B5EF4-FFF2-40B4-BE49-F238E27FC236}">
                  <a16:creationId xmlns:a16="http://schemas.microsoft.com/office/drawing/2014/main" id="{00000000-0008-0000-0700-00000D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150</xdr:row>
          <xdr:rowOff>76200</xdr:rowOff>
        </xdr:from>
        <xdr:to>
          <xdr:col>5</xdr:col>
          <xdr:colOff>447675</xdr:colOff>
          <xdr:row>150</xdr:row>
          <xdr:rowOff>447675</xdr:rowOff>
        </xdr:to>
        <xdr:sp macro="" textlink="">
          <xdr:nvSpPr>
            <xdr:cNvPr id="103438" name="Check Box 14" hidden="1">
              <a:extLst>
                <a:ext uri="{63B3BB69-23CF-44E3-9099-C40C66FF867C}">
                  <a14:compatExt spid="_x0000_s103438"/>
                </a:ext>
                <a:ext uri="{FF2B5EF4-FFF2-40B4-BE49-F238E27FC236}">
                  <a16:creationId xmlns:a16="http://schemas.microsoft.com/office/drawing/2014/main" id="{00000000-0008-0000-0700-00000E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6</xdr:col>
      <xdr:colOff>4572000</xdr:colOff>
      <xdr:row>144</xdr:row>
      <xdr:rowOff>247648</xdr:rowOff>
    </xdr:from>
    <xdr:to>
      <xdr:col>7</xdr:col>
      <xdr:colOff>3098610</xdr:colOff>
      <xdr:row>151</xdr:row>
      <xdr:rowOff>171448</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0</xdr:colOff>
      <xdr:row>152</xdr:row>
      <xdr:rowOff>0</xdr:rowOff>
    </xdr:from>
    <xdr:to>
      <xdr:col>6</xdr:col>
      <xdr:colOff>4572000</xdr:colOff>
      <xdr:row>164</xdr:row>
      <xdr:rowOff>228600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2"/>
            </a:graphicData>
          </a:graphic>
        </xdr:graphicFrame>
      </mc:Choice>
      <mc:Fallback>
        <xdr:sp macro="" textlink="">
          <xdr:nvSpPr>
            <xdr:cNvPr id="0" name=""/>
            <xdr:cNvSpPr>
              <a:spLocks noTextEdit="1"/>
            </xdr:cNvSpPr>
          </xdr:nvSpPr>
          <xdr:spPr>
            <a:xfrm>
              <a:off x="11830050" y="51673125"/>
              <a:ext cx="4572000" cy="3314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4572000</xdr:colOff>
      <xdr:row>152</xdr:row>
      <xdr:rowOff>0</xdr:rowOff>
    </xdr:from>
    <xdr:to>
      <xdr:col>7</xdr:col>
      <xdr:colOff>3095625</xdr:colOff>
      <xdr:row>164</xdr:row>
      <xdr:rowOff>228600</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16402050" y="51673125"/>
              <a:ext cx="4854575" cy="3314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3096084</xdr:colOff>
      <xdr:row>76</xdr:row>
      <xdr:rowOff>36389</xdr:rowOff>
    </xdr:from>
    <xdr:to>
      <xdr:col>7</xdr:col>
      <xdr:colOff>3647899</xdr:colOff>
      <xdr:row>76</xdr:row>
      <xdr:rowOff>581854</xdr:rowOff>
    </xdr:to>
    <xdr:pic macro="[0]!HelpBox_TransData">
      <xdr:nvPicPr>
        <xdr:cNvPr id="11" name="Graphic 10" descr="Help with solid fill">
          <a:extLst>
            <a:ext uri="{FF2B5EF4-FFF2-40B4-BE49-F238E27FC236}">
              <a16:creationId xmlns:a16="http://schemas.microsoft.com/office/drawing/2014/main" id="{00000000-0008-0000-0700-00000B00000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298234" y="41251064"/>
          <a:ext cx="548640" cy="548640"/>
        </a:xfrm>
        <a:prstGeom prst="rect">
          <a:avLst/>
        </a:prstGeom>
      </xdr:spPr>
    </xdr:pic>
    <xdr:clientData/>
  </xdr:twoCellAnchor>
  <xdr:twoCellAnchor editAs="oneCell">
    <xdr:from>
      <xdr:col>0</xdr:col>
      <xdr:colOff>0</xdr:colOff>
      <xdr:row>0</xdr:row>
      <xdr:rowOff>0</xdr:rowOff>
    </xdr:from>
    <xdr:to>
      <xdr:col>1</xdr:col>
      <xdr:colOff>152400</xdr:colOff>
      <xdr:row>1</xdr:row>
      <xdr:rowOff>0</xdr:rowOff>
    </xdr:to>
    <xdr:pic>
      <xdr:nvPicPr>
        <xdr:cNvPr id="22" name="Picture 21">
          <a:extLst>
            <a:ext uri="{FF2B5EF4-FFF2-40B4-BE49-F238E27FC236}">
              <a16:creationId xmlns:a16="http://schemas.microsoft.com/office/drawing/2014/main" id="{00000000-0008-0000-0700-000016000000}"/>
            </a:ext>
          </a:extLst>
        </xdr:cNvPr>
        <xdr:cNvPicPr preferRelativeResize="0">
          <a:picLocks/>
        </xdr:cNvPicPr>
      </xdr:nvPicPr>
      <xdr:blipFill rotWithShape="1">
        <a:blip xmlns:r="http://schemas.openxmlformats.org/officeDocument/2006/relationships" r:embed="rId24">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7</xdr:col>
      <xdr:colOff>1666589</xdr:colOff>
      <xdr:row>0</xdr:row>
      <xdr:rowOff>0</xdr:rowOff>
    </xdr:from>
    <xdr:to>
      <xdr:col>8</xdr:col>
      <xdr:colOff>0</xdr:colOff>
      <xdr:row>1</xdr:row>
      <xdr:rowOff>0</xdr:rowOff>
    </xdr:to>
    <xdr:pic>
      <xdr:nvPicPr>
        <xdr:cNvPr id="24" name="Picture 23">
          <a:extLst>
            <a:ext uri="{FF2B5EF4-FFF2-40B4-BE49-F238E27FC236}">
              <a16:creationId xmlns:a16="http://schemas.microsoft.com/office/drawing/2014/main" id="{00000000-0008-0000-0700-000018000000}"/>
            </a:ext>
          </a:extLst>
        </xdr:cNvPr>
        <xdr:cNvPicPr>
          <a:picLocks/>
        </xdr:cNvPicPr>
      </xdr:nvPicPr>
      <xdr:blipFill rotWithShape="1">
        <a:blip xmlns:r="http://schemas.openxmlformats.org/officeDocument/2006/relationships" r:embed="rId25" cstate="email">
          <a:extLst>
            <a:ext uri="{28A0092B-C50C-407E-A947-70E740481C1C}">
              <a14:useLocalDpi xmlns:a14="http://schemas.microsoft.com/office/drawing/2010/main" val="0"/>
            </a:ext>
          </a:extLst>
        </a:blip>
        <a:srcRect l="6697" t="-11325" r="-6697" b="-21990"/>
        <a:stretch/>
      </xdr:blipFill>
      <xdr:spPr>
        <a:xfrm>
          <a:off x="18868739" y="0"/>
          <a:ext cx="2048161" cy="1143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12780818" y="2213336"/>
    <xdr:ext cx="7394864" cy="4540755"/>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absoluteAnchor>
    <xdr:pos x="12780818" y="6754092"/>
    <xdr:ext cx="7394864" cy="4571999"/>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absoluteAnchor>
  <xdr:absoluteAnchor>
    <xdr:pos x="381000" y="6762751"/>
    <xdr:ext cx="5157107" cy="3429000"/>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81000" y="6762751"/>
              <a:ext cx="5157107" cy="3429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fLocksWithSheet="0"/>
  </xdr:absoluteAnchor>
  <xdr:absoluteAnchor>
    <xdr:pos x="381000" y="10191750"/>
    <xdr:ext cx="5157107" cy="3429000"/>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81000" y="10191750"/>
              <a:ext cx="5157107" cy="3429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fLocksWithSheet="0"/>
  </xdr:absoluteAnchor>
  <mc:AlternateContent xmlns:mc="http://schemas.openxmlformats.org/markup-compatibility/2006">
    <mc:Choice xmlns:a14="http://schemas.microsoft.com/office/drawing/2010/main" Requires="a14">
      <xdr:twoCellAnchor editAs="oneCell">
        <xdr:from>
          <xdr:col>5</xdr:col>
          <xdr:colOff>1200150</xdr:colOff>
          <xdr:row>3</xdr:row>
          <xdr:rowOff>171450</xdr:rowOff>
        </xdr:from>
        <xdr:to>
          <xdr:col>5</xdr:col>
          <xdr:colOff>1803400</xdr:colOff>
          <xdr:row>4</xdr:row>
          <xdr:rowOff>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12700</xdr:rowOff>
        </xdr:from>
        <xdr:to>
          <xdr:col>8</xdr:col>
          <xdr:colOff>0</xdr:colOff>
          <xdr:row>7</xdr:row>
          <xdr:rowOff>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0</xdr:rowOff>
        </xdr:from>
        <xdr:to>
          <xdr:col>8</xdr:col>
          <xdr:colOff>0</xdr:colOff>
          <xdr:row>8</xdr:row>
          <xdr:rowOff>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8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8</xdr:col>
          <xdr:colOff>0</xdr:colOff>
          <xdr:row>9</xdr:row>
          <xdr:rowOff>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8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0</xdr:rowOff>
        </xdr:from>
        <xdr:to>
          <xdr:col>8</xdr:col>
          <xdr:colOff>0</xdr:colOff>
          <xdr:row>10</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8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0</xdr:colOff>
          <xdr:row>11</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absoluteAnchor>
    <xdr:pos x="12780819" y="15517091"/>
    <xdr:ext cx="8420710" cy="4052454"/>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absolute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8</xdr:col>
          <xdr:colOff>0</xdr:colOff>
          <xdr:row>51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12700</xdr:rowOff>
        </xdr:from>
        <xdr:to>
          <xdr:col>8</xdr:col>
          <xdr:colOff>88900</xdr:colOff>
          <xdr:row>52</xdr:row>
          <xdr:rowOff>12700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8</xdr:col>
          <xdr:colOff>0</xdr:colOff>
          <xdr:row>53</xdr:row>
          <xdr:rowOff>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368300</xdr:rowOff>
        </xdr:from>
        <xdr:to>
          <xdr:col>8</xdr:col>
          <xdr:colOff>88900</xdr:colOff>
          <xdr:row>53</xdr:row>
          <xdr:rowOff>368300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8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8</xdr:col>
          <xdr:colOff>0</xdr:colOff>
          <xdr:row>55</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8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8</xdr:col>
          <xdr:colOff>0</xdr:colOff>
          <xdr:row>56</xdr:row>
          <xdr:rowOff>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8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56</xdr:row>
          <xdr:rowOff>0</xdr:rowOff>
        </xdr:from>
        <xdr:to>
          <xdr:col>8</xdr:col>
          <xdr:colOff>101600</xdr:colOff>
          <xdr:row>57</xdr:row>
          <xdr:rowOff>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8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57</xdr:row>
          <xdr:rowOff>0</xdr:rowOff>
        </xdr:from>
        <xdr:to>
          <xdr:col>8</xdr:col>
          <xdr:colOff>101600</xdr:colOff>
          <xdr:row>58</xdr:row>
          <xdr:rowOff>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8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58</xdr:row>
          <xdr:rowOff>12700</xdr:rowOff>
        </xdr:from>
        <xdr:to>
          <xdr:col>8</xdr:col>
          <xdr:colOff>101600</xdr:colOff>
          <xdr:row>59</xdr:row>
          <xdr:rowOff>12700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8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8</xdr:col>
          <xdr:colOff>0</xdr:colOff>
          <xdr:row>60</xdr:row>
          <xdr:rowOff>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8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1784350</xdr:colOff>
          <xdr:row>59</xdr:row>
          <xdr:rowOff>355600</xdr:rowOff>
        </xdr:from>
        <xdr:to>
          <xdr:col>8</xdr:col>
          <xdr:colOff>63500</xdr:colOff>
          <xdr:row>60</xdr:row>
          <xdr:rowOff>355600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8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absoluteAnchor>
    <xdr:pos x="12780819" y="19859120"/>
    <xdr:ext cx="8420710" cy="5544615"/>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absoluteAnchor>
  <xdr:absoluteAnchor>
    <xdr:pos x="21201529" y="15517091"/>
    <xdr:ext cx="8426824" cy="4052454"/>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absoluteAnchor>
  <xdr:absoluteAnchor>
    <xdr:pos x="20175681" y="2210161"/>
    <xdr:ext cx="7394863" cy="4543930"/>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absoluteAnchor>
  <xdr:absoluteAnchor>
    <xdr:pos x="20175681" y="6754091"/>
    <xdr:ext cx="7394863" cy="4572000"/>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absoluteAnchor>
  <xdr:absoluteAnchor>
    <xdr:pos x="5538108" y="10191750"/>
    <xdr:ext cx="5143500" cy="3429000"/>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5538108" y="10191750"/>
              <a:ext cx="5143500" cy="3429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fLocksWithSheet="0"/>
  </xdr:absoluteAnchor>
  <xdr:absoluteAnchor>
    <xdr:pos x="5538107" y="6762751"/>
    <xdr:ext cx="5143500" cy="3429000"/>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5538107" y="6762751"/>
              <a:ext cx="5143500" cy="3429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fLocksWithSheet="0"/>
  </xdr:absoluteAnchor>
  <xdr:absoluteAnchor>
    <xdr:pos x="12780819" y="25403735"/>
    <xdr:ext cx="8420711" cy="5682529"/>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absoluteAnchor>
  <xdr:absoluteAnchor>
    <xdr:pos x="21201528" y="19855945"/>
    <xdr:ext cx="8426825" cy="5547790"/>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absoluteAnchor>
  <xdr:absoluteAnchor>
    <xdr:pos x="21201528" y="25403735"/>
    <xdr:ext cx="8426825" cy="5682529"/>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absoluteAnchor>
  <xdr:twoCellAnchor editAs="oneCell">
    <xdr:from>
      <xdr:col>0</xdr:col>
      <xdr:colOff>0</xdr:colOff>
      <xdr:row>0</xdr:row>
      <xdr:rowOff>0</xdr:rowOff>
    </xdr:from>
    <xdr:to>
      <xdr:col>1</xdr:col>
      <xdr:colOff>762000</xdr:colOff>
      <xdr:row>1</xdr:row>
      <xdr:rowOff>0</xdr:rowOff>
    </xdr:to>
    <xdr:pic>
      <xdr:nvPicPr>
        <xdr:cNvPr id="7" name="Picture 6">
          <a:extLst>
            <a:ext uri="{FF2B5EF4-FFF2-40B4-BE49-F238E27FC236}">
              <a16:creationId xmlns:a16="http://schemas.microsoft.com/office/drawing/2014/main" id="{00000000-0008-0000-0800-000007000000}"/>
            </a:ext>
          </a:extLst>
        </xdr:cNvPr>
        <xdr:cNvPicPr preferRelativeResize="0">
          <a:picLocks/>
        </xdr:cNvPicPr>
      </xdr:nvPicPr>
      <xdr:blipFill rotWithShape="1">
        <a:blip xmlns:r="http://schemas.openxmlformats.org/officeDocument/2006/relationships" r:embed="rId15">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22</xdr:col>
      <xdr:colOff>57731</xdr:colOff>
      <xdr:row>0</xdr:row>
      <xdr:rowOff>0</xdr:rowOff>
    </xdr:from>
    <xdr:to>
      <xdr:col>24</xdr:col>
      <xdr:colOff>0</xdr:colOff>
      <xdr:row>1</xdr:row>
      <xdr:rowOff>0</xdr:rowOff>
    </xdr:to>
    <xdr:pic>
      <xdr:nvPicPr>
        <xdr:cNvPr id="8" name="Picture 7">
          <a:extLst>
            <a:ext uri="{FF2B5EF4-FFF2-40B4-BE49-F238E27FC236}">
              <a16:creationId xmlns:a16="http://schemas.microsoft.com/office/drawing/2014/main" id="{00000000-0008-0000-0800-000008000000}"/>
            </a:ext>
          </a:extLst>
        </xdr:cNvPr>
        <xdr:cNvPicPr>
          <a:picLocks/>
        </xdr:cNvPicPr>
      </xdr:nvPicPr>
      <xdr:blipFill rotWithShape="1">
        <a:blip xmlns:r="http://schemas.openxmlformats.org/officeDocument/2006/relationships" r:embed="rId16" cstate="email">
          <a:extLst>
            <a:ext uri="{28A0092B-C50C-407E-A947-70E740481C1C}">
              <a14:useLocalDpi xmlns:a14="http://schemas.microsoft.com/office/drawing/2010/main" val="0"/>
            </a:ext>
          </a:extLst>
        </a:blip>
        <a:srcRect l="6697" t="-11325" r="-6697" b="-21990"/>
        <a:stretch/>
      </xdr:blipFill>
      <xdr:spPr>
        <a:xfrm>
          <a:off x="26571867" y="0"/>
          <a:ext cx="2055088" cy="1143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1</xdr:row>
      <xdr:rowOff>0</xdr:rowOff>
    </xdr:to>
    <xdr:pic>
      <xdr:nvPicPr>
        <xdr:cNvPr id="2" name="Picture 1">
          <a:extLst>
            <a:ext uri="{FF2B5EF4-FFF2-40B4-BE49-F238E27FC236}">
              <a16:creationId xmlns:a16="http://schemas.microsoft.com/office/drawing/2014/main" id="{00000000-0008-0000-0900-000002000000}"/>
            </a:ext>
          </a:extLst>
        </xdr:cNvPr>
        <xdr:cNvPicPr preferRelativeResize="0">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489" t="-15104" r="-16489" b="-15104"/>
        <a:stretch/>
      </xdr:blipFill>
      <xdr:spPr>
        <a:xfrm>
          <a:off x="0" y="0"/>
          <a:ext cx="1177925" cy="1143000"/>
        </a:xfrm>
        <a:prstGeom prst="rect">
          <a:avLst/>
        </a:prstGeom>
      </xdr:spPr>
    </xdr:pic>
    <xdr:clientData/>
  </xdr:twoCellAnchor>
  <xdr:twoCellAnchor editAs="oneCell">
    <xdr:from>
      <xdr:col>3</xdr:col>
      <xdr:colOff>3327114</xdr:colOff>
      <xdr:row>0</xdr:row>
      <xdr:rowOff>0</xdr:rowOff>
    </xdr:from>
    <xdr:to>
      <xdr:col>4</xdr:col>
      <xdr:colOff>720725</xdr:colOff>
      <xdr:row>1</xdr:row>
      <xdr:rowOff>0</xdr:rowOff>
    </xdr:to>
    <xdr:pic>
      <xdr:nvPicPr>
        <xdr:cNvPr id="3" name="Picture 2">
          <a:extLst>
            <a:ext uri="{FF2B5EF4-FFF2-40B4-BE49-F238E27FC236}">
              <a16:creationId xmlns:a16="http://schemas.microsoft.com/office/drawing/2014/main" id="{00000000-0008-0000-0900-000003000000}"/>
            </a:ext>
          </a:extLst>
        </xdr:cNvPr>
        <xdr:cNvPicPr>
          <a:picLocks/>
        </xdr:cNvPicPr>
      </xdr:nvPicPr>
      <xdr:blipFill rotWithShape="1">
        <a:blip xmlns:r="http://schemas.openxmlformats.org/officeDocument/2006/relationships" r:embed="rId2" cstate="email">
          <a:extLst>
            <a:ext uri="{28A0092B-C50C-407E-A947-70E740481C1C}">
              <a14:useLocalDpi xmlns:a14="http://schemas.microsoft.com/office/drawing/2010/main" val="0"/>
            </a:ext>
          </a:extLst>
        </a:blip>
        <a:srcRect l="6697" t="-11325" r="-6697" b="-21990"/>
        <a:stretch/>
      </xdr:blipFill>
      <xdr:spPr>
        <a:xfrm>
          <a:off x="6972014" y="0"/>
          <a:ext cx="2264061" cy="1143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17</xdr:col>
      <xdr:colOff>528874</xdr:colOff>
      <xdr:row>1</xdr:row>
      <xdr:rowOff>0</xdr:rowOff>
    </xdr:from>
    <xdr:to>
      <xdr:col>27</xdr:col>
      <xdr:colOff>582260</xdr:colOff>
      <xdr:row>44</xdr:row>
      <xdr:rowOff>109810</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4533510" y="184727"/>
          <a:ext cx="6172477" cy="8491810"/>
        </a:xfrm>
        <a:prstGeom prst="rect">
          <a:avLst/>
        </a:prstGeom>
        <a:ln>
          <a:solidFill>
            <a:sysClr val="windowText" lastClr="000000"/>
          </a:solidFill>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k1\ORNL%20Dropbox\Kristina%20Armstrong\AM%20Tools\Submitted%20to%20RCR\AM%20Energy%20and%20Carbon%20Impacts%20Assessment%20Tool%20-%20Blank.xlsm" TargetMode="External"/><Relationship Id="rId1" Type="http://schemas.openxmlformats.org/officeDocument/2006/relationships/externalLinkPath" Target="AM%20Energy%20and%20Carbon%20Impacts%20Assessment%20Tool%20-%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Acknowledgements"/>
      <sheetName val="Overview"/>
      <sheetName val="Intro - Start Here"/>
      <sheetName val="Product or Project Details"/>
      <sheetName val="CM Calculator (BL)"/>
      <sheetName val="AM Calculator (BL)"/>
      <sheetName val="AM Calculator (Alt)"/>
      <sheetName val="Results"/>
      <sheetName val="Databases &gt;"/>
      <sheetName val="Material EE"/>
      <sheetName val="Form EE"/>
      <sheetName val="Conventional Manuf. EE"/>
      <sheetName val="Freight or Transportation"/>
      <sheetName val="Use Phase"/>
      <sheetName val="Applications"/>
      <sheetName val="Recycling - End of Life"/>
      <sheetName val="HIDE - Lists &amp; Lookups"/>
      <sheetName val="HIDE - Post-processing"/>
      <sheetName val="HIDE - Tooling"/>
      <sheetName val="HIDE - EoL"/>
      <sheetName val="References"/>
    </sheetNames>
    <sheetDataSet>
      <sheetData sheetId="0" refreshError="1"/>
      <sheetData sheetId="1" refreshError="1"/>
      <sheetData sheetId="2" refreshError="1"/>
      <sheetData sheetId="3">
        <row r="15">
          <cell r="C15" t="str">
            <v>U.S.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
          <cell r="A4" t="str">
            <v>Select</v>
          </cell>
        </row>
        <row r="5">
          <cell r="A5" t="str">
            <v>Ocean shipping - Diesel</v>
          </cell>
        </row>
        <row r="6">
          <cell r="A6" t="str">
            <v>Coastal shipping - Diesel</v>
          </cell>
        </row>
        <row r="7">
          <cell r="A7" t="str">
            <v>Barge - Diesel</v>
          </cell>
        </row>
        <row r="8">
          <cell r="A8" t="str">
            <v>Rail - Diesel</v>
          </cell>
        </row>
        <row r="9">
          <cell r="A9" t="str">
            <v>Articulated HGV (up to 55 metric tons) - Diesel</v>
          </cell>
        </row>
        <row r="10">
          <cell r="A10" t="str">
            <v>Articulated truck</v>
          </cell>
        </row>
        <row r="11">
          <cell r="A11" t="str">
            <v>40 metric ton truck - Diesel</v>
          </cell>
        </row>
        <row r="12">
          <cell r="A12" t="str">
            <v>32 metric ton truck - Diesel</v>
          </cell>
        </row>
        <row r="13">
          <cell r="A13" t="str">
            <v>14 metric ton truck - Diesel</v>
          </cell>
        </row>
        <row r="14">
          <cell r="A14" t="str">
            <v>Light goods vehicle - Diesel</v>
          </cell>
        </row>
        <row r="15">
          <cell r="A15" t="str">
            <v>Family car - Diesel</v>
          </cell>
        </row>
        <row r="16">
          <cell r="A16" t="str">
            <v>Family car - Gasoline</v>
          </cell>
        </row>
        <row r="17">
          <cell r="A17" t="str">
            <v>Family car - LPG</v>
          </cell>
        </row>
        <row r="18">
          <cell r="A18" t="str">
            <v>Family car - Hybrid gasoline-electric</v>
          </cell>
        </row>
        <row r="19">
          <cell r="A19" t="str">
            <v>Electric vehicles</v>
          </cell>
        </row>
        <row r="20">
          <cell r="A20" t="str">
            <v>Super sports car and SUV - Gasoline</v>
          </cell>
        </row>
        <row r="21">
          <cell r="A21" t="str">
            <v>Airplanes (average)</v>
          </cell>
        </row>
        <row r="22">
          <cell r="A22" t="str">
            <v>Long haul aircraft - Kerosene</v>
          </cell>
        </row>
        <row r="23">
          <cell r="A23" t="str">
            <v>Short haul aircraft - Kerosene</v>
          </cell>
        </row>
        <row r="24">
          <cell r="A24" t="str">
            <v>Helicopter (Eurocopter AS 350) - Kerosene</v>
          </cell>
        </row>
        <row r="25">
          <cell r="A25" t="str">
            <v>Spacecraft</v>
          </cell>
        </row>
      </sheetData>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persons/person.xml><?xml version="1.0" encoding="utf-8"?>
<personList xmlns="http://schemas.microsoft.com/office/spreadsheetml/2018/threadedcomments" xmlns:x="http://schemas.openxmlformats.org/spreadsheetml/2006/main">
  <person displayName="Kamath, Dipti" id="{7EF77E73-9CF4-4C52-8A6D-B30AFE605577}" userId="S::9dx@ornl.gov::044f0a04-f213-4a7d-90f8-0232161acdb4" providerId="AD"/>
  <person displayName="Armstrong, Kristina" id="{AED01DEF-BCF5-40A9-B5E4-EF5D5E17904D}" userId="S::ak1@ornl.gov::071fd653-140b-4f68-b4a5-2354f6abbc7e" providerId="AD"/>
</personList>
</file>

<file path=xl/theme/theme1.xml><?xml version="1.0" encoding="utf-8"?>
<a:theme xmlns:a="http://schemas.openxmlformats.org/drawingml/2006/main" name="Office Theme">
  <a:themeElements>
    <a:clrScheme name="Custom 8">
      <a:dk1>
        <a:sysClr val="windowText" lastClr="000000"/>
      </a:dk1>
      <a:lt1>
        <a:sysClr val="window" lastClr="FFFFFF"/>
      </a:lt1>
      <a:dk2>
        <a:srgbClr val="007833"/>
      </a:dk2>
      <a:lt2>
        <a:srgbClr val="EEECE1"/>
      </a:lt2>
      <a:accent1>
        <a:srgbClr val="FECB00"/>
      </a:accent1>
      <a:accent2>
        <a:srgbClr val="84B641"/>
      </a:accent2>
      <a:accent3>
        <a:srgbClr val="5091CD"/>
      </a:accent3>
      <a:accent4>
        <a:srgbClr val="88332E"/>
      </a:accent4>
      <a:accent5>
        <a:srgbClr val="DE762D"/>
      </a:accent5>
      <a:accent6>
        <a:srgbClr val="1A9D96"/>
      </a:accent6>
      <a:hlink>
        <a:srgbClr val="0000FF"/>
      </a:hlink>
      <a:folHlink>
        <a:srgbClr val="62003F"/>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42" dT="2022-10-10T17:31:01.27" personId="{7EF77E73-9CF4-4C52-8A6D-B30AFE605577}" id="{D8307675-87A9-463D-905B-E54749DC9A19}">
    <text>https://deepblue.lib.umich.edu/bitstream/handle/2027.42/154985/London%20Michael%20Thesis.pdf?sequence=1</text>
  </threadedComment>
  <threadedComment ref="C43" dT="2022-10-10T17:28:15.41" personId="{7EF77E73-9CF4-4C52-8A6D-B30AFE605577}" id="{86EB79F8-E4CF-43A6-BA3E-7A0474948D55}">
    <text>Only raw material EE</text>
  </threadedComment>
  <threadedComment ref="D43" dT="2022-10-10T17:29:08.60" personId="{7EF77E73-9CF4-4C52-8A6D-B30AFE605577}" id="{DF0A0CF9-50F9-4AAD-A560-A52BEA4E05E7}">
    <text>Includes both raw material and production of a specific tool</text>
  </threadedComment>
  <threadedComment ref="F43" dT="2022-10-10T17:28:26.82" personId="{7EF77E73-9CF4-4C52-8A6D-B30AFE605577}" id="{C778093C-C8D5-430C-967C-372026A8E142}">
    <text>Only raw material EC</text>
  </threadedComment>
  <threadedComment ref="G43" dT="2022-10-10T17:29:13.89" personId="{7EF77E73-9CF4-4C52-8A6D-B30AFE605577}" id="{1D382CB6-ABCB-4E69-BB5A-73F147436431}">
    <text>Includes both raw material and production of a specific tool</text>
  </threadedComment>
  <threadedComment ref="I43" dT="2022-10-10T17:22:34.89" personId="{7EF77E73-9CF4-4C52-8A6D-B30AFE605577}" id="{C074F532-9E7F-412B-90FF-8F7C85D84F46}">
    <text>https://pdf.sciencedirectassets.com/282173/1-s2.0-S2212827122X00024/1-s2.0-S2212827122001251/main.pdf?X-Amz-Security-Token=IQoJb3JpZ2luX2VjEJn%2F%2F%2F%2F%2F%2F%2F%2F%2F%2FwEaCXVzLWVhc3QtMSJHMEUCIAtpoH%2Bc7jkfRCNzcxwGk6qyFdqj61gu3%2F7d8QQ6FiWMAiEA1wFxfdk%2Fjbja4eeMjXUtXlxAfuN9ed6icO3MJDXHwtAqzAQIYhAFGgwwNTkwMDM1NDY4NjUiDHcsF4MIVuwf4HQAyCqpBNCL79fAhNOSB3PrZv3NolSLhS7Z11nxtkzWBvpO3ehqCArX5KSftxBtKHt%2FVy7Hw0AoWMQt3i3VW8t1EsUt4cviB6ThYiUnTt8XoV59S%2FrNU6HPCyfnJQ2bwraBdvhTlfrEKxNrrOEEZdf0X8de4COd912WpmTSyjlfV1OdCJaobDKpunNfrT2oql57NWzOANrt6Ur5oomUPkztNZqZlp6t3rHXgggIjpuWLqecfMGr9c1%2FBkAoRgLWvsrcTbxMp%2BITfjHwMVnSlGwF5w37ldD1ehI7jUA%2FHg0GyX4%2BD2Jj8vkACUlfOBtecDxc5nzbn0C7rZlRZd0BqfOGwogt8hNZqSKnrhf3bkbapt%2FUhmHQbjbnuSqEShtGUpSCjzcvX5Qum3kddvA1%2BPKRE3%2FOWndhCDfXbG5cjOi%2FpwTxpsMt5cv4lslin0kwYz43sfRTWab8p7T%2FwqnuwOKndXgXApb7NPUeAzAJ%2FehLVqa%2F8UGYulxFaDiujthbpRWFcnX5PuRrh%2B%2BeJUJO6YOkgAmJUh%2Fck%2BuNM%2FYQwB%2Bw45tq3l9F9cG1Vnm6%2B5tvjUAVsUVO%2FUpO%2BoULLEyg8jVe%2BwKXKpHLnKorCStnpYn4gyU%2BT%2ByESK%2B5Y3X2iJ26PW7T0AwRX8jasRQ%2BlXtUuZff9c5jwYRbVsftOHnGEKhl1saUEkyWY9j1jQ54th3mWdN5QHFZhlHhujbcLcZv7nQFjvaMcMtoVdA%2Bt3cGamUwiqGRmgY6qQFxFkrZfXiDDdQtnWlVlJcFrr%2B%2B9Fy1cnhIsgG71aL2A57hNnNmuqixNxWJr8zeudnQlvDK9Kaz3a4PYCbMI9O7PjMpzkPLVxyvWe2LwRe47ofd2P0XfYo%2FNmTTG6ocwWTyw0hAW%2Bd33JjCr9Qlb03n3tp6VQrKO9dse8TcQFqNILhYY6AaX%2F8GIeMjp9%2B23NaDtJy0BH6DhP4%2BADIjV4UrCXKh9%2F925VYT&amp;X-Amz-Algorithm=AWS4-HMAC-SHA256&amp;X-Amz-Date=20221010T171352Z&amp;X-Amz-SignedHeaders=host&amp;X-Amz-Expires=300&amp;X-Amz-Credential=ASIAQ3PHCVTYV4VW3D5J%2F20221010%2Fus-east-1%2Fs3%2Faws4_request&amp;X-Amz-Signature=eaadd8e850aff04d5f300e1994e5e5cb7623cea9b1f63b080929501db7db15b7&amp;hash=371aa8c860d265301cf89fc6157dfe0384ea15f0da60b0c6cd84a00a187f6c3b&amp;host=68042c943591013ac2b2430a89b270f6af2c76d8dfd086a07176afe7c76c2c61&amp;pii=S2212827122001251&amp;tid=spdf-f71bbbb0-9c08-4c22-a610-c454f587e19f&amp;sid=78b4334b5628d14b0f688c70c38ad655f739gxrqa&amp;type=client&amp;ua=515756560905525e5201&amp;rr=7580fd300b1d6fbf</text>
  </threadedComment>
  <threadedComment ref="I46" dT="2022-10-03T16:42:59.18" personId="{7EF77E73-9CF4-4C52-8A6D-B30AFE605577}" id="{36D19EBF-51F7-490A-BED0-26847110795A}">
    <text>https://doi.org/10.1016/j.jclepro.2018.10.272
Fig 2</text>
  </threadedComment>
  <threadedComment ref="I49" dT="2022-10-03T14:58:32.55" personId="{7EF77E73-9CF4-4C52-8A6D-B30AFE605577}" id="{9AAC69AD-0EFC-456D-BCC9-6B8321FF78A2}">
    <text>silicon carbide production | silicon carbide | APOS, U RoW</text>
  </threadedComment>
  <threadedComment ref="I50" dT="2022-10-03T15:54:14.09" personId="{7EF77E73-9CF4-4C52-8A6D-B30AFE605577}" id="{B76907B7-A95F-44AE-921C-4D2FAC72F920}">
    <text>boron carbide production | boron carbide | APOS, U GLO</text>
  </threadedComment>
  <threadedComment ref="I55" dT="2022-10-03T16:57:53.26" personId="{7EF77E73-9CF4-4C52-8A6D-B30AFE605577}" id="{89AF1850-3729-4907-8B69-0595B7E3925A}">
    <text>petroleum refinery operation | light fuel oil | APOS, U RoW</text>
  </threadedComment>
</ThreadedComments>
</file>

<file path=xl/threadedComments/threadedComment2.xml><?xml version="1.0" encoding="utf-8"?>
<ThreadedComments xmlns="http://schemas.microsoft.com/office/spreadsheetml/2018/threadedcomments" xmlns:x="http://schemas.openxmlformats.org/spreadsheetml/2006/main">
  <threadedComment ref="A4" dT="2022-09-09T21:18:55.47" personId="{7EF77E73-9CF4-4C52-8A6D-B30AFE605577}" id="{D47DC411-DB3A-4AF4-B8CB-B050FF88E899}">
    <text>process-specific burdens production, inert material landfill | process-specific burdens, inert material landfill | APOS, U RoW</text>
  </threadedComment>
  <threadedComment ref="A5" dT="2022-09-09T21:59:06.83" personId="{7EF77E73-9CF4-4C52-8A6D-B30AFE605577}" id="{6A0F69EF-58BA-4152-B5BF-1A15416D4AA7}">
    <text>process-specific burdens, slag landfill | process-specific burdens, slag landfill | APOS, U RoW</text>
  </threadedComment>
  <threadedComment ref="A6" dT="2022-09-09T22:12:01.86" personId="{7EF77E73-9CF4-4C52-8A6D-B30AFE605577}" id="{C6707502-8801-430E-B24C-10B36F9407D4}">
    <text>process-specific burden, sanitary landfill | process-specific burden, sanitary landfill | APOS, U RoW</text>
  </threadedComment>
  <threadedComment ref="A7" dT="2022-09-09T22:25:17.40" personId="{7EF77E73-9CF4-4C52-8A6D-B30AFE605577}" id="{DEF150E3-55A7-411E-BA52-651FB55E1C37}">
    <text>process-specific burdens, residual material landfill | process-specific burdens, residual material landfill | APOS, U RoW</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2-09-28T17:45:18.73" personId="{AED01DEF-BCF5-40A9-B5E4-EF5D5E17904D}" id="{F328A2B2-CF7D-4F43-9ABD-49414E09A8D9}">
    <text>884 lb/MWh --&gt; MWh/1000kWh * kg/2.2lb</text>
  </threadedComment>
</ThreadedComments>
</file>

<file path=xl/threadedComments/threadedComment4.xml><?xml version="1.0" encoding="utf-8"?>
<ThreadedComments xmlns="http://schemas.microsoft.com/office/spreadsheetml/2018/threadedcomments" xmlns:x="http://schemas.openxmlformats.org/spreadsheetml/2006/main">
  <threadedComment ref="R14" dT="2022-09-09T21:18:55.47" personId="{7EF77E73-9CF4-4C52-8A6D-B30AFE605577}" id="{5806FDBA-7ACA-4083-8319-AB72DFCC446A}">
    <text>process-specific burdens production, inert material landfill | process-specific burdens, inert material landfill | APOS, U RoW</text>
  </threadedComment>
  <threadedComment ref="R15" dT="2022-09-09T21:59:06.83" personId="{7EF77E73-9CF4-4C52-8A6D-B30AFE605577}" id="{9EF1583A-8604-4A09-BDC5-950BB2CB0ABD}">
    <text>process-specific burdens, slag landfill | process-specific burdens, slag landfill | APOS, U RoW</text>
  </threadedComment>
  <threadedComment ref="R16" dT="2022-09-09T22:12:01.86" personId="{7EF77E73-9CF4-4C52-8A6D-B30AFE605577}" id="{EDD9B06F-6A73-4EC8-97FF-4A4FB74E8674}">
    <text>process-specific burden, sanitary landfill | process-specific burden, sanitary landfill | APOS, U RoW</text>
  </threadedComment>
  <threadedComment ref="R17" dT="2022-09-09T22:25:17.40" personId="{7EF77E73-9CF4-4C52-8A6D-B30AFE605577}" id="{7DBF373B-80D1-47DA-92A5-7826F3F7B2A0}">
    <text>process-specific burdens, residual material landfill | process-specific burdens, residual material landfill | APOS, U RoW</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9.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8.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14.bin"/><Relationship Id="rId4" Type="http://schemas.microsoft.com/office/2017/10/relationships/threadedComment" Target="../threadedComments/threadedComment3.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5.bin"/><Relationship Id="rId4" Type="http://schemas.microsoft.com/office/2017/10/relationships/threadedComment" Target="../threadedComments/threadedComment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tabColor theme="4"/>
  </sheetPr>
  <dimension ref="A1:C11"/>
  <sheetViews>
    <sheetView tabSelected="1" zoomScaleNormal="100" workbookViewId="0">
      <selection activeCell="C5" sqref="C5"/>
    </sheetView>
  </sheetViews>
  <sheetFormatPr defaultColWidth="0" defaultRowHeight="14" zeroHeight="1" x14ac:dyDescent="0.3"/>
  <cols>
    <col min="1" max="1" width="10.7265625" style="105" customWidth="1"/>
    <col min="2" max="2" width="110.7265625" style="105" customWidth="1"/>
    <col min="3" max="3" width="10.7265625" style="105" customWidth="1"/>
    <col min="4" max="16384" width="9.1796875" style="105" hidden="1"/>
  </cols>
  <sheetData>
    <row r="1" spans="1:3" s="108" customFormat="1" ht="90" customHeight="1" x14ac:dyDescent="0.35">
      <c r="A1" s="195"/>
      <c r="B1" s="196" t="s">
        <v>957</v>
      </c>
      <c r="C1" s="194"/>
    </row>
    <row r="2" spans="1:3" ht="20.149999999999999" customHeight="1" thickBot="1" x14ac:dyDescent="0.35"/>
    <row r="3" spans="1:3" ht="20.149999999999999" customHeight="1" thickBot="1" x14ac:dyDescent="0.45">
      <c r="B3" s="175" t="s">
        <v>257</v>
      </c>
    </row>
    <row r="4" spans="1:3" ht="20.149999999999999" customHeight="1" x14ac:dyDescent="0.35">
      <c r="B4" s="176"/>
      <c r="C4" s="25"/>
    </row>
    <row r="5" spans="1:3" ht="190" customHeight="1" x14ac:dyDescent="0.35">
      <c r="B5" s="177" t="s">
        <v>958</v>
      </c>
      <c r="C5" s="25"/>
    </row>
    <row r="6" spans="1:3" ht="20.149999999999999" customHeight="1" thickBot="1" x14ac:dyDescent="0.4">
      <c r="B6" s="178"/>
      <c r="C6" s="25"/>
    </row>
    <row r="7" spans="1:3" ht="20.149999999999999" customHeight="1" thickBot="1" x14ac:dyDescent="0.4">
      <c r="C7" s="25"/>
    </row>
    <row r="8" spans="1:3" ht="20.149999999999999" customHeight="1" x14ac:dyDescent="0.35">
      <c r="B8" s="176"/>
      <c r="C8" s="25"/>
    </row>
    <row r="9" spans="1:3" ht="50.15" customHeight="1" x14ac:dyDescent="0.35">
      <c r="B9" s="177" t="s">
        <v>931</v>
      </c>
      <c r="C9" s="25"/>
    </row>
    <row r="10" spans="1:3" ht="20.149999999999999" customHeight="1" thickBot="1" x14ac:dyDescent="0.4">
      <c r="B10" s="179"/>
      <c r="C10" s="25"/>
    </row>
    <row r="11" spans="1:3" ht="20.149999999999999" customHeight="1" x14ac:dyDescent="0.35">
      <c r="C11" s="25"/>
    </row>
  </sheetData>
  <sheetProtection algorithmName="SHA-512" hashValue="n1nEFaTGHd9HiSRnVD1AC2zatKSfIkEaCq0FcAYo/7jQUySgLO9nkhbbym/kr8ubFK/cg40mI1TewbRHqBfzSg==" saltValue="T9kSqhJwEwS96kCmk1H06g==" spinCount="100000" sheet="1" objects="1" scenario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1AA-C951-4C4F-A491-F87034A68DA2}">
  <sheetPr codeName="Sheet16">
    <tabColor theme="3"/>
  </sheetPr>
  <dimension ref="A1:E30"/>
  <sheetViews>
    <sheetView zoomScaleNormal="100" workbookViewId="0">
      <selection activeCell="D16" sqref="D16"/>
    </sheetView>
  </sheetViews>
  <sheetFormatPr defaultColWidth="0" defaultRowHeight="20.149999999999999" customHeight="1" zeroHeight="1" x14ac:dyDescent="0.35"/>
  <cols>
    <col min="1" max="1" width="10.7265625" customWidth="1"/>
    <col min="2" max="2" width="30.7265625" customWidth="1"/>
    <col min="3" max="3" width="10.7265625" customWidth="1"/>
    <col min="4" max="4" width="69.7265625" customWidth="1"/>
    <col min="5" max="5" width="10.7265625" customWidth="1"/>
    <col min="6" max="16384" width="9.1796875" hidden="1"/>
  </cols>
  <sheetData>
    <row r="1" spans="1:5" s="104" customFormat="1" ht="90" customHeight="1" x14ac:dyDescent="0.35">
      <c r="A1" s="193"/>
      <c r="B1" s="409" t="s">
        <v>957</v>
      </c>
      <c r="C1" s="409"/>
      <c r="D1" s="409"/>
      <c r="E1" s="194"/>
    </row>
    <row r="2" spans="1:5" s="25" customFormat="1" ht="20.149999999999999" customHeight="1" x14ac:dyDescent="0.35">
      <c r="A2" s="105"/>
      <c r="B2" s="105"/>
      <c r="C2" s="105"/>
      <c r="D2" s="105"/>
      <c r="E2" s="105"/>
    </row>
    <row r="3" spans="1:5" s="25" customFormat="1" ht="20.149999999999999" customHeight="1" x14ac:dyDescent="0.35">
      <c r="A3" s="105"/>
      <c r="E3" s="105"/>
    </row>
    <row r="4" spans="1:5" s="25" customFormat="1" ht="20.149999999999999" customHeight="1" x14ac:dyDescent="0.35">
      <c r="A4" s="105"/>
      <c r="B4" s="106" t="s">
        <v>933</v>
      </c>
      <c r="C4" s="105"/>
      <c r="D4" s="106" t="s">
        <v>937</v>
      </c>
      <c r="E4" s="105"/>
    </row>
    <row r="5" spans="1:5" s="25" customFormat="1" ht="20.149999999999999" customHeight="1" x14ac:dyDescent="0.35">
      <c r="A5" s="105"/>
      <c r="B5" s="105" t="s">
        <v>935</v>
      </c>
      <c r="C5" s="105"/>
      <c r="D5" s="105" t="s">
        <v>942</v>
      </c>
      <c r="E5" s="105"/>
    </row>
    <row r="6" spans="1:5" s="25" customFormat="1" ht="20.149999999999999" customHeight="1" x14ac:dyDescent="0.35">
      <c r="A6" s="105"/>
      <c r="B6" s="105" t="s">
        <v>939</v>
      </c>
      <c r="C6" s="105"/>
      <c r="D6" s="105"/>
      <c r="E6" s="105"/>
    </row>
    <row r="7" spans="1:5" s="25" customFormat="1" ht="20.149999999999999" customHeight="1" x14ac:dyDescent="0.35">
      <c r="A7" s="105"/>
      <c r="B7" s="105" t="s">
        <v>940</v>
      </c>
      <c r="C7" s="105"/>
      <c r="D7" s="105"/>
      <c r="E7" s="105"/>
    </row>
    <row r="8" spans="1:5" s="25" customFormat="1" ht="20.149999999999999" customHeight="1" x14ac:dyDescent="0.35">
      <c r="A8" s="105"/>
      <c r="B8" s="105" t="s">
        <v>934</v>
      </c>
      <c r="C8" s="105"/>
      <c r="D8" s="105"/>
      <c r="E8" s="105"/>
    </row>
    <row r="9" spans="1:5" s="25" customFormat="1" ht="20.149999999999999" customHeight="1" x14ac:dyDescent="0.35">
      <c r="A9" s="105"/>
      <c r="B9" s="105"/>
      <c r="C9" s="105"/>
      <c r="D9" s="105"/>
      <c r="E9" s="105"/>
    </row>
    <row r="10" spans="1:5" s="25" customFormat="1" ht="20.149999999999999" customHeight="1" x14ac:dyDescent="0.35">
      <c r="A10" s="105"/>
      <c r="B10" s="105"/>
      <c r="C10" s="105"/>
      <c r="D10" s="107"/>
      <c r="E10" s="105"/>
    </row>
    <row r="11" spans="1:5" s="25" customFormat="1" ht="20.149999999999999" customHeight="1" x14ac:dyDescent="0.35">
      <c r="A11" s="105"/>
      <c r="B11" s="105"/>
      <c r="C11" s="105"/>
      <c r="D11" s="105"/>
      <c r="E11" s="105"/>
    </row>
    <row r="12" spans="1:5" s="25" customFormat="1" ht="20.149999999999999" customHeight="1" x14ac:dyDescent="0.35">
      <c r="A12" s="105"/>
      <c r="B12" s="106" t="s">
        <v>936</v>
      </c>
      <c r="C12" s="105"/>
      <c r="D12" s="105"/>
      <c r="E12" s="105"/>
    </row>
    <row r="13" spans="1:5" s="25" customFormat="1" ht="20.149999999999999" customHeight="1" x14ac:dyDescent="0.35">
      <c r="A13" s="105"/>
      <c r="B13" s="105" t="s">
        <v>938</v>
      </c>
      <c r="C13" s="105"/>
      <c r="D13" s="105"/>
      <c r="E13" s="105"/>
    </row>
    <row r="14" spans="1:5" s="25" customFormat="1" ht="20.149999999999999" customHeight="1" x14ac:dyDescent="0.35">
      <c r="A14" s="105"/>
      <c r="B14" s="105" t="s">
        <v>941</v>
      </c>
      <c r="C14" s="105"/>
      <c r="D14" s="105"/>
      <c r="E14" s="105"/>
    </row>
    <row r="15" spans="1:5" s="25" customFormat="1" ht="20.149999999999999" customHeight="1" x14ac:dyDescent="0.35">
      <c r="A15" s="105"/>
      <c r="B15" s="105" t="s">
        <v>943</v>
      </c>
      <c r="C15" s="105"/>
      <c r="D15" s="105"/>
      <c r="E15" s="105"/>
    </row>
    <row r="16" spans="1:5" s="25" customFormat="1" ht="20.149999999999999" customHeight="1" x14ac:dyDescent="0.35">
      <c r="A16" s="105"/>
      <c r="B16" s="105" t="s">
        <v>944</v>
      </c>
      <c r="C16" s="105"/>
      <c r="D16" s="105"/>
      <c r="E16" s="105"/>
    </row>
    <row r="17" spans="1:5" s="25" customFormat="1" ht="20.149999999999999" customHeight="1" x14ac:dyDescent="0.35">
      <c r="A17" s="105"/>
      <c r="B17" s="105" t="s">
        <v>945</v>
      </c>
      <c r="C17" s="105"/>
      <c r="D17" s="105"/>
      <c r="E17" s="105"/>
    </row>
    <row r="18" spans="1:5" s="25" customFormat="1" ht="20.149999999999999" customHeight="1" x14ac:dyDescent="0.35">
      <c r="A18" s="105"/>
      <c r="E18" s="105"/>
    </row>
    <row r="19" spans="1:5" s="25" customFormat="1" ht="20.149999999999999" customHeight="1" x14ac:dyDescent="0.35">
      <c r="A19" s="105"/>
      <c r="B19" s="105"/>
      <c r="C19" s="105"/>
      <c r="D19" s="105"/>
      <c r="E19" s="105"/>
    </row>
    <row r="20" spans="1:5" s="25" customFormat="1" ht="20.149999999999999" customHeight="1" x14ac:dyDescent="0.35">
      <c r="A20" s="105"/>
      <c r="B20" s="105"/>
      <c r="C20" s="105"/>
      <c r="D20" s="105"/>
      <c r="E20" s="105"/>
    </row>
    <row r="21" spans="1:5" s="25" customFormat="1" ht="20.149999999999999" customHeight="1" x14ac:dyDescent="0.35">
      <c r="A21" s="105"/>
      <c r="B21" s="105"/>
      <c r="C21" s="105"/>
      <c r="D21" s="105"/>
      <c r="E21" s="105"/>
    </row>
    <row r="22" spans="1:5" s="25" customFormat="1" ht="20.149999999999999" hidden="1" customHeight="1" x14ac:dyDescent="0.35">
      <c r="A22" s="105"/>
      <c r="B22" s="105"/>
      <c r="C22" s="105"/>
      <c r="D22" s="105"/>
      <c r="E22" s="105"/>
    </row>
    <row r="23" spans="1:5" s="25" customFormat="1" ht="20.149999999999999" hidden="1" customHeight="1" x14ac:dyDescent="0.35">
      <c r="A23" s="105"/>
      <c r="B23" s="105"/>
      <c r="C23" s="105"/>
      <c r="D23" s="105"/>
      <c r="E23" s="105"/>
    </row>
    <row r="24" spans="1:5" s="25" customFormat="1" ht="20.149999999999999" hidden="1" customHeight="1" x14ac:dyDescent="0.35">
      <c r="A24" s="105"/>
      <c r="B24" s="105"/>
      <c r="C24" s="105"/>
      <c r="D24" s="105"/>
      <c r="E24" s="105"/>
    </row>
    <row r="25" spans="1:5" s="25" customFormat="1" ht="20.149999999999999" hidden="1" customHeight="1" x14ac:dyDescent="0.35">
      <c r="A25" s="105"/>
      <c r="B25" s="105"/>
      <c r="C25" s="105"/>
      <c r="D25" s="105"/>
      <c r="E25" s="105"/>
    </row>
    <row r="26" spans="1:5" s="25" customFormat="1" ht="20.149999999999999" hidden="1" customHeight="1" x14ac:dyDescent="0.35">
      <c r="A26" s="105"/>
      <c r="B26" s="105"/>
      <c r="C26" s="105"/>
      <c r="D26" s="105"/>
      <c r="E26" s="105"/>
    </row>
    <row r="27" spans="1:5" s="25" customFormat="1" ht="20.149999999999999" hidden="1" customHeight="1" x14ac:dyDescent="0.35"/>
    <row r="28" spans="1:5" s="25" customFormat="1" ht="20.149999999999999" hidden="1" customHeight="1" x14ac:dyDescent="0.35"/>
    <row r="29" spans="1:5" s="25" customFormat="1" ht="20.149999999999999" hidden="1" customHeight="1" x14ac:dyDescent="0.35"/>
    <row r="30" spans="1:5" s="25" customFormat="1" ht="20.149999999999999" hidden="1" customHeight="1" x14ac:dyDescent="0.35"/>
  </sheetData>
  <sheetProtection algorithmName="SHA-512" hashValue="ugRZ4X5HJtvsgnGWJSQlYkWOnZkDJ5kNgWOb0qQ73ydbX0byWuenz8ZJ/5ZQrAO2c+Aedd84yOV2zl/wcG0gKw==" saltValue="Ki/utvGqk5pexgBLByff4Q==" spinCount="100000" sheet="1" objects="1" scenarios="1"/>
  <mergeCells count="1">
    <mergeCell ref="B1:D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C3DF2-B6B6-40B6-9203-A9C9774819E3}">
  <sheetPr codeName="Sheet24">
    <tabColor theme="3"/>
  </sheetPr>
  <dimension ref="A1:F53"/>
  <sheetViews>
    <sheetView zoomScale="60" zoomScaleNormal="100" workbookViewId="0">
      <selection activeCell="E39" sqref="E39"/>
    </sheetView>
  </sheetViews>
  <sheetFormatPr defaultColWidth="0" defaultRowHeight="18" customHeight="1" zeroHeight="1" x14ac:dyDescent="0.3"/>
  <cols>
    <col min="1" max="1" width="3.26953125" style="105" customWidth="1"/>
    <col min="2" max="2" width="83.7265625" style="105" customWidth="1"/>
    <col min="3" max="4" width="3.26953125" style="105" customWidth="1"/>
    <col min="5" max="5" width="83.7265625" style="105" customWidth="1"/>
    <col min="6" max="6" width="3.26953125" style="105" customWidth="1"/>
    <col min="7" max="16384" width="12.7265625" style="105" hidden="1"/>
  </cols>
  <sheetData>
    <row r="1" spans="1:6" s="109" customFormat="1" ht="54" customHeight="1" x14ac:dyDescent="0.3">
      <c r="A1" s="197"/>
      <c r="B1" s="197"/>
      <c r="C1" s="197"/>
      <c r="D1" s="197"/>
      <c r="E1" s="197"/>
      <c r="F1" s="197"/>
    </row>
    <row r="2" spans="1:6" ht="18" customHeight="1" x14ac:dyDescent="0.3"/>
    <row r="3" spans="1:6" ht="18" customHeight="1" thickBot="1" x14ac:dyDescent="0.4">
      <c r="B3" s="198" t="s">
        <v>947</v>
      </c>
      <c r="E3" s="198" t="s">
        <v>72</v>
      </c>
    </row>
    <row r="4" spans="1:6" ht="18" customHeight="1" thickTop="1" x14ac:dyDescent="0.3">
      <c r="B4" s="186"/>
      <c r="E4" s="186"/>
    </row>
    <row r="5" spans="1:6" ht="18" customHeight="1" x14ac:dyDescent="0.3"/>
    <row r="6" spans="1:6" ht="18" customHeight="1" x14ac:dyDescent="0.3"/>
    <row r="7" spans="1:6" ht="18" customHeight="1" x14ac:dyDescent="0.3"/>
    <row r="8" spans="1:6" ht="18" customHeight="1" x14ac:dyDescent="0.3">
      <c r="B8" s="108"/>
      <c r="E8" s="108"/>
    </row>
    <row r="9" spans="1:6" ht="18" customHeight="1" x14ac:dyDescent="0.3"/>
    <row r="10" spans="1:6" ht="18" customHeight="1" x14ac:dyDescent="0.3"/>
    <row r="11" spans="1:6" ht="18" customHeight="1" x14ac:dyDescent="0.3"/>
    <row r="12" spans="1:6" ht="18" customHeight="1" x14ac:dyDescent="0.3">
      <c r="B12" s="187"/>
      <c r="E12" s="187"/>
    </row>
    <row r="13" spans="1:6" ht="18" customHeight="1" x14ac:dyDescent="0.3"/>
    <row r="14" spans="1:6" ht="18" customHeight="1" x14ac:dyDescent="0.3"/>
    <row r="15" spans="1:6" ht="18" customHeight="1" x14ac:dyDescent="0.3"/>
    <row r="16" spans="1:6" ht="18" customHeight="1" x14ac:dyDescent="0.3"/>
    <row r="17" spans="2:5" ht="18" customHeight="1" x14ac:dyDescent="0.3"/>
    <row r="18" spans="2:5" ht="18" customHeight="1" x14ac:dyDescent="0.3"/>
    <row r="19" spans="2:5" ht="18" customHeight="1" thickBot="1" x14ac:dyDescent="0.4">
      <c r="B19" s="198" t="s">
        <v>946</v>
      </c>
      <c r="E19" s="198" t="s">
        <v>950</v>
      </c>
    </row>
    <row r="20" spans="2:5" ht="18" customHeight="1" thickTop="1" x14ac:dyDescent="0.3">
      <c r="B20" s="187"/>
    </row>
    <row r="21" spans="2:5" ht="18" customHeight="1" x14ac:dyDescent="0.3"/>
    <row r="22" spans="2:5" ht="18" customHeight="1" x14ac:dyDescent="0.3"/>
    <row r="23" spans="2:5" ht="18" customHeight="1" x14ac:dyDescent="0.3"/>
    <row r="24" spans="2:5" ht="18" customHeight="1" x14ac:dyDescent="0.3"/>
    <row r="25" spans="2:5" ht="18" customHeight="1" x14ac:dyDescent="0.3"/>
    <row r="26" spans="2:5" ht="18" customHeight="1" x14ac:dyDescent="0.3"/>
    <row r="27" spans="2:5" ht="18" customHeight="1" x14ac:dyDescent="0.3">
      <c r="B27" s="187"/>
      <c r="E27" s="187"/>
    </row>
    <row r="28" spans="2:5" ht="18" customHeight="1" x14ac:dyDescent="0.3"/>
    <row r="29" spans="2:5" ht="18" customHeight="1" x14ac:dyDescent="0.3"/>
    <row r="30" spans="2:5" ht="18" customHeight="1" x14ac:dyDescent="0.3"/>
    <row r="31" spans="2:5" ht="18" customHeight="1" x14ac:dyDescent="0.3"/>
    <row r="32" spans="2:5" ht="18" customHeight="1" x14ac:dyDescent="0.3"/>
    <row r="33" spans="1:6" ht="18" customHeight="1" x14ac:dyDescent="0.3"/>
    <row r="34" spans="1:6" ht="18" customHeight="1" x14ac:dyDescent="0.3"/>
    <row r="35" spans="1:6" ht="18" customHeight="1" x14ac:dyDescent="0.3"/>
    <row r="36" spans="1:6" ht="18" customHeight="1" x14ac:dyDescent="0.3"/>
    <row r="37" spans="1:6" ht="18" customHeight="1" x14ac:dyDescent="0.3"/>
    <row r="38" spans="1:6" ht="18" customHeight="1" thickBot="1" x14ac:dyDescent="0.35">
      <c r="B38" s="188"/>
      <c r="C38" s="188"/>
      <c r="D38" s="188"/>
      <c r="E38" s="188"/>
    </row>
    <row r="39" spans="1:6" ht="18" customHeight="1" thickTop="1" thickBot="1" x14ac:dyDescent="0.35"/>
    <row r="40" spans="1:6" ht="37.5" customHeight="1" thickBot="1" x14ac:dyDescent="0.35">
      <c r="B40" s="412" t="s">
        <v>328</v>
      </c>
      <c r="C40" s="413"/>
      <c r="D40" s="413"/>
      <c r="E40" s="414"/>
    </row>
    <row r="41" spans="1:6" ht="18" customHeight="1" thickBot="1" x14ac:dyDescent="0.35">
      <c r="E41" s="189"/>
    </row>
    <row r="42" spans="1:6" s="109" customFormat="1" ht="18" customHeight="1" thickBot="1" x14ac:dyDescent="0.35">
      <c r="A42" s="105"/>
      <c r="B42" s="110" t="s">
        <v>71</v>
      </c>
      <c r="C42" s="415" t="s">
        <v>213</v>
      </c>
      <c r="D42" s="415"/>
      <c r="E42" s="416"/>
      <c r="F42" s="105"/>
    </row>
    <row r="43" spans="1:6" ht="105.75" customHeight="1" x14ac:dyDescent="0.3">
      <c r="B43" s="190" t="s">
        <v>72</v>
      </c>
      <c r="C43" s="417" t="s">
        <v>258</v>
      </c>
      <c r="D43" s="417"/>
      <c r="E43" s="418"/>
    </row>
    <row r="44" spans="1:6" ht="78.75" customHeight="1" x14ac:dyDescent="0.3">
      <c r="B44" s="191" t="s">
        <v>73</v>
      </c>
      <c r="C44" s="419" t="s">
        <v>259</v>
      </c>
      <c r="D44" s="419"/>
      <c r="E44" s="420"/>
    </row>
    <row r="45" spans="1:6" ht="42" customHeight="1" x14ac:dyDescent="0.3">
      <c r="B45" s="191" t="s">
        <v>58</v>
      </c>
      <c r="C45" s="419" t="s">
        <v>948</v>
      </c>
      <c r="D45" s="419"/>
      <c r="E45" s="420"/>
    </row>
    <row r="46" spans="1:6" ht="48" customHeight="1" x14ac:dyDescent="0.3">
      <c r="B46" s="191" t="s">
        <v>74</v>
      </c>
      <c r="C46" s="419" t="s">
        <v>289</v>
      </c>
      <c r="D46" s="419"/>
      <c r="E46" s="420"/>
    </row>
    <row r="47" spans="1:6" ht="121.5" customHeight="1" x14ac:dyDescent="0.3">
      <c r="B47" s="191" t="s">
        <v>75</v>
      </c>
      <c r="C47" s="419" t="s">
        <v>260</v>
      </c>
      <c r="D47" s="419"/>
      <c r="E47" s="420"/>
    </row>
    <row r="48" spans="1:6" ht="51" customHeight="1" x14ac:dyDescent="0.3">
      <c r="B48" s="191" t="s">
        <v>949</v>
      </c>
      <c r="C48" s="419" t="s">
        <v>77</v>
      </c>
      <c r="D48" s="419"/>
      <c r="E48" s="420"/>
    </row>
    <row r="49" spans="2:5" ht="57" customHeight="1" x14ac:dyDescent="0.3">
      <c r="B49" s="191" t="s">
        <v>76</v>
      </c>
      <c r="C49" s="419" t="s">
        <v>261</v>
      </c>
      <c r="D49" s="419"/>
      <c r="E49" s="420"/>
    </row>
    <row r="50" spans="2:5" ht="42" customHeight="1" x14ac:dyDescent="0.3">
      <c r="B50" s="191" t="s">
        <v>281</v>
      </c>
      <c r="C50" s="419" t="s">
        <v>262</v>
      </c>
      <c r="D50" s="419"/>
      <c r="E50" s="420"/>
    </row>
    <row r="51" spans="2:5" ht="94.5" customHeight="1" x14ac:dyDescent="0.3">
      <c r="B51" s="191" t="s">
        <v>214</v>
      </c>
      <c r="C51" s="419" t="s">
        <v>263</v>
      </c>
      <c r="D51" s="419"/>
      <c r="E51" s="420"/>
    </row>
    <row r="52" spans="2:5" ht="18.75" customHeight="1" thickBot="1" x14ac:dyDescent="0.35">
      <c r="B52" s="192"/>
      <c r="C52" s="410"/>
      <c r="D52" s="410"/>
      <c r="E52" s="411"/>
    </row>
    <row r="53" spans="2:5" ht="18" customHeight="1" x14ac:dyDescent="0.3"/>
  </sheetData>
  <sheetProtection algorithmName="SHA-512" hashValue="vM4bX8kHJfu4bbtvaLFZ/u7eUZgZZwBgTFkYl6WS4ry3RpHdXtT26LnyHfWJMwHHx2WdEHTb1oNwKHGCBOiW5A==" saltValue="HQIKKSI6/60V3T5YjI5JjA==" spinCount="100000" sheet="1" objects="1" scenarios="1"/>
  <mergeCells count="12">
    <mergeCell ref="C52:E52"/>
    <mergeCell ref="B40:E40"/>
    <mergeCell ref="C42:E42"/>
    <mergeCell ref="C43:E43"/>
    <mergeCell ref="C44:E44"/>
    <mergeCell ref="C45:E45"/>
    <mergeCell ref="C46:E46"/>
    <mergeCell ref="C47:E47"/>
    <mergeCell ref="C48:E48"/>
    <mergeCell ref="C49:E49"/>
    <mergeCell ref="C50:E50"/>
    <mergeCell ref="C51:E51"/>
  </mergeCell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8"/>
  </sheetPr>
  <dimension ref="A1:S43"/>
  <sheetViews>
    <sheetView zoomScale="70" zoomScaleNormal="70" workbookViewId="0">
      <selection activeCell="C14" sqref="C14"/>
    </sheetView>
  </sheetViews>
  <sheetFormatPr defaultColWidth="0" defaultRowHeight="0" customHeight="1" zeroHeight="1" x14ac:dyDescent="0.3"/>
  <cols>
    <col min="1" max="3" width="25.7265625" style="109" customWidth="1"/>
    <col min="4" max="4" width="50.7265625" style="109" customWidth="1"/>
    <col min="5" max="5" width="10.7265625" style="109" customWidth="1"/>
    <col min="6" max="6" width="125.7265625" style="109" customWidth="1"/>
    <col min="7" max="7" width="10.7265625" style="109" customWidth="1"/>
    <col min="8" max="16384" width="9.1796875" style="109" hidden="1"/>
  </cols>
  <sheetData>
    <row r="1" spans="1:19" s="111" customFormat="1" ht="90" customHeight="1" thickBot="1" x14ac:dyDescent="0.4">
      <c r="A1" s="199" t="s">
        <v>932</v>
      </c>
      <c r="B1" s="200"/>
      <c r="C1" s="199"/>
      <c r="D1" s="199"/>
      <c r="E1" s="201"/>
      <c r="F1" s="201"/>
      <c r="G1" s="201"/>
      <c r="H1" s="153"/>
      <c r="I1" s="153"/>
      <c r="J1" s="153"/>
      <c r="K1" s="153"/>
      <c r="L1" s="153"/>
      <c r="M1" s="153"/>
      <c r="N1" s="153"/>
      <c r="O1" s="153"/>
      <c r="P1" s="153"/>
      <c r="Q1" s="153"/>
      <c r="R1" s="153"/>
      <c r="S1" s="153"/>
    </row>
    <row r="2" spans="1:19" ht="20.149999999999999" customHeight="1" thickBot="1" x14ac:dyDescent="0.35">
      <c r="A2" s="433" t="s">
        <v>888</v>
      </c>
      <c r="B2" s="434"/>
      <c r="C2" s="434"/>
      <c r="D2" s="435"/>
      <c r="E2" s="105"/>
      <c r="F2" s="105"/>
      <c r="G2" s="105"/>
      <c r="H2" s="105"/>
      <c r="I2" s="105"/>
      <c r="J2" s="105"/>
      <c r="K2" s="105"/>
      <c r="L2" s="105"/>
      <c r="M2" s="105"/>
      <c r="N2" s="105"/>
      <c r="O2" s="105"/>
      <c r="P2" s="105"/>
      <c r="Q2" s="105"/>
      <c r="R2" s="105"/>
      <c r="S2" s="105"/>
    </row>
    <row r="3" spans="1:19" ht="20.149999999999999" customHeight="1" x14ac:dyDescent="0.3">
      <c r="A3" s="216"/>
      <c r="B3" s="217"/>
      <c r="C3" s="218"/>
      <c r="D3" s="219"/>
      <c r="E3" s="105"/>
      <c r="F3" s="105"/>
      <c r="G3" s="105"/>
      <c r="H3" s="105"/>
      <c r="I3" s="105"/>
      <c r="J3" s="105"/>
      <c r="K3" s="105"/>
      <c r="L3" s="105"/>
      <c r="M3" s="105"/>
      <c r="N3" s="105"/>
      <c r="O3" s="105"/>
      <c r="P3" s="105"/>
      <c r="Q3" s="105"/>
      <c r="R3" s="105"/>
      <c r="S3" s="105"/>
    </row>
    <row r="4" spans="1:19" ht="20.149999999999999" customHeight="1" x14ac:dyDescent="0.3">
      <c r="A4" s="430" t="s">
        <v>967</v>
      </c>
      <c r="B4" s="431"/>
      <c r="C4" s="431"/>
      <c r="D4" s="432"/>
      <c r="E4" s="105"/>
      <c r="F4" s="105"/>
      <c r="G4" s="105"/>
      <c r="H4" s="105"/>
      <c r="I4" s="105"/>
      <c r="J4" s="105"/>
      <c r="K4" s="105"/>
      <c r="L4" s="105"/>
      <c r="M4" s="105"/>
      <c r="N4" s="105"/>
      <c r="O4" s="105"/>
      <c r="P4" s="105"/>
      <c r="Q4" s="105"/>
      <c r="R4" s="105"/>
      <c r="S4" s="105"/>
    </row>
    <row r="5" spans="1:19" ht="20.149999999999999" customHeight="1" x14ac:dyDescent="0.3">
      <c r="A5" s="430"/>
      <c r="B5" s="431"/>
      <c r="C5" s="431"/>
      <c r="D5" s="432"/>
      <c r="E5" s="105"/>
      <c r="F5" s="105"/>
      <c r="G5" s="105"/>
      <c r="H5" s="105"/>
      <c r="I5" s="105"/>
      <c r="J5" s="105"/>
      <c r="K5" s="105"/>
      <c r="L5" s="105"/>
      <c r="M5" s="105"/>
      <c r="N5" s="105"/>
      <c r="O5" s="105"/>
      <c r="P5" s="105"/>
      <c r="Q5" s="105"/>
      <c r="R5" s="105"/>
      <c r="S5" s="105"/>
    </row>
    <row r="6" spans="1:19" ht="20.149999999999999" customHeight="1" x14ac:dyDescent="0.3">
      <c r="A6" s="220"/>
      <c r="B6" s="221"/>
      <c r="C6" s="221"/>
      <c r="D6" s="189"/>
      <c r="E6" s="105"/>
      <c r="F6" s="105"/>
      <c r="G6" s="105"/>
      <c r="H6" s="105"/>
      <c r="I6" s="105"/>
      <c r="J6" s="105"/>
      <c r="K6" s="105"/>
      <c r="L6" s="105"/>
      <c r="M6" s="105"/>
      <c r="N6" s="105"/>
      <c r="O6" s="105"/>
      <c r="P6" s="105"/>
      <c r="Q6" s="105"/>
      <c r="R6" s="105"/>
      <c r="S6" s="105"/>
    </row>
    <row r="7" spans="1:19" ht="20.149999999999999" customHeight="1" x14ac:dyDescent="0.3">
      <c r="A7" s="222"/>
      <c r="B7" s="223" t="s">
        <v>636</v>
      </c>
      <c r="C7" s="224"/>
      <c r="D7" s="225" t="s">
        <v>887</v>
      </c>
      <c r="E7" s="105"/>
      <c r="F7" s="105"/>
      <c r="G7" s="105"/>
      <c r="H7" s="105"/>
      <c r="I7" s="105"/>
      <c r="J7" s="105"/>
      <c r="K7" s="105"/>
      <c r="L7" s="105"/>
      <c r="M7" s="105"/>
      <c r="N7" s="105"/>
      <c r="O7" s="105"/>
      <c r="P7" s="105"/>
      <c r="Q7" s="105"/>
      <c r="R7" s="105"/>
      <c r="S7" s="105"/>
    </row>
    <row r="8" spans="1:19" ht="20.149999999999999" customHeight="1" x14ac:dyDescent="0.3">
      <c r="A8" s="226"/>
      <c r="B8" s="227" t="s">
        <v>635</v>
      </c>
      <c r="C8" s="228"/>
      <c r="D8" s="225" t="s">
        <v>746</v>
      </c>
      <c r="E8" s="105"/>
      <c r="F8" s="105"/>
      <c r="G8" s="105"/>
      <c r="H8" s="105"/>
      <c r="I8" s="105"/>
      <c r="J8" s="105"/>
      <c r="K8" s="105"/>
      <c r="L8" s="105"/>
      <c r="M8" s="105"/>
      <c r="N8" s="105"/>
      <c r="O8" s="105"/>
      <c r="P8" s="105"/>
      <c r="Q8" s="105"/>
      <c r="R8" s="105"/>
      <c r="S8" s="105"/>
    </row>
    <row r="9" spans="1:19" ht="20.149999999999999" customHeight="1" x14ac:dyDescent="0.3">
      <c r="A9" s="229"/>
      <c r="B9" s="230" t="s">
        <v>332</v>
      </c>
      <c r="C9" s="221"/>
      <c r="D9" s="189"/>
      <c r="E9" s="105"/>
      <c r="F9" s="105"/>
      <c r="G9" s="105"/>
      <c r="H9" s="105"/>
      <c r="I9" s="105"/>
      <c r="J9" s="105"/>
      <c r="K9" s="105"/>
      <c r="L9" s="105"/>
      <c r="M9" s="105"/>
      <c r="N9" s="105"/>
      <c r="O9" s="105"/>
      <c r="P9" s="105"/>
      <c r="Q9" s="105"/>
      <c r="R9" s="105"/>
      <c r="S9" s="105"/>
    </row>
    <row r="10" spans="1:19" ht="20.149999999999999" customHeight="1" thickBot="1" x14ac:dyDescent="0.35">
      <c r="A10" s="231"/>
      <c r="B10" s="232"/>
      <c r="C10" s="232"/>
      <c r="D10" s="233"/>
      <c r="E10" s="105"/>
      <c r="F10" s="105"/>
      <c r="G10" s="105"/>
      <c r="H10" s="105"/>
      <c r="I10" s="105"/>
      <c r="J10" s="105"/>
      <c r="K10" s="105"/>
      <c r="L10" s="105"/>
      <c r="M10" s="105"/>
      <c r="N10" s="105"/>
      <c r="O10" s="105"/>
      <c r="P10" s="105"/>
      <c r="Q10" s="105"/>
      <c r="R10" s="105"/>
      <c r="S10" s="105"/>
    </row>
    <row r="11" spans="1:19" ht="20.149999999999999" customHeight="1" x14ac:dyDescent="0.3">
      <c r="A11" s="436" t="s">
        <v>282</v>
      </c>
      <c r="B11" s="437"/>
      <c r="C11" s="437"/>
      <c r="D11" s="438"/>
      <c r="E11" s="105"/>
      <c r="F11" s="105"/>
      <c r="G11" s="105"/>
      <c r="H11" s="105"/>
      <c r="I11" s="105"/>
      <c r="J11" s="105"/>
      <c r="K11" s="105"/>
      <c r="L11" s="105"/>
      <c r="M11" s="105"/>
      <c r="N11" s="105"/>
      <c r="O11" s="105"/>
      <c r="P11" s="105"/>
      <c r="Q11" s="105"/>
      <c r="R11" s="105"/>
      <c r="S11" s="105"/>
    </row>
    <row r="12" spans="1:19" ht="20.149999999999999" customHeight="1" x14ac:dyDescent="0.3">
      <c r="A12" s="105" t="s">
        <v>255</v>
      </c>
      <c r="B12" s="105"/>
      <c r="C12" s="105"/>
      <c r="D12" s="189"/>
      <c r="E12" s="105"/>
      <c r="F12" s="105"/>
      <c r="G12" s="105"/>
      <c r="H12" s="105"/>
      <c r="I12" s="105"/>
      <c r="J12" s="105"/>
      <c r="K12" s="105"/>
      <c r="L12" s="105"/>
      <c r="M12" s="105"/>
      <c r="N12" s="105"/>
      <c r="O12" s="105"/>
      <c r="P12" s="105"/>
      <c r="Q12" s="105"/>
      <c r="R12" s="105"/>
      <c r="S12" s="105"/>
    </row>
    <row r="13" spans="1:19" ht="20.149999999999999" customHeight="1" x14ac:dyDescent="0.3">
      <c r="A13" s="105"/>
      <c r="B13" s="105"/>
      <c r="C13" s="105"/>
      <c r="D13" s="189"/>
      <c r="E13" s="105"/>
      <c r="F13" s="105"/>
      <c r="G13" s="105"/>
      <c r="H13" s="105"/>
      <c r="I13" s="105"/>
      <c r="J13" s="105"/>
      <c r="K13" s="105"/>
      <c r="L13" s="105"/>
      <c r="M13" s="105"/>
      <c r="N13" s="105"/>
      <c r="O13" s="105"/>
      <c r="P13" s="105"/>
      <c r="Q13" s="105"/>
      <c r="R13" s="105"/>
      <c r="S13" s="105"/>
    </row>
    <row r="14" spans="1:19" ht="20.149999999999999" customHeight="1" x14ac:dyDescent="0.3">
      <c r="A14" s="428" t="s">
        <v>251</v>
      </c>
      <c r="B14" s="429"/>
      <c r="C14" s="234" t="s">
        <v>951</v>
      </c>
      <c r="D14" s="189"/>
      <c r="E14" s="105"/>
      <c r="F14" s="105"/>
      <c r="G14" s="105"/>
      <c r="H14" s="105"/>
      <c r="I14" s="105"/>
      <c r="J14" s="105"/>
      <c r="K14" s="105"/>
      <c r="L14" s="105"/>
      <c r="M14" s="105"/>
      <c r="N14" s="105"/>
      <c r="O14" s="105"/>
      <c r="P14" s="105"/>
      <c r="Q14" s="105"/>
      <c r="R14" s="105"/>
      <c r="S14" s="105"/>
    </row>
    <row r="15" spans="1:19" ht="20.149999999999999" customHeight="1" x14ac:dyDescent="0.3">
      <c r="A15" s="428" t="s">
        <v>578</v>
      </c>
      <c r="B15" s="429"/>
      <c r="C15" s="234" t="s">
        <v>739</v>
      </c>
      <c r="D15" s="189"/>
      <c r="E15" s="105"/>
      <c r="F15" s="105"/>
      <c r="G15" s="105"/>
      <c r="H15" s="105"/>
      <c r="I15" s="105"/>
      <c r="J15" s="105"/>
      <c r="K15" s="105"/>
      <c r="L15" s="105"/>
      <c r="M15" s="105"/>
      <c r="N15" s="105"/>
      <c r="O15" s="105"/>
      <c r="P15" s="105"/>
      <c r="Q15" s="105"/>
      <c r="R15" s="105"/>
      <c r="S15" s="105"/>
    </row>
    <row r="16" spans="1:19" ht="20.149999999999999" customHeight="1" thickBot="1" x14ac:dyDescent="0.35">
      <c r="A16" s="105"/>
      <c r="B16" s="105"/>
      <c r="C16" s="105"/>
      <c r="D16" s="189"/>
      <c r="E16" s="105"/>
      <c r="F16" s="105"/>
      <c r="G16" s="105"/>
      <c r="H16" s="105"/>
      <c r="I16" s="105"/>
      <c r="J16" s="105"/>
      <c r="K16" s="105"/>
      <c r="L16" s="105"/>
      <c r="M16" s="105"/>
      <c r="N16" s="105"/>
      <c r="O16" s="105"/>
      <c r="P16" s="105"/>
      <c r="Q16" s="105"/>
      <c r="R16" s="105"/>
      <c r="S16" s="105"/>
    </row>
    <row r="17" spans="1:19" ht="30" customHeight="1" thickBot="1" x14ac:dyDescent="0.35">
      <c r="A17" s="235" t="s">
        <v>247</v>
      </c>
      <c r="B17" s="424" t="s">
        <v>248</v>
      </c>
      <c r="C17" s="424"/>
      <c r="D17" s="236" t="s">
        <v>249</v>
      </c>
      <c r="E17" s="105"/>
      <c r="F17" s="105"/>
      <c r="G17" s="105"/>
      <c r="H17" s="105"/>
      <c r="I17" s="105"/>
      <c r="J17" s="105"/>
      <c r="K17" s="105"/>
      <c r="L17" s="105"/>
      <c r="M17" s="105"/>
      <c r="N17" s="105"/>
      <c r="O17" s="105"/>
      <c r="P17" s="105"/>
      <c r="Q17" s="105"/>
      <c r="R17" s="105"/>
      <c r="S17" s="105"/>
    </row>
    <row r="18" spans="1:19" ht="50.15" customHeight="1" x14ac:dyDescent="0.3">
      <c r="A18" s="237" t="s">
        <v>951</v>
      </c>
      <c r="B18" s="425" t="s">
        <v>264</v>
      </c>
      <c r="C18" s="425"/>
      <c r="D18" s="238" t="s">
        <v>959</v>
      </c>
      <c r="E18" s="105"/>
      <c r="F18" s="105"/>
      <c r="G18" s="105"/>
      <c r="H18" s="105"/>
      <c r="I18" s="105"/>
      <c r="J18" s="105"/>
      <c r="K18" s="105"/>
      <c r="L18" s="105"/>
      <c r="M18" s="105"/>
      <c r="N18" s="105"/>
      <c r="O18" s="105"/>
      <c r="P18" s="105"/>
      <c r="Q18" s="105"/>
      <c r="R18" s="105"/>
      <c r="S18" s="105"/>
    </row>
    <row r="19" spans="1:19" ht="50.15" customHeight="1" x14ac:dyDescent="0.3">
      <c r="A19" s="421" t="s">
        <v>952</v>
      </c>
      <c r="B19" s="426" t="s">
        <v>265</v>
      </c>
      <c r="C19" s="426"/>
      <c r="D19" s="239" t="s">
        <v>960</v>
      </c>
      <c r="E19" s="105"/>
      <c r="F19" s="105"/>
      <c r="G19" s="105"/>
      <c r="H19" s="105"/>
      <c r="I19" s="105"/>
      <c r="J19" s="105"/>
      <c r="K19" s="105"/>
      <c r="L19" s="105"/>
      <c r="M19" s="105"/>
      <c r="N19" s="105"/>
      <c r="O19" s="105"/>
      <c r="P19" s="105"/>
      <c r="Q19" s="105"/>
      <c r="R19" s="105"/>
      <c r="S19" s="105"/>
    </row>
    <row r="20" spans="1:19" ht="50.15" customHeight="1" x14ac:dyDescent="0.3">
      <c r="A20" s="422"/>
      <c r="B20" s="426" t="s">
        <v>250</v>
      </c>
      <c r="C20" s="426"/>
      <c r="D20" s="239" t="s">
        <v>960</v>
      </c>
      <c r="E20" s="105"/>
      <c r="F20" s="105"/>
      <c r="G20" s="105"/>
      <c r="H20" s="105"/>
      <c r="I20" s="105"/>
      <c r="J20" s="105"/>
      <c r="K20" s="105"/>
      <c r="L20" s="105"/>
      <c r="M20" s="105"/>
      <c r="N20" s="105"/>
      <c r="O20" s="105"/>
      <c r="P20" s="105"/>
      <c r="Q20" s="105"/>
      <c r="R20" s="105"/>
      <c r="S20" s="105"/>
    </row>
    <row r="21" spans="1:19" ht="50.15" customHeight="1" thickBot="1" x14ac:dyDescent="0.35">
      <c r="A21" s="423"/>
      <c r="B21" s="427" t="s">
        <v>266</v>
      </c>
      <c r="C21" s="427"/>
      <c r="D21" s="240" t="s">
        <v>960</v>
      </c>
      <c r="E21" s="105"/>
      <c r="F21" s="105"/>
      <c r="G21" s="105"/>
      <c r="H21" s="105"/>
      <c r="I21" s="105"/>
      <c r="J21" s="105"/>
      <c r="K21" s="105"/>
      <c r="L21" s="105"/>
      <c r="M21" s="105"/>
      <c r="N21" s="105"/>
      <c r="O21" s="105"/>
      <c r="P21" s="105"/>
      <c r="Q21" s="105"/>
      <c r="R21" s="105"/>
      <c r="S21" s="105"/>
    </row>
    <row r="22" spans="1:19" ht="20.149999999999999" customHeight="1" x14ac:dyDescent="0.3">
      <c r="A22" s="105"/>
      <c r="B22" s="105"/>
      <c r="C22" s="105"/>
      <c r="D22" s="218"/>
      <c r="E22" s="105"/>
      <c r="F22" s="105"/>
      <c r="G22" s="105"/>
      <c r="H22" s="105"/>
      <c r="I22" s="105"/>
      <c r="J22" s="105"/>
      <c r="K22" s="105"/>
      <c r="L22" s="105"/>
      <c r="M22" s="105"/>
      <c r="N22" s="105"/>
      <c r="O22" s="105"/>
      <c r="P22" s="105"/>
      <c r="Q22" s="105"/>
      <c r="R22" s="105"/>
      <c r="S22" s="105"/>
    </row>
    <row r="23" spans="1:19" ht="20.149999999999999" hidden="1" customHeight="1" x14ac:dyDescent="0.3">
      <c r="A23" s="105"/>
      <c r="B23" s="105"/>
      <c r="C23" s="105"/>
      <c r="D23" s="105"/>
      <c r="E23" s="105"/>
      <c r="F23" s="105"/>
      <c r="G23" s="105"/>
      <c r="H23" s="105"/>
      <c r="I23" s="105"/>
      <c r="J23" s="105"/>
      <c r="K23" s="105"/>
      <c r="L23" s="105"/>
      <c r="M23" s="105"/>
      <c r="N23" s="105"/>
      <c r="O23" s="105"/>
      <c r="P23" s="105"/>
      <c r="Q23" s="105"/>
      <c r="R23" s="105"/>
      <c r="S23" s="105"/>
    </row>
    <row r="24" spans="1:19" ht="20.149999999999999" hidden="1" customHeight="1" x14ac:dyDescent="0.3">
      <c r="A24" s="105"/>
      <c r="B24" s="105"/>
      <c r="C24" s="105"/>
      <c r="D24" s="105"/>
      <c r="E24" s="105"/>
      <c r="F24" s="105"/>
      <c r="G24" s="105"/>
      <c r="H24" s="105"/>
      <c r="I24" s="105"/>
      <c r="J24" s="105"/>
      <c r="K24" s="105"/>
      <c r="L24" s="105"/>
      <c r="M24" s="105"/>
      <c r="N24" s="105"/>
      <c r="O24" s="105"/>
      <c r="P24" s="105"/>
      <c r="Q24" s="105"/>
      <c r="R24" s="105"/>
      <c r="S24" s="105"/>
    </row>
    <row r="25" spans="1:19" ht="20.149999999999999" hidden="1" customHeight="1" x14ac:dyDescent="0.3"/>
    <row r="26" spans="1:19" ht="20.149999999999999" hidden="1" customHeight="1" x14ac:dyDescent="0.3"/>
    <row r="27" spans="1:19" ht="20.149999999999999" hidden="1" customHeight="1" x14ac:dyDescent="0.3"/>
    <row r="28" spans="1:19" ht="20.149999999999999" hidden="1" customHeight="1" x14ac:dyDescent="0.3"/>
    <row r="29" spans="1:19" ht="20.149999999999999" hidden="1" customHeight="1" x14ac:dyDescent="0.3"/>
    <row r="30" spans="1:19" ht="20.149999999999999" hidden="1" customHeight="1" x14ac:dyDescent="0.3"/>
    <row r="31" spans="1:19" ht="20.149999999999999" hidden="1" customHeight="1" x14ac:dyDescent="0.3"/>
    <row r="32" spans="1:19" ht="20.149999999999999" hidden="1" customHeight="1" x14ac:dyDescent="0.3"/>
    <row r="33" spans="1:1" ht="20.149999999999999" hidden="1" customHeight="1" x14ac:dyDescent="0.3"/>
    <row r="34" spans="1:1" ht="20.149999999999999" hidden="1" customHeight="1" x14ac:dyDescent="0.3"/>
    <row r="35" spans="1:1" ht="20.149999999999999" hidden="1" customHeight="1" x14ac:dyDescent="0.3"/>
    <row r="36" spans="1:1" ht="20.149999999999999" hidden="1" customHeight="1" x14ac:dyDescent="0.3"/>
    <row r="37" spans="1:1" ht="20.149999999999999" hidden="1" customHeight="1" x14ac:dyDescent="0.3">
      <c r="A37" s="241"/>
    </row>
    <row r="38" spans="1:1" ht="20.149999999999999" hidden="1" customHeight="1" x14ac:dyDescent="0.3"/>
    <row r="39" spans="1:1" ht="20.149999999999999" hidden="1" customHeight="1" x14ac:dyDescent="0.3"/>
    <row r="40" spans="1:1" ht="20.149999999999999" hidden="1" customHeight="1" x14ac:dyDescent="0.3"/>
    <row r="41" spans="1:1" ht="20.149999999999999" hidden="1" customHeight="1" x14ac:dyDescent="0.3"/>
    <row r="42" spans="1:1" ht="20.149999999999999" hidden="1" customHeight="1" x14ac:dyDescent="0.3"/>
    <row r="43" spans="1:1" ht="20.149999999999999" hidden="1" customHeight="1" x14ac:dyDescent="0.3"/>
  </sheetData>
  <sheetProtection algorithmName="SHA-512" hashValue="hrogfS0mfxm+36yngpOG7M633eX81XdKj5q6nMUhREvdNP/KUr+v5JoQSgQQaku4brdeK2G4H4YrQa7Xyy8AHg==" saltValue="BXU88dUxWaWhVglUpHU71Q==" spinCount="100000" sheet="1" objects="1" scenarios="1"/>
  <mergeCells count="11">
    <mergeCell ref="A14:B14"/>
    <mergeCell ref="A4:D5"/>
    <mergeCell ref="A2:D2"/>
    <mergeCell ref="A11:D11"/>
    <mergeCell ref="A15:B15"/>
    <mergeCell ref="A19:A21"/>
    <mergeCell ref="B17:C17"/>
    <mergeCell ref="B18:C18"/>
    <mergeCell ref="B19:C19"/>
    <mergeCell ref="B20:C20"/>
    <mergeCell ref="B21:C21"/>
  </mergeCells>
  <dataValidations count="2">
    <dataValidation type="list" allowBlank="1" showInputMessage="1" showErrorMessage="1" sqref="C15" xr:uid="{1A6F9B04-444F-4820-9722-E02D9A092A6B}">
      <formula1>"U.S., Metric"</formula1>
    </dataValidation>
    <dataValidation type="list" allowBlank="1" showInputMessage="1" showErrorMessage="1" sqref="C14" xr:uid="{00000000-0002-0000-0100-000000000000}">
      <formula1>"CM/AM, AM/AM"</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9"/>
  </sheetPr>
  <dimension ref="A1:S29"/>
  <sheetViews>
    <sheetView zoomScaleNormal="100" workbookViewId="0">
      <selection activeCell="D9" sqref="D9"/>
    </sheetView>
  </sheetViews>
  <sheetFormatPr defaultColWidth="0" defaultRowHeight="0" customHeight="1" zeroHeight="1" x14ac:dyDescent="0.3"/>
  <cols>
    <col min="1" max="1" width="10.7265625" style="151" customWidth="1"/>
    <col min="2" max="2" width="25.7265625" style="151" customWidth="1"/>
    <col min="3" max="3" width="15.7265625" style="151" customWidth="1"/>
    <col min="4" max="4" width="40.7265625" style="151" customWidth="1"/>
    <col min="5" max="5" width="30.7265625" style="151" customWidth="1"/>
    <col min="6" max="6" width="5.7265625" style="151" customWidth="1"/>
    <col min="7" max="7" width="100.7265625" style="151" customWidth="1"/>
    <col min="8" max="8" width="5.7265625" style="151" customWidth="1"/>
    <col min="9" max="19" width="0" style="151" hidden="1" customWidth="1"/>
    <col min="20" max="16384" width="9.1796875" style="151" hidden="1"/>
  </cols>
  <sheetData>
    <row r="1" spans="1:8" s="242" customFormat="1" ht="90" customHeight="1" x14ac:dyDescent="0.35">
      <c r="A1" s="202" t="s">
        <v>932</v>
      </c>
      <c r="B1" s="203"/>
      <c r="C1" s="204"/>
      <c r="D1" s="204"/>
      <c r="E1" s="204"/>
      <c r="F1" s="204"/>
      <c r="G1" s="204"/>
      <c r="H1" s="203"/>
    </row>
    <row r="2" spans="1:8" s="242" customFormat="1" ht="40" customHeight="1" x14ac:dyDescent="0.35">
      <c r="A2" s="150" t="s">
        <v>115</v>
      </c>
      <c r="B2" s="150" t="s">
        <v>112</v>
      </c>
      <c r="C2" s="150" t="s">
        <v>2</v>
      </c>
      <c r="D2" s="150" t="s">
        <v>4</v>
      </c>
      <c r="E2" s="150" t="s">
        <v>111</v>
      </c>
      <c r="F2" s="243"/>
      <c r="G2" s="215" t="s">
        <v>232</v>
      </c>
      <c r="H2" s="243"/>
    </row>
    <row r="3" spans="1:8" s="242" customFormat="1" ht="40" customHeight="1" x14ac:dyDescent="0.35">
      <c r="A3" s="439" t="s">
        <v>117</v>
      </c>
      <c r="B3" s="209" t="s">
        <v>0</v>
      </c>
      <c r="C3" s="209" t="s">
        <v>113</v>
      </c>
      <c r="D3" s="207" t="s">
        <v>962</v>
      </c>
      <c r="E3" s="209" t="s">
        <v>210</v>
      </c>
      <c r="F3" s="243"/>
      <c r="G3" s="244"/>
      <c r="H3" s="243"/>
    </row>
    <row r="4" spans="1:8" s="242" customFormat="1" ht="60" customHeight="1" x14ac:dyDescent="0.35">
      <c r="A4" s="439"/>
      <c r="B4" s="209" t="s">
        <v>1</v>
      </c>
      <c r="C4" s="209" t="s">
        <v>116</v>
      </c>
      <c r="D4" s="207" t="s">
        <v>1</v>
      </c>
      <c r="E4" s="209" t="s">
        <v>211</v>
      </c>
      <c r="F4" s="243"/>
      <c r="G4" s="244"/>
      <c r="H4" s="243"/>
    </row>
    <row r="5" spans="1:8" ht="40" customHeight="1" x14ac:dyDescent="0.3">
      <c r="A5" s="439" t="s">
        <v>218</v>
      </c>
      <c r="B5" s="209" t="s">
        <v>219</v>
      </c>
      <c r="C5" s="209" t="s">
        <v>226</v>
      </c>
      <c r="D5" s="207"/>
      <c r="E5" s="209" t="s">
        <v>221</v>
      </c>
      <c r="F5" s="245"/>
      <c r="G5" s="244"/>
      <c r="H5" s="245"/>
    </row>
    <row r="6" spans="1:8" ht="40" customHeight="1" x14ac:dyDescent="0.3">
      <c r="A6" s="439"/>
      <c r="B6" s="209" t="s">
        <v>220</v>
      </c>
      <c r="C6" s="209" t="s">
        <v>225</v>
      </c>
      <c r="D6" s="208">
        <f ca="1">TODAY()</f>
        <v>45488</v>
      </c>
      <c r="E6" s="209" t="s">
        <v>222</v>
      </c>
      <c r="F6" s="245"/>
      <c r="G6" s="244"/>
      <c r="H6" s="245"/>
    </row>
    <row r="7" spans="1:8" ht="40" customHeight="1" x14ac:dyDescent="0.3">
      <c r="A7" s="439"/>
      <c r="B7" s="209" t="s">
        <v>113</v>
      </c>
      <c r="C7" s="209" t="s">
        <v>224</v>
      </c>
      <c r="D7" s="207"/>
      <c r="E7" s="209" t="s">
        <v>223</v>
      </c>
      <c r="F7" s="245"/>
      <c r="G7" s="244"/>
      <c r="H7" s="245"/>
    </row>
    <row r="8" spans="1:8" ht="20.149999999999999" customHeight="1" x14ac:dyDescent="0.35">
      <c r="A8" s="210"/>
      <c r="B8" s="211"/>
      <c r="C8" s="210"/>
      <c r="D8" s="210"/>
      <c r="E8" s="210"/>
      <c r="F8" s="245"/>
      <c r="G8" s="244"/>
      <c r="H8" s="245"/>
    </row>
    <row r="9" spans="1:8" ht="20.149999999999999" customHeight="1" x14ac:dyDescent="0.3">
      <c r="A9" s="105"/>
      <c r="B9" s="105"/>
      <c r="C9" s="210"/>
      <c r="D9" s="210"/>
      <c r="E9" s="210"/>
      <c r="F9" s="245"/>
      <c r="G9" s="244"/>
      <c r="H9" s="245"/>
    </row>
    <row r="10" spans="1:8" ht="20.149999999999999" customHeight="1" x14ac:dyDescent="0.3">
      <c r="A10" s="105"/>
      <c r="B10" s="105"/>
      <c r="C10" s="210"/>
      <c r="D10" s="210"/>
      <c r="E10" s="210"/>
      <c r="F10" s="245"/>
      <c r="G10" s="244"/>
      <c r="H10" s="245"/>
    </row>
    <row r="11" spans="1:8" ht="20.149999999999999" customHeight="1" x14ac:dyDescent="0.3">
      <c r="A11" s="210"/>
      <c r="B11" s="210"/>
      <c r="C11" s="210"/>
      <c r="D11" s="210"/>
      <c r="E11" s="210"/>
      <c r="F11" s="245"/>
      <c r="G11" s="244"/>
      <c r="H11" s="245"/>
    </row>
    <row r="12" spans="1:8" ht="20.149999999999999" customHeight="1" x14ac:dyDescent="0.35">
      <c r="A12" s="212" t="s">
        <v>230</v>
      </c>
      <c r="B12" s="213"/>
      <c r="C12" s="213"/>
      <c r="D12" s="213"/>
      <c r="E12" s="210"/>
      <c r="F12" s="245"/>
      <c r="G12" s="244"/>
      <c r="H12" s="245"/>
    </row>
    <row r="13" spans="1:8" ht="20.149999999999999" customHeight="1" x14ac:dyDescent="0.3">
      <c r="A13" s="213"/>
      <c r="B13" s="214"/>
      <c r="C13" s="213"/>
      <c r="D13" s="213"/>
      <c r="E13" s="210"/>
      <c r="F13" s="245"/>
      <c r="G13" s="244"/>
      <c r="H13" s="245"/>
    </row>
    <row r="14" spans="1:8" ht="20.149999999999999" customHeight="1" x14ac:dyDescent="0.3">
      <c r="A14" s="213"/>
      <c r="B14" s="214" t="s">
        <v>216</v>
      </c>
      <c r="C14" s="213"/>
      <c r="D14" s="213"/>
      <c r="E14" s="210"/>
      <c r="F14" s="245"/>
      <c r="G14" s="244"/>
      <c r="H14" s="245"/>
    </row>
    <row r="15" spans="1:8" ht="20.149999999999999" customHeight="1" x14ac:dyDescent="0.3">
      <c r="A15" s="213"/>
      <c r="B15" s="214" t="s">
        <v>267</v>
      </c>
      <c r="C15" s="213"/>
      <c r="D15" s="213"/>
      <c r="E15" s="210"/>
      <c r="F15" s="245"/>
      <c r="G15" s="244"/>
      <c r="H15" s="245"/>
    </row>
    <row r="16" spans="1:8" ht="20.149999999999999" customHeight="1" x14ac:dyDescent="0.3">
      <c r="A16" s="213"/>
      <c r="B16" s="214" t="s">
        <v>217</v>
      </c>
      <c r="C16" s="213"/>
      <c r="D16" s="213"/>
      <c r="E16" s="210"/>
      <c r="F16" s="245"/>
      <c r="G16" s="244"/>
      <c r="H16" s="245"/>
    </row>
    <row r="17" spans="1:8" ht="20.149999999999999" customHeight="1" x14ac:dyDescent="0.3">
      <c r="A17" s="213"/>
      <c r="B17" s="214" t="s">
        <v>268</v>
      </c>
      <c r="C17" s="213"/>
      <c r="D17" s="213"/>
      <c r="E17" s="210"/>
      <c r="F17" s="245"/>
      <c r="G17" s="244"/>
      <c r="H17" s="245"/>
    </row>
    <row r="18" spans="1:8" ht="20.149999999999999" customHeight="1" x14ac:dyDescent="0.3">
      <c r="A18" s="210"/>
      <c r="B18" s="210"/>
      <c r="C18" s="210"/>
      <c r="D18" s="210"/>
      <c r="E18" s="210"/>
      <c r="F18" s="245"/>
      <c r="G18" s="246"/>
      <c r="H18" s="245"/>
    </row>
    <row r="19" spans="1:8" ht="20.149999999999999" customHeight="1" x14ac:dyDescent="0.3">
      <c r="A19" s="210"/>
      <c r="B19" s="210"/>
      <c r="C19" s="210"/>
      <c r="D19" s="210"/>
      <c r="E19" s="210"/>
      <c r="F19" s="245"/>
      <c r="G19" s="105"/>
      <c r="H19" s="245"/>
    </row>
    <row r="20" spans="1:8" ht="20.149999999999999" hidden="1" customHeight="1" x14ac:dyDescent="0.3">
      <c r="F20" s="247"/>
      <c r="G20" s="109"/>
      <c r="H20" s="247"/>
    </row>
    <row r="21" spans="1:8" ht="20.149999999999999" hidden="1" customHeight="1" x14ac:dyDescent="0.35">
      <c r="B21" s="152"/>
      <c r="F21" s="247"/>
      <c r="G21" s="109"/>
      <c r="H21" s="247"/>
    </row>
    <row r="22" spans="1:8" ht="20.149999999999999" hidden="1" customHeight="1" x14ac:dyDescent="0.3">
      <c r="A22" s="247"/>
      <c r="B22" s="247"/>
      <c r="C22" s="247"/>
      <c r="D22" s="247"/>
      <c r="E22" s="247"/>
      <c r="F22" s="247"/>
      <c r="G22" s="109"/>
      <c r="H22" s="247"/>
    </row>
    <row r="23" spans="1:8" ht="20.149999999999999" hidden="1" customHeight="1" x14ac:dyDescent="0.3">
      <c r="G23" s="109"/>
    </row>
    <row r="24" spans="1:8" ht="20.149999999999999" hidden="1" customHeight="1" x14ac:dyDescent="0.3"/>
    <row r="25" spans="1:8" ht="20.149999999999999" hidden="1" customHeight="1" x14ac:dyDescent="0.3"/>
    <row r="26" spans="1:8" ht="20.149999999999999" hidden="1" customHeight="1" x14ac:dyDescent="0.3"/>
    <row r="27" spans="1:8" ht="20.149999999999999" hidden="1" customHeight="1" x14ac:dyDescent="0.3"/>
    <row r="28" spans="1:8" ht="20.149999999999999" hidden="1" customHeight="1" x14ac:dyDescent="0.3"/>
    <row r="29" spans="1:8" ht="20.149999999999999" hidden="1" customHeight="1" x14ac:dyDescent="0.3"/>
  </sheetData>
  <sheetProtection algorithmName="SHA-512" hashValue="iOhwQWIuBvjhQzVEacWdD+AsrsVWQbP1x9Afyza6vVvqzYZkxBb1pI/SExk2pJDhLdOkyH6qsBoI6LCD2xvugw==" saltValue="scERc5Cs+hCHt0+2kNZ7fA==" spinCount="100000" sheet="1" objects="1" scenarios="1"/>
  <mergeCells count="2">
    <mergeCell ref="A3:A4"/>
    <mergeCell ref="A5:A7"/>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5"/>
    <pageSetUpPr fitToPage="1"/>
  </sheetPr>
  <dimension ref="A1:N145"/>
  <sheetViews>
    <sheetView zoomScale="55" zoomScaleNormal="55" workbookViewId="0">
      <selection activeCell="D5" sqref="D5:H5"/>
    </sheetView>
  </sheetViews>
  <sheetFormatPr defaultColWidth="0" defaultRowHeight="20.149999999999999" customHeight="1" x14ac:dyDescent="0.3"/>
  <cols>
    <col min="1" max="1" width="14.6328125" style="248" customWidth="1"/>
    <col min="2" max="2" width="60.7265625" style="248" customWidth="1"/>
    <col min="3" max="4" width="25.7265625" style="248" customWidth="1"/>
    <col min="5" max="5" width="25.7265625" style="254" customWidth="1"/>
    <col min="6" max="6" width="16.7265625" style="210" customWidth="1"/>
    <col min="7" max="7" width="90.7265625" style="248" customWidth="1"/>
    <col min="8" max="8" width="55.7265625" style="248" customWidth="1"/>
    <col min="9" max="9" width="10.7265625" style="248" customWidth="1"/>
    <col min="10" max="10" width="20.7265625" style="248" customWidth="1"/>
    <col min="11" max="11" width="10.7265625" style="248" customWidth="1"/>
    <col min="12" max="14" width="0" style="248" hidden="1" customWidth="1"/>
    <col min="15" max="16384" width="9.1796875" style="248" hidden="1"/>
  </cols>
  <sheetData>
    <row r="1" spans="1:14" ht="90" customHeight="1" x14ac:dyDescent="0.35">
      <c r="A1" s="335" t="s">
        <v>932</v>
      </c>
      <c r="B1" s="335"/>
      <c r="C1" s="335"/>
      <c r="D1" s="335"/>
      <c r="E1" s="335"/>
      <c r="F1" s="335"/>
      <c r="G1" s="335"/>
      <c r="H1" s="336"/>
      <c r="I1" s="112"/>
      <c r="J1" s="112"/>
      <c r="K1" s="108"/>
      <c r="L1" s="108"/>
      <c r="M1" s="108"/>
      <c r="N1" s="108"/>
    </row>
    <row r="2" spans="1:14" ht="50.15" customHeight="1" x14ac:dyDescent="0.35">
      <c r="A2" s="448" t="s">
        <v>890</v>
      </c>
      <c r="B2" s="448"/>
      <c r="C2" s="448"/>
      <c r="D2" s="448"/>
      <c r="E2" s="448"/>
      <c r="F2" s="448"/>
      <c r="G2" s="448"/>
      <c r="H2" s="448"/>
    </row>
    <row r="3" spans="1:14" ht="75" customHeight="1" x14ac:dyDescent="0.35">
      <c r="A3" s="337" t="s">
        <v>115</v>
      </c>
      <c r="B3" s="337" t="s">
        <v>112</v>
      </c>
      <c r="C3" s="338" t="s">
        <v>2</v>
      </c>
      <c r="D3" s="455" t="s">
        <v>1008</v>
      </c>
      <c r="E3" s="455"/>
      <c r="F3" s="338"/>
      <c r="G3" s="338" t="s">
        <v>229</v>
      </c>
      <c r="H3" s="338" t="s">
        <v>228</v>
      </c>
    </row>
    <row r="4" spans="1:14" ht="40" customHeight="1" x14ac:dyDescent="0.35">
      <c r="A4" s="453" t="s">
        <v>117</v>
      </c>
      <c r="B4" s="339" t="s">
        <v>0</v>
      </c>
      <c r="C4" s="339" t="s">
        <v>113</v>
      </c>
      <c r="D4" s="447" t="s">
        <v>961</v>
      </c>
      <c r="E4" s="447"/>
      <c r="F4" s="340"/>
      <c r="G4" s="339" t="s">
        <v>269</v>
      </c>
      <c r="H4" s="332"/>
      <c r="J4" s="312" t="s">
        <v>636</v>
      </c>
      <c r="K4" s="249"/>
    </row>
    <row r="5" spans="1:14" ht="40" customHeight="1" x14ac:dyDescent="0.35">
      <c r="A5" s="453"/>
      <c r="B5" s="339" t="s">
        <v>1</v>
      </c>
      <c r="C5" s="339" t="s">
        <v>116</v>
      </c>
      <c r="D5" s="454" t="s">
        <v>966</v>
      </c>
      <c r="E5" s="454"/>
      <c r="F5" s="454"/>
      <c r="G5" s="454"/>
      <c r="H5" s="454"/>
      <c r="J5" s="250" t="s">
        <v>635</v>
      </c>
      <c r="K5" s="251"/>
    </row>
    <row r="6" spans="1:14" ht="40" customHeight="1" x14ac:dyDescent="0.35">
      <c r="A6" s="453"/>
      <c r="B6" s="342" t="s">
        <v>843</v>
      </c>
      <c r="C6" s="343" t="s">
        <v>70</v>
      </c>
      <c r="D6" s="445">
        <v>15</v>
      </c>
      <c r="E6" s="445"/>
      <c r="F6" s="347"/>
      <c r="G6" s="339" t="s">
        <v>114</v>
      </c>
      <c r="H6" s="332"/>
      <c r="J6" s="313" t="s">
        <v>227</v>
      </c>
      <c r="K6" s="249"/>
    </row>
    <row r="7" spans="1:14" ht="50.15" customHeight="1" x14ac:dyDescent="0.35">
      <c r="A7" s="395"/>
      <c r="B7" s="450" t="s">
        <v>968</v>
      </c>
      <c r="C7" s="450"/>
      <c r="D7" s="450"/>
      <c r="E7" s="450"/>
      <c r="F7" s="450"/>
      <c r="G7" s="450"/>
      <c r="H7" s="450"/>
      <c r="J7" s="314" t="s">
        <v>887</v>
      </c>
    </row>
    <row r="8" spans="1:14" ht="40" customHeight="1" x14ac:dyDescent="0.35">
      <c r="A8" s="441" t="s">
        <v>245</v>
      </c>
      <c r="B8" s="345" t="s">
        <v>403</v>
      </c>
      <c r="C8" s="346" t="s">
        <v>14</v>
      </c>
      <c r="D8" s="458" t="s">
        <v>385</v>
      </c>
      <c r="E8" s="458"/>
      <c r="F8" s="347"/>
      <c r="G8" s="346" t="s">
        <v>525</v>
      </c>
      <c r="H8" s="333"/>
      <c r="J8" s="315" t="s">
        <v>991</v>
      </c>
    </row>
    <row r="9" spans="1:14" ht="40" customHeight="1" x14ac:dyDescent="0.35">
      <c r="A9" s="441"/>
      <c r="B9" s="348" t="s">
        <v>436</v>
      </c>
      <c r="C9" s="349" t="s">
        <v>14</v>
      </c>
      <c r="D9" s="446" t="s">
        <v>453</v>
      </c>
      <c r="E9" s="446"/>
      <c r="F9" s="340"/>
      <c r="G9" s="346" t="s">
        <v>969</v>
      </c>
      <c r="H9" s="333"/>
    </row>
    <row r="10" spans="1:14" ht="40" customHeight="1" x14ac:dyDescent="0.35">
      <c r="A10" s="441"/>
      <c r="B10" s="348" t="str">
        <f>"Starting Form - "&amp;D9</f>
        <v>Starting Form - Titanium alloys</v>
      </c>
      <c r="C10" s="349" t="s">
        <v>14</v>
      </c>
      <c r="D10" s="456" t="s">
        <v>402</v>
      </c>
      <c r="E10" s="456"/>
      <c r="F10" s="350"/>
      <c r="G10" s="346" t="s">
        <v>783</v>
      </c>
      <c r="H10" s="333"/>
    </row>
    <row r="11" spans="1:14" ht="40" customHeight="1" x14ac:dyDescent="0.35">
      <c r="A11" s="441"/>
      <c r="B11" s="348" t="str">
        <f>"Source - "&amp;D9</f>
        <v>Source - Titanium alloys</v>
      </c>
      <c r="C11" s="349" t="s">
        <v>14</v>
      </c>
      <c r="D11" s="446" t="s">
        <v>405</v>
      </c>
      <c r="E11" s="446"/>
      <c r="F11" s="340"/>
      <c r="G11" s="346" t="s">
        <v>526</v>
      </c>
      <c r="H11" s="333"/>
    </row>
    <row r="12" spans="1:14" ht="40" customHeight="1" x14ac:dyDescent="0.35">
      <c r="A12" s="441"/>
      <c r="B12" s="348" t="str">
        <f>"Mass Conusmed -  "&amp;D9</f>
        <v>Mass Conusmed -  Titanium alloys</v>
      </c>
      <c r="C12" s="349" t="str">
        <f>IF('Intro - Start Here'!$C$15="Metric","kg","lb")&amp;"/part"</f>
        <v>lb/part</v>
      </c>
      <c r="D12" s="451">
        <v>19.2</v>
      </c>
      <c r="E12" s="451"/>
      <c r="F12" s="351"/>
      <c r="G12" s="346" t="s">
        <v>970</v>
      </c>
      <c r="H12" s="333"/>
    </row>
    <row r="13" spans="1:14" ht="40" customHeight="1" x14ac:dyDescent="0.35">
      <c r="A13" s="441"/>
      <c r="B13" s="348" t="str">
        <f>"Final Part Mass - "&amp;D9</f>
        <v>Final Part Mass - Titanium alloys</v>
      </c>
      <c r="C13" s="349" t="str">
        <f>IF('Intro - Start Here'!$C$15="Metric","kg","lb")&amp;"/part"</f>
        <v>lb/part</v>
      </c>
      <c r="D13" s="451">
        <v>2.4</v>
      </c>
      <c r="E13" s="451"/>
      <c r="F13" s="351"/>
      <c r="G13" s="346" t="s">
        <v>784</v>
      </c>
      <c r="H13" s="333"/>
    </row>
    <row r="14" spans="1:14" ht="40" customHeight="1" x14ac:dyDescent="0.35">
      <c r="A14" s="441"/>
      <c r="B14" s="348" t="str">
        <f>"Recycled In-house Scrap - "&amp;D9</f>
        <v>Recycled In-house Scrap - Titanium alloys</v>
      </c>
      <c r="C14" s="349" t="s">
        <v>5</v>
      </c>
      <c r="D14" s="457">
        <v>0.8</v>
      </c>
      <c r="E14" s="457"/>
      <c r="F14" s="352"/>
      <c r="G14" s="346" t="s">
        <v>971</v>
      </c>
      <c r="H14" s="333"/>
    </row>
    <row r="15" spans="1:14" ht="40" customHeight="1" x14ac:dyDescent="0.35">
      <c r="A15" s="441"/>
      <c r="B15" s="345" t="s">
        <v>404</v>
      </c>
      <c r="C15" s="346" t="s">
        <v>14</v>
      </c>
      <c r="D15" s="458" t="s">
        <v>208</v>
      </c>
      <c r="E15" s="458"/>
      <c r="F15" s="347"/>
      <c r="G15" s="346" t="s">
        <v>527</v>
      </c>
      <c r="H15" s="333"/>
    </row>
    <row r="16" spans="1:14" ht="40" hidden="1" customHeight="1" x14ac:dyDescent="0.35">
      <c r="A16" s="441"/>
      <c r="B16" s="348" t="s">
        <v>437</v>
      </c>
      <c r="C16" s="346" t="s">
        <v>14</v>
      </c>
      <c r="D16" s="446" t="s">
        <v>14</v>
      </c>
      <c r="E16" s="446"/>
      <c r="F16" s="340"/>
      <c r="G16" s="346" t="s">
        <v>928</v>
      </c>
      <c r="H16" s="346"/>
    </row>
    <row r="17" spans="1:8" ht="40" hidden="1" customHeight="1" x14ac:dyDescent="0.35">
      <c r="A17" s="441"/>
      <c r="B17" s="348" t="str">
        <f>"Starting Form - "&amp;D16</f>
        <v>Starting Form - Select</v>
      </c>
      <c r="C17" s="346" t="s">
        <v>14</v>
      </c>
      <c r="D17" s="456" t="s">
        <v>14</v>
      </c>
      <c r="E17" s="456"/>
      <c r="F17" s="350"/>
      <c r="G17" s="346" t="s">
        <v>785</v>
      </c>
      <c r="H17" s="346"/>
    </row>
    <row r="18" spans="1:8" ht="40" hidden="1" customHeight="1" x14ac:dyDescent="0.35">
      <c r="A18" s="441"/>
      <c r="B18" s="348" t="str">
        <f>"Source - "&amp;D16</f>
        <v>Source - Select</v>
      </c>
      <c r="C18" s="346" t="s">
        <v>14</v>
      </c>
      <c r="D18" s="446" t="s">
        <v>495</v>
      </c>
      <c r="E18" s="446"/>
      <c r="F18" s="340"/>
      <c r="G18" s="346" t="s">
        <v>528</v>
      </c>
      <c r="H18" s="346"/>
    </row>
    <row r="19" spans="1:8" ht="40" hidden="1" customHeight="1" x14ac:dyDescent="0.35">
      <c r="A19" s="441"/>
      <c r="B19" s="353" t="str">
        <f>D16&amp;" Consumed to produce final part"</f>
        <v>Select Consumed to produce final part</v>
      </c>
      <c r="C19" s="349" t="str">
        <f>IF('Intro - Start Here'!$C$15="Metric","kg","lb")&amp;"/part"</f>
        <v>lb/part</v>
      </c>
      <c r="D19" s="451">
        <v>100</v>
      </c>
      <c r="E19" s="451"/>
      <c r="F19" s="351"/>
      <c r="G19" s="346" t="s">
        <v>529</v>
      </c>
      <c r="H19" s="346"/>
    </row>
    <row r="20" spans="1:8" ht="40" hidden="1" customHeight="1" x14ac:dyDescent="0.35">
      <c r="A20" s="441"/>
      <c r="B20" s="353" t="str">
        <f>"Mass of "&amp;D16&amp;" in final part"</f>
        <v>Mass of Select in final part</v>
      </c>
      <c r="C20" s="349" t="str">
        <f>IF('Intro - Start Here'!$C$15="Metric","kg","lb")&amp;"/part"</f>
        <v>lb/part</v>
      </c>
      <c r="D20" s="451">
        <v>95</v>
      </c>
      <c r="E20" s="451"/>
      <c r="F20" s="351"/>
      <c r="G20" s="346" t="s">
        <v>530</v>
      </c>
      <c r="H20" s="346"/>
    </row>
    <row r="21" spans="1:8" ht="40" hidden="1" customHeight="1" x14ac:dyDescent="0.35">
      <c r="A21" s="441"/>
      <c r="B21" s="353" t="str">
        <f>D16&amp;" recycled (in-house) for use in this product"</f>
        <v>Select recycled (in-house) for use in this product</v>
      </c>
      <c r="C21" s="349" t="s">
        <v>5</v>
      </c>
      <c r="D21" s="457">
        <v>1</v>
      </c>
      <c r="E21" s="457"/>
      <c r="F21" s="352"/>
      <c r="G21" s="346" t="s">
        <v>531</v>
      </c>
      <c r="H21" s="346"/>
    </row>
    <row r="22" spans="1:8" ht="50" customHeight="1" x14ac:dyDescent="0.35">
      <c r="A22" s="441"/>
      <c r="B22" s="450" t="s">
        <v>972</v>
      </c>
      <c r="C22" s="450"/>
      <c r="D22" s="450"/>
      <c r="E22" s="450"/>
      <c r="F22" s="450"/>
      <c r="G22" s="450"/>
      <c r="H22" s="450"/>
    </row>
    <row r="23" spans="1:8" ht="40" customHeight="1" x14ac:dyDescent="0.35">
      <c r="A23" s="441"/>
      <c r="B23" s="442" t="str">
        <f>"Embodied Energy and Carbon of "&amp;D9&amp;", "&amp;D10&amp;", "&amp;D11</f>
        <v>Embodied Energy and Carbon of Titanium alloys, Ingot, Primary</v>
      </c>
      <c r="C23" s="349" t="str">
        <f t="shared" ref="C23:C30" si="0">IF(unitChoice="Metric","MJ/kg","Btu/lb") &amp; "          "&amp; IF(unitChoice="Metric","kg/kg","kg/lb")</f>
        <v>Btu/lb          kg/lb</v>
      </c>
      <c r="D23" s="354" t="str">
        <f xml:space="preserve"> TEXT(ROUND('HIDE - Lists &amp; Lookups'!AE3,1),"#,##0") &amp; " - " &amp;  TEXT(ROUND('HIDE - Lists &amp; Lookups'!AF3,1),"#,##0")</f>
        <v>279,449 - 309,543</v>
      </c>
      <c r="E23" s="355" t="str">
        <f xml:space="preserve"> TEXT(ROUND('HIDE - Lists &amp; Lookups'!AH3,1),"#,##0.0") &amp; " - " &amp;  TEXT(ROUND('HIDE - Lists &amp; Lookups'!AI3,1),"#,##0.0")</f>
        <v>20.0 - 22.2</v>
      </c>
      <c r="F23" s="356"/>
      <c r="G23" s="346" t="str">
        <f>"Embodied Impact Ranges for " &amp;D9&amp;", "&amp;D10&amp;", "&amp;D11 &amp; " from Ashby or other sources (see Material EE tab)"</f>
        <v>Embodied Impact Ranges for Titanium alloys, Ingot, Primary from Ashby or other sources (see Material EE tab)</v>
      </c>
      <c r="H23" s="333"/>
    </row>
    <row r="24" spans="1:8" ht="40" customHeight="1" x14ac:dyDescent="0.35">
      <c r="A24" s="441"/>
      <c r="B24" s="442"/>
      <c r="C24" s="349" t="str">
        <f t="shared" si="0"/>
        <v>Btu/lb          kg/lb</v>
      </c>
      <c r="D24" s="357">
        <v>309543.4333532317</v>
      </c>
      <c r="E24" s="357">
        <v>22.226052562346347</v>
      </c>
      <c r="F24" s="360"/>
      <c r="G24" s="346" t="s">
        <v>818</v>
      </c>
      <c r="H24" s="333"/>
    </row>
    <row r="25" spans="1:8" ht="40" customHeight="1" x14ac:dyDescent="0.35">
      <c r="A25" s="441"/>
      <c r="B25" s="442" t="str">
        <f>"Embodied Energy and Carbon of "&amp;D9&amp;", "&amp;D10&amp;", Recycled Engineered Scrap"</f>
        <v>Embodied Energy and Carbon of Titanium alloys, Ingot, Recycled Engineered Scrap</v>
      </c>
      <c r="C25" s="349" t="str">
        <f t="shared" si="0"/>
        <v>Btu/lb          kg/lb</v>
      </c>
      <c r="D25" s="355" t="str">
        <f xml:space="preserve"> TEXT(ROUND('HIDE - Lists &amp; Lookups'!AE4,1),"#,##0") &amp; " - " &amp;  TEXT(ROUND('HIDE - Lists &amp; Lookups'!AF4,1),"#,##0")</f>
        <v>33,534 - 41,273</v>
      </c>
      <c r="E25" s="355" t="str">
        <f xml:space="preserve"> TEXT(ROUND('HIDE - Lists &amp; Lookups'!AH4,1),"#,##0.0") &amp; " - " &amp;  TEXT(ROUND('HIDE - Lists &amp; Lookups'!AI4,1),"#,##0.0")</f>
        <v>2.1 - 2.6</v>
      </c>
      <c r="F25" s="356"/>
      <c r="G25" s="346" t="str">
        <f>"Embodied Impact Ranges for recycled " &amp;D9&amp; " from Ashby or other sources (see Material EE tab)"</f>
        <v>Embodied Impact Ranges for recycled Titanium alloys from Ashby or other sources (see Material EE tab)</v>
      </c>
      <c r="H25" s="333"/>
    </row>
    <row r="26" spans="1:8" ht="40" customHeight="1" x14ac:dyDescent="0.35">
      <c r="A26" s="441"/>
      <c r="B26" s="442"/>
      <c r="C26" s="349" t="str">
        <f t="shared" si="0"/>
        <v>Btu/lb          kg/lb</v>
      </c>
      <c r="D26" s="358">
        <v>41272.457780430894</v>
      </c>
      <c r="E26" s="357">
        <v>2.5854795837831466</v>
      </c>
      <c r="F26" s="347"/>
      <c r="G26" s="346" t="s">
        <v>819</v>
      </c>
      <c r="H26" s="333"/>
    </row>
    <row r="27" spans="1:8" ht="40" hidden="1" customHeight="1" x14ac:dyDescent="0.3">
      <c r="A27" s="441"/>
      <c r="B27" s="442" t="str">
        <f>"Embodied Energy and Carbon of "&amp;D16&amp;", "&amp;D17&amp;", "&amp;D18 &amp;" Database Range"</f>
        <v>Embodied Energy and Carbon of Select, Select, Secondary Database Range</v>
      </c>
      <c r="C27" s="349" t="str">
        <f t="shared" si="0"/>
        <v>Btu/lb          kg/lb</v>
      </c>
      <c r="D27" s="355" t="str">
        <f xml:space="preserve">  IFERROR(TEXT(ROUND('HIDE - Lists &amp; Lookups'!AE5,1),"#,##0") &amp; " - " &amp;  TEXT(ROUND('HIDE - Lists &amp; Lookups'!AF5,1),"#,##0"),"Error")</f>
        <v>0 - 0</v>
      </c>
      <c r="E27" s="355" t="str">
        <f xml:space="preserve"> IFERROR( TEXT(ROUND('HIDE - Lists &amp; Lookups'!AH5,1),"#,##0.0") &amp; " - " &amp;  TEXT(ROUND('HIDE - Lists &amp; Lookups'!AI5,1),"#,##0.0"),"Error")</f>
        <v>0.0 - 0.0</v>
      </c>
      <c r="F27" s="356"/>
      <c r="G27" s="346" t="str">
        <f>"Embodied Impact Ranges of "&amp;D16&amp;", "&amp;D17&amp;", "&amp;D18 &amp; " from Ashby or other sources (see  Material EE tab)"</f>
        <v>Embodied Impact Ranges of Select, Select, Secondary from Ashby or other sources (see  Material EE tab)</v>
      </c>
      <c r="H27" s="396"/>
    </row>
    <row r="28" spans="1:8" ht="40" hidden="1" customHeight="1" x14ac:dyDescent="0.35">
      <c r="A28" s="441"/>
      <c r="B28" s="442"/>
      <c r="C28" s="349" t="str">
        <f t="shared" si="0"/>
        <v>Btu/lb          kg/lb</v>
      </c>
      <c r="D28" s="358">
        <v>11650.870894267471</v>
      </c>
      <c r="E28" s="358">
        <v>1.0341918335132585</v>
      </c>
      <c r="F28" s="347"/>
      <c r="G28" s="346" t="s">
        <v>820</v>
      </c>
      <c r="H28" s="346"/>
    </row>
    <row r="29" spans="1:8" ht="40" hidden="1" customHeight="1" x14ac:dyDescent="0.35">
      <c r="A29" s="441"/>
      <c r="B29" s="442" t="str">
        <f>"Embodied Energy and Carbon of "&amp;D16&amp;", "&amp;D17&amp;", Recycled Engineered Scrap"</f>
        <v>Embodied Energy and Carbon of Select, Select, Recycled Engineered Scrap</v>
      </c>
      <c r="C29" s="349" t="str">
        <f t="shared" si="0"/>
        <v>Btu/lb          kg/lb</v>
      </c>
      <c r="D29" s="355" t="str">
        <f xml:space="preserve"> IFERROR( TEXT(ROUND('HIDE - Lists &amp; Lookups'!AE6,1),"#,##0") &amp; " - " &amp;  TEXT(ROUND('HIDE - Lists &amp; Lookups'!AF6,1),"#,##0"),"Error")</f>
        <v>0 - 0</v>
      </c>
      <c r="E29" s="355" t="str">
        <f xml:space="preserve">  IFERROR(TEXT(ROUND('HIDE - Lists &amp; Lookups'!AH6,1),"#,##0.0") &amp; " - " &amp;  TEXT(ROUND('HIDE - Lists &amp; Lookups'!AI6,1),"#,##0.0"),"Error")</f>
        <v>0.0 - 0.0</v>
      </c>
      <c r="F29" s="356"/>
      <c r="G29" s="346" t="str">
        <f>"Embodied Impact Ranges for recycled " &amp;D16&amp; " from Ashby or other sources (see  Material EE tab)"</f>
        <v>Embodied Impact Ranges for recycled Select from Ashby or other sources (see  Material EE tab)</v>
      </c>
      <c r="H29" s="346"/>
    </row>
    <row r="30" spans="1:8" ht="40" hidden="1" customHeight="1" x14ac:dyDescent="0.35">
      <c r="A30" s="441"/>
      <c r="B30" s="442"/>
      <c r="C30" s="349" t="str">
        <f t="shared" si="0"/>
        <v>Btu/lb          kg/lb</v>
      </c>
      <c r="D30" s="358">
        <v>18873.551005842877</v>
      </c>
      <c r="E30" s="357">
        <v>1.496856601137611</v>
      </c>
      <c r="F30" s="347"/>
      <c r="G30" s="346" t="s">
        <v>821</v>
      </c>
      <c r="H30" s="346"/>
    </row>
    <row r="31" spans="1:8" ht="49.5" customHeight="1" x14ac:dyDescent="0.35">
      <c r="A31" s="441"/>
      <c r="B31" s="450" t="s">
        <v>973</v>
      </c>
      <c r="C31" s="450"/>
      <c r="D31" s="450"/>
      <c r="E31" s="450"/>
      <c r="F31" s="450"/>
      <c r="G31" s="450"/>
      <c r="H31" s="450"/>
    </row>
    <row r="32" spans="1:8" ht="40" customHeight="1" x14ac:dyDescent="0.35">
      <c r="A32" s="441"/>
      <c r="B32" s="349" t="s">
        <v>284</v>
      </c>
      <c r="C32" s="349" t="str">
        <f>IF('Intro - Start Here'!$C$15="Metric","kg","lb")&amp;"/part"</f>
        <v>lb/part</v>
      </c>
      <c r="D32" s="459">
        <f>IF(D15="None", D12, SUM(D12,D19))</f>
        <v>19.2</v>
      </c>
      <c r="E32" s="459"/>
      <c r="F32" s="359"/>
      <c r="G32" s="346" t="s">
        <v>787</v>
      </c>
      <c r="H32" s="333"/>
    </row>
    <row r="33" spans="1:8" ht="40" customHeight="1" x14ac:dyDescent="0.35">
      <c r="A33" s="441"/>
      <c r="B33" s="349" t="s">
        <v>205</v>
      </c>
      <c r="C33" s="349" t="str">
        <f>IF('Intro - Start Here'!$C$15="Metric","kg","lb")&amp;"/part"</f>
        <v>lb/part</v>
      </c>
      <c r="D33" s="459">
        <f>IF(D15="None",D13,SUM(D13,D20))</f>
        <v>2.4</v>
      </c>
      <c r="E33" s="459"/>
      <c r="F33" s="359"/>
      <c r="G33" s="346" t="s">
        <v>786</v>
      </c>
      <c r="H33" s="333"/>
    </row>
    <row r="34" spans="1:8" ht="40" customHeight="1" x14ac:dyDescent="0.35">
      <c r="A34" s="441"/>
      <c r="B34" s="349" t="s">
        <v>789</v>
      </c>
      <c r="C34" s="349" t="s">
        <v>33</v>
      </c>
      <c r="D34" s="460">
        <f>IF(D33&gt;0,D32/D33,0)</f>
        <v>8</v>
      </c>
      <c r="E34" s="460"/>
      <c r="F34" s="360"/>
      <c r="G34" s="346" t="s">
        <v>285</v>
      </c>
      <c r="H34" s="333"/>
    </row>
    <row r="35" spans="1:8" ht="40" customHeight="1" x14ac:dyDescent="0.35">
      <c r="A35" s="441"/>
      <c r="B35" s="349" t="s">
        <v>790</v>
      </c>
      <c r="C35" s="349" t="str">
        <f>IF('Intro - Start Here'!$C$15="Metric","kg","lb")&amp;"/part"</f>
        <v>lb/part</v>
      </c>
      <c r="D35" s="460">
        <f>D32-D33</f>
        <v>16.8</v>
      </c>
      <c r="E35" s="460"/>
      <c r="F35" s="360"/>
      <c r="G35" s="346" t="s">
        <v>788</v>
      </c>
      <c r="H35" s="333"/>
    </row>
    <row r="36" spans="1:8" ht="40" customHeight="1" x14ac:dyDescent="0.35">
      <c r="A36" s="441"/>
      <c r="B36" s="349" t="s">
        <v>791</v>
      </c>
      <c r="C36" s="349" t="s">
        <v>5</v>
      </c>
      <c r="D36" s="461">
        <f>(D14*D12+IF(OR(D15="None",D15="Select", D15 = "Select First Material"),0,D21*D19))/(D12+IF(OR(D15="None",D15="Select", D15 = "Select First Material"),0,D19))</f>
        <v>0.8</v>
      </c>
      <c r="E36" s="461"/>
      <c r="F36" s="350"/>
      <c r="G36" s="346" t="s">
        <v>521</v>
      </c>
      <c r="H36" s="333"/>
    </row>
    <row r="37" spans="1:8" ht="40" hidden="1" customHeight="1" x14ac:dyDescent="0.35">
      <c r="A37" s="441"/>
      <c r="B37" s="349" t="str">
        <f>D9&amp;" Material Impact Contribution"</f>
        <v>Titanium alloys Material Impact Contribution</v>
      </c>
      <c r="C37" s="346" t="str">
        <f>IF('Intro - Start Here'!$C$15="Metric","MJ","Btu")&amp;"/part"&amp; "          "&amp; "kg/part"</f>
        <v>Btu/part          kg/part</v>
      </c>
      <c r="D37" s="361">
        <f xml:space="preserve"> D13*D24 + (D12-D13)*(1-D14)*D24  + (D12-D13)* D14*D26</f>
        <v>2337672.0086836056</v>
      </c>
      <c r="E37" s="361">
        <f xml:space="preserve"> D13*E24 + (D12-D13)*(1-D14)*E24  + (D12-D13)* D14*E26</f>
        <v>162.77090836516044</v>
      </c>
      <c r="F37" s="351"/>
      <c r="G37" s="346" t="s">
        <v>522</v>
      </c>
      <c r="H37" s="333"/>
    </row>
    <row r="38" spans="1:8" ht="40" hidden="1" customHeight="1" x14ac:dyDescent="0.35">
      <c r="A38" s="441"/>
      <c r="B38" s="349" t="str">
        <f>D16&amp;" Material Impact Contribution"</f>
        <v>Select Material Impact Contribution</v>
      </c>
      <c r="C38" s="346" t="str">
        <f>IF('Intro - Start Here'!$C$15="Metric","MJ","Btu")&amp;"/part"&amp; "          "&amp; "kg/part"</f>
        <v>Btu/part          kg/part</v>
      </c>
      <c r="D38" s="361">
        <f>IFERROR( D20*D28 + (D19-D20)*(1-D21)*D28  + (D19-D20)* D21*D30, "Error")</f>
        <v>1201200.4899846241</v>
      </c>
      <c r="E38" s="361">
        <f xml:space="preserve"> IFERROR(D20*E28 + (D19-D20)*(1-D21)*E28  + (D19-D20)* D21*E30, "Error")</f>
        <v>105.73250718944762</v>
      </c>
      <c r="F38" s="351"/>
      <c r="G38" s="346" t="s">
        <v>523</v>
      </c>
      <c r="H38" s="333"/>
    </row>
    <row r="39" spans="1:8" ht="40" customHeight="1" x14ac:dyDescent="0.35">
      <c r="A39" s="441"/>
      <c r="B39" s="362" t="s">
        <v>792</v>
      </c>
      <c r="C39" s="362" t="str">
        <f>IF('Intro - Start Here'!$C$15="Metric","MJ","Btu")&amp;"/part"&amp; "          "&amp; "kg/part"</f>
        <v>Btu/part          kg/part</v>
      </c>
      <c r="D39" s="364">
        <f>IFERROR(D37+IF(D15="None", 0,D38), "Error")</f>
        <v>2337672.0086836056</v>
      </c>
      <c r="E39" s="364">
        <f>IFERROR(E37+IF(D15="None", 0,E38), "Error")</f>
        <v>162.77090836516044</v>
      </c>
      <c r="F39" s="364"/>
      <c r="G39" s="362" t="s">
        <v>799</v>
      </c>
      <c r="H39" s="365"/>
    </row>
    <row r="40" spans="1:8" ht="50.15" customHeight="1" x14ac:dyDescent="0.35">
      <c r="A40" s="366"/>
      <c r="B40" s="449" t="s">
        <v>974</v>
      </c>
      <c r="C40" s="449"/>
      <c r="D40" s="449"/>
      <c r="E40" s="449"/>
      <c r="F40" s="449"/>
      <c r="G40" s="449"/>
      <c r="H40" s="449"/>
    </row>
    <row r="41" spans="1:8" ht="40" customHeight="1" x14ac:dyDescent="0.35">
      <c r="A41" s="463" t="s">
        <v>206</v>
      </c>
      <c r="B41" s="349" t="s">
        <v>793</v>
      </c>
      <c r="C41" s="349" t="s">
        <v>14</v>
      </c>
      <c r="D41" s="446" t="s">
        <v>389</v>
      </c>
      <c r="E41" s="446"/>
      <c r="F41" s="340"/>
      <c r="G41" s="349" t="s">
        <v>795</v>
      </c>
      <c r="H41" s="330"/>
    </row>
    <row r="42" spans="1:8" ht="40" customHeight="1" x14ac:dyDescent="0.35">
      <c r="A42" s="463"/>
      <c r="B42" s="349" t="s">
        <v>804</v>
      </c>
      <c r="C42" s="349" t="str">
        <f>IF(unitChoice="Metric","MJ/kg","Btu/lb") &amp; "          "&amp; IF(unitChoice="Metric","kg/kg","kg/lb")</f>
        <v>Btu/lb          kg/lb</v>
      </c>
      <c r="D42" s="397" t="str">
        <f xml:space="preserve"> TEXT(ROUND('HIDE - Lists &amp; Lookups'!AE16,1),"#,##0.0")&amp; " - " &amp;  TEXT(ROUND('HIDE - Lists &amp; Lookups'!AF16,1),"#,##0.0")</f>
        <v>1,289.8 - 2,149.6</v>
      </c>
      <c r="E42" s="397" t="str">
        <f xml:space="preserve"> ROUND('HIDE - Lists &amp; Lookups'!AH16,2)&amp; " - " &amp;  ROUND('HIDE - Lists &amp; Lookups'!AI16,2)</f>
        <v>0.07 - 0.11</v>
      </c>
      <c r="F42" s="340"/>
      <c r="G42" s="349" t="str">
        <f>"Embodied Impact Ranges for " &amp;D41&amp; "Processes, from Ashby or other sources (see Conventional Manuf. EE tab)"</f>
        <v>Embodied Impact Ranges for Rough rolling, forgingProcesses, from Ashby or other sources (see Conventional Manuf. EE tab)</v>
      </c>
      <c r="H42" s="330"/>
    </row>
    <row r="43" spans="1:8" ht="40" customHeight="1" x14ac:dyDescent="0.35">
      <c r="A43" s="463"/>
      <c r="B43" s="349" t="s">
        <v>805</v>
      </c>
      <c r="C43" s="349" t="str">
        <f>IF(unitChoice="Metric","MJ/kg","Btu/lb") &amp; "          "&amp; IF(unitChoice="Metric","kg/kg","kg/lb")</f>
        <v>Btu/lb          kg/lb</v>
      </c>
      <c r="D43" s="358">
        <v>1720</v>
      </c>
      <c r="E43" s="398">
        <f>((1720-1289.8)/(2149.6-1289.8))*(0.11-0.07)+0.07</f>
        <v>9.0013956734124226E-2</v>
      </c>
      <c r="F43" s="399"/>
      <c r="G43" s="349" t="s">
        <v>796</v>
      </c>
      <c r="H43" s="330"/>
    </row>
    <row r="44" spans="1:8" ht="40" customHeight="1" x14ac:dyDescent="0.35">
      <c r="A44" s="463"/>
      <c r="B44" s="349" t="s">
        <v>803</v>
      </c>
      <c r="C44" s="346" t="str">
        <f>IF('Intro - Start Here'!$C$15="Metric","MJ","Btu")&amp;"/part"&amp; "       "&amp; "kg/part"</f>
        <v>Btu/part       kg/part</v>
      </c>
      <c r="D44" s="361">
        <f>D43*D33</f>
        <v>4128</v>
      </c>
      <c r="E44" s="369">
        <f>E43*D33</f>
        <v>0.21603349616189813</v>
      </c>
      <c r="F44" s="400"/>
      <c r="G44" s="349" t="s">
        <v>797</v>
      </c>
      <c r="H44" s="330"/>
    </row>
    <row r="45" spans="1:8" ht="50.15" customHeight="1" x14ac:dyDescent="0.35">
      <c r="A45" s="463"/>
      <c r="B45" s="449" t="s">
        <v>975</v>
      </c>
      <c r="C45" s="449"/>
      <c r="D45" s="449"/>
      <c r="E45" s="449"/>
      <c r="F45" s="449"/>
      <c r="G45" s="449"/>
      <c r="H45" s="449"/>
    </row>
    <row r="46" spans="1:8" ht="60" customHeight="1" x14ac:dyDescent="0.35">
      <c r="A46" s="463"/>
      <c r="B46" s="346" t="s">
        <v>806</v>
      </c>
      <c r="C46" s="346" t="str">
        <f>IF('Intro - Start Here'!$C$15="Metric","MJ","Btu")&amp;"/part"&amp; "          "&amp; "kg/part"</f>
        <v>Btu/part          kg/part</v>
      </c>
      <c r="D46" s="358">
        <v>795881.65500000003</v>
      </c>
      <c r="E46" s="380">
        <v>87.019044778692034</v>
      </c>
      <c r="F46" s="381"/>
      <c r="G46" s="442" t="s">
        <v>807</v>
      </c>
      <c r="H46" s="333" t="s">
        <v>1009</v>
      </c>
    </row>
    <row r="47" spans="1:8" ht="60" customHeight="1" x14ac:dyDescent="0.35">
      <c r="A47" s="463"/>
      <c r="B47" s="346" t="s">
        <v>914</v>
      </c>
      <c r="C47" s="346" t="str">
        <f>IF('Intro - Start Here'!$C$15="Metric","MJ","Btu")&amp;"/part"&amp; "          "&amp; "kg/part"</f>
        <v>Btu/part          kg/part</v>
      </c>
      <c r="D47" s="358">
        <v>0</v>
      </c>
      <c r="E47" s="380">
        <v>0</v>
      </c>
      <c r="F47" s="381"/>
      <c r="G47" s="442"/>
      <c r="H47" s="333"/>
    </row>
    <row r="48" spans="1:8" ht="40" customHeight="1" x14ac:dyDescent="0.35">
      <c r="A48" s="463"/>
      <c r="B48" s="346" t="s">
        <v>915</v>
      </c>
      <c r="C48" s="346" t="str">
        <f>IF('Intro - Start Here'!$C$15="Metric","MJ","Btu")&amp;"/part"&amp; "          "&amp; "kg/part"</f>
        <v>Btu/part          kg/part</v>
      </c>
      <c r="D48" s="361">
        <f>CM_post_power_E+CM_post_specific_E</f>
        <v>795881.65500000003</v>
      </c>
      <c r="E48" s="361">
        <f>CM_post_power_C+CM_post_specific_C</f>
        <v>87.019044778692034</v>
      </c>
      <c r="F48" s="351"/>
      <c r="G48" s="346" t="s">
        <v>798</v>
      </c>
      <c r="H48" s="333"/>
    </row>
    <row r="49" spans="1:8" ht="50.15" customHeight="1" x14ac:dyDescent="0.35">
      <c r="A49" s="463"/>
      <c r="B49" s="449" t="s">
        <v>976</v>
      </c>
      <c r="C49" s="449"/>
      <c r="D49" s="449"/>
      <c r="E49" s="449"/>
      <c r="F49" s="449"/>
      <c r="G49" s="449"/>
      <c r="H49" s="449"/>
    </row>
    <row r="50" spans="1:8" ht="60" customHeight="1" x14ac:dyDescent="0.35">
      <c r="A50" s="463"/>
      <c r="B50" s="349" t="s">
        <v>916</v>
      </c>
      <c r="C50" s="346" t="str">
        <f>IF('Intro - Start Here'!$C$15="Metric","MJ","Btu")&amp;"/part"&amp; "          "&amp; "kg/part"</f>
        <v>Btu/part          kg/part</v>
      </c>
      <c r="D50" s="358">
        <v>0</v>
      </c>
      <c r="E50" s="380">
        <v>0</v>
      </c>
      <c r="F50" s="347"/>
      <c r="G50" s="349" t="s">
        <v>794</v>
      </c>
      <c r="H50" s="333"/>
    </row>
    <row r="51" spans="1:8" ht="40" customHeight="1" x14ac:dyDescent="0.35">
      <c r="A51" s="463"/>
      <c r="B51" s="362" t="s">
        <v>917</v>
      </c>
      <c r="C51" s="362" t="str">
        <f>IF('Intro - Start Here'!$C$15="Metric","MJ","Btu")&amp;"/part"&amp; "          "&amp; "kg/part"</f>
        <v>Btu/part          kg/part</v>
      </c>
      <c r="D51" s="364">
        <f>D44+D48+D50</f>
        <v>800009.65500000003</v>
      </c>
      <c r="E51" s="364">
        <f>E44+E48+E50</f>
        <v>87.235078274853933</v>
      </c>
      <c r="F51" s="364"/>
      <c r="G51" s="362" t="s">
        <v>233</v>
      </c>
      <c r="H51" s="365"/>
    </row>
    <row r="52" spans="1:8" ht="50.15" customHeight="1" x14ac:dyDescent="0.35">
      <c r="A52" s="382"/>
      <c r="B52" s="468" t="s">
        <v>977</v>
      </c>
      <c r="C52" s="468"/>
      <c r="D52" s="468"/>
      <c r="E52" s="468"/>
      <c r="F52" s="468"/>
      <c r="G52" s="468"/>
      <c r="H52" s="468"/>
    </row>
    <row r="53" spans="1:8" ht="40" customHeight="1" x14ac:dyDescent="0.35">
      <c r="A53" s="452" t="s">
        <v>64</v>
      </c>
      <c r="B53" s="349" t="s">
        <v>79</v>
      </c>
      <c r="C53" s="349" t="s">
        <v>14</v>
      </c>
      <c r="D53" s="446" t="s">
        <v>62</v>
      </c>
      <c r="E53" s="446"/>
      <c r="F53" s="340"/>
      <c r="G53" s="349" t="s">
        <v>271</v>
      </c>
      <c r="H53" s="330"/>
    </row>
    <row r="54" spans="1:8" ht="40" customHeight="1" x14ac:dyDescent="0.35">
      <c r="A54" s="452"/>
      <c r="B54" s="349" t="s">
        <v>776</v>
      </c>
      <c r="C54" s="349" t="s">
        <v>14</v>
      </c>
      <c r="D54" s="446" t="s">
        <v>43</v>
      </c>
      <c r="E54" s="446"/>
      <c r="F54" s="340"/>
      <c r="G54" s="349" t="s">
        <v>814</v>
      </c>
      <c r="H54" s="330"/>
    </row>
    <row r="55" spans="1:8" ht="40" customHeight="1" x14ac:dyDescent="0.35">
      <c r="A55" s="452"/>
      <c r="B55" s="349" t="s">
        <v>777</v>
      </c>
      <c r="C55" s="349" t="str">
        <f>IF('Intro - Start Here'!$C$15="Metric","MJ/kg","Btu/lb")&amp;IF(D54="Spacecraft","",IF('Intro - Start Here'!$C$15="Metric","-km","-mi"))&amp;"          "&amp;IF(unitChoice="Metric","kg/kg","kg/lb")&amp;IF(D54="Spacecraft","",IF('Intro - Start Here'!$C$15="Metric","-km","-mi"))</f>
        <v>Btu/lb-mi          kg/lb-mi</v>
      </c>
      <c r="D55" s="375">
        <f>VLOOKUP(D54,TransportationEE,2,FALSE)*IF(unitChoice="Metric",1,'Use Phase'!$K$23)</f>
        <v>3.0627328334267716</v>
      </c>
      <c r="E55" s="383">
        <f>VLOOKUP(D54,TransportationEE,5,FALSE)*IF(unitChoice="Metric",1,'Use Phase'!$O$21)</f>
        <v>9.4272710405588219E-5</v>
      </c>
      <c r="F55" s="376"/>
      <c r="G55" s="349" t="s">
        <v>811</v>
      </c>
      <c r="H55" s="330"/>
    </row>
    <row r="56" spans="1:8" ht="40" hidden="1" customHeight="1" x14ac:dyDescent="0.35">
      <c r="A56" s="452"/>
      <c r="B56" s="349" t="s">
        <v>776</v>
      </c>
      <c r="C56" s="349" t="s">
        <v>14</v>
      </c>
      <c r="D56" s="446" t="s">
        <v>81</v>
      </c>
      <c r="E56" s="446"/>
      <c r="F56" s="340"/>
      <c r="G56" s="349" t="s">
        <v>234</v>
      </c>
      <c r="H56" s="330"/>
    </row>
    <row r="57" spans="1:8" ht="40" hidden="1" customHeight="1" x14ac:dyDescent="0.35">
      <c r="A57" s="452"/>
      <c r="B57" s="349" t="s">
        <v>777</v>
      </c>
      <c r="C57" s="349" t="str">
        <f>IF('Intro - Start Here'!$C$15="Metric","MJ/kg","Btu/lb")&amp;IF(D56="Spacecraft","",IF('Intro - Start Here'!$C$15="Metric","-km","-mi"))&amp;"       "&amp;IF(unitChoice="Metric","kg/kg","kg/lb")&amp;IF(D56="Spacecraft","",IF('Intro - Start Here'!$C$15="Metric","-km","-mi"))</f>
        <v>Btu/lb-mi       kg/lb-mi</v>
      </c>
      <c r="D57" s="384">
        <f>VLOOKUP(D56,TransportationEE_2,2,FALSE)*IF(unitChoice="Metric",1,IF(D56="Spacecraft",'Use Phase'!$K$21,'Use Phase'!$K$23))</f>
        <v>0.11070324800000002</v>
      </c>
      <c r="E57" s="385">
        <f>VLOOKUP(D56,TransportationEE_2,4,FALSE)*IF(unitChoice="Metric",1,IF(D56="Spacecraft",'Use Phase'!$O$23,'Use Phase'!$O$21))</f>
        <v>1.0949778193067285E-5</v>
      </c>
      <c r="F57" s="351"/>
      <c r="G57" s="349" t="s">
        <v>241</v>
      </c>
      <c r="H57" s="330"/>
    </row>
    <row r="58" spans="1:8" ht="40" customHeight="1" x14ac:dyDescent="0.35">
      <c r="A58" s="452"/>
      <c r="B58" s="346" t="s">
        <v>897</v>
      </c>
      <c r="C58" s="349" t="str">
        <f>IF('Intro - Start Here'!$C$15="Metric","km","mi")</f>
        <v>mi</v>
      </c>
      <c r="D58" s="445">
        <v>3107</v>
      </c>
      <c r="E58" s="445"/>
      <c r="F58" s="347"/>
      <c r="G58" s="349" t="s">
        <v>813</v>
      </c>
      <c r="H58" s="330"/>
    </row>
    <row r="59" spans="1:8" ht="40" customHeight="1" x14ac:dyDescent="0.35">
      <c r="A59" s="452"/>
      <c r="B59" s="346" t="s">
        <v>780</v>
      </c>
      <c r="C59" s="349" t="s">
        <v>14</v>
      </c>
      <c r="D59" s="446" t="s">
        <v>41</v>
      </c>
      <c r="E59" s="446"/>
      <c r="F59" s="340"/>
      <c r="G59" s="349" t="s">
        <v>816</v>
      </c>
      <c r="H59" s="330"/>
    </row>
    <row r="60" spans="1:8" ht="40" customHeight="1" x14ac:dyDescent="0.35">
      <c r="A60" s="452"/>
      <c r="B60" s="346" t="s">
        <v>777</v>
      </c>
      <c r="C60" s="349" t="str">
        <f>IF('Intro - Start Here'!$C$15="Metric","MJ/kg","Btu/lb")&amp;IF(D59="Spacecraft","",IF('Intro - Start Here'!$C$15="Metric","-km","-mi"))&amp;"          "&amp;IF(unitChoice="Metric","kg/kg","kg/lb")&amp;IF(D59="Spacecraft","",IF('Intro - Start Here'!$C$15="Metric","-km","-mi"))</f>
        <v>Btu/lb-mi          kg/lb-mi</v>
      </c>
      <c r="D60" s="375">
        <f>VLOOKUP(D59,TransportationEE,2,FALSE)*IF(unitChoice="Metric",1,'Use Phase'!$K$23)</f>
        <v>8.4408185689090303</v>
      </c>
      <c r="E60" s="383">
        <f>VLOOKUP(D59,TransportationEE,5,FALSE)*IF(unitChoice="Metric",1,'Use Phase'!$O$21)</f>
        <v>2.5981333920090848E-4</v>
      </c>
      <c r="F60" s="376"/>
      <c r="G60" s="349" t="s">
        <v>812</v>
      </c>
      <c r="H60" s="330"/>
    </row>
    <row r="61" spans="1:8" ht="40" hidden="1" customHeight="1" x14ac:dyDescent="0.35">
      <c r="A61" s="452"/>
      <c r="B61" s="346" t="s">
        <v>780</v>
      </c>
      <c r="C61" s="349" t="s">
        <v>14</v>
      </c>
      <c r="D61" s="446" t="s">
        <v>87</v>
      </c>
      <c r="E61" s="446"/>
      <c r="F61" s="340"/>
      <c r="G61" s="349" t="s">
        <v>242</v>
      </c>
      <c r="H61" s="330"/>
    </row>
    <row r="62" spans="1:8" ht="40" hidden="1" customHeight="1" x14ac:dyDescent="0.35">
      <c r="A62" s="452"/>
      <c r="B62" s="346" t="s">
        <v>777</v>
      </c>
      <c r="C62" s="349" t="str">
        <f>IF('Intro - Start Here'!$C$15="Metric","MJ/kg","Btu/lb")&amp;IF(D61="Spacecraft","",IF('Intro - Start Here'!$C$15="Metric","-km","-mi"))&amp;"       "&amp;IF(unitChoice="Metric","kg/kg","kg/lb")&amp;IF(D61="Spacecraft","",IF('Intro - Start Here'!$C$15="Metric","-km","-mi"))</f>
        <v>Btu/lb-mi       kg/lb-mi</v>
      </c>
      <c r="D62" s="384">
        <f>VLOOKUP(D61,TransportationEE_2,2,FALSE)*IF(unitChoice="Metric",1,IF(D61="Spacecraft",'Use Phase'!$K$21,'Use Phase'!$K$23))</f>
        <v>0.65038158199999996</v>
      </c>
      <c r="E62" s="385">
        <f>VLOOKUP(D61,TransportationEE_2,4,FALSE)*IF(unitChoice="Metric",1,IF(D61="Spacecraft",'Use Phase'!$O$23,'Use Phase'!$O$21))</f>
        <v>4.8909009262367215E-5</v>
      </c>
      <c r="F62" s="351"/>
      <c r="G62" s="386" t="s">
        <v>243</v>
      </c>
      <c r="H62" s="331"/>
    </row>
    <row r="63" spans="1:8" ht="40" customHeight="1" x14ac:dyDescent="0.35">
      <c r="A63" s="452"/>
      <c r="B63" s="346" t="s">
        <v>898</v>
      </c>
      <c r="C63" s="349" t="str">
        <f>IF('Intro - Start Here'!$C$15="Metric","km","mi")</f>
        <v>mi</v>
      </c>
      <c r="D63" s="445">
        <v>870</v>
      </c>
      <c r="E63" s="445"/>
      <c r="F63" s="347"/>
      <c r="G63" s="349" t="s">
        <v>815</v>
      </c>
      <c r="H63" s="330"/>
    </row>
    <row r="64" spans="1:8" ht="40" customHeight="1" x14ac:dyDescent="0.35">
      <c r="A64" s="452"/>
      <c r="B64" s="362" t="s">
        <v>778</v>
      </c>
      <c r="C64" s="362" t="str">
        <f>IF('Intro - Start Here'!$C$15="Metric","MJ","Btu")&amp;"/part"&amp; "          "&amp; "kg/part"</f>
        <v>Btu/part          kg/part</v>
      </c>
      <c r="D64" s="364">
        <f>IF(D53="Simple",D33*(D55*D58+D60*D63),IF(D56="Spacecraft",D33*(D57+D62*D63),IF(D61="Spacecraft",D33*(D57*D58+D62),D33*(D57*D58+D62*D63))))</f>
        <v>40462.615364178804</v>
      </c>
      <c r="E64" s="401">
        <f>IF(D53="Simple",D33*(E55*D58+E60*D63),IF(D56="Spacecraft",D33*(E57+E62*D63),IF(D61="Spacecraft",D33*(E57*D58+E62),D33*(E57*D58+E62*D63))))</f>
        <v>1.2454629992038873</v>
      </c>
      <c r="F64" s="364"/>
      <c r="G64" s="362" t="s">
        <v>235</v>
      </c>
      <c r="H64" s="365"/>
    </row>
    <row r="65" spans="1:8" ht="50.15" customHeight="1" x14ac:dyDescent="0.35">
      <c r="A65" s="402"/>
      <c r="B65" s="444" t="s">
        <v>978</v>
      </c>
      <c r="C65" s="444"/>
      <c r="D65" s="444"/>
      <c r="E65" s="444"/>
      <c r="F65" s="444"/>
      <c r="G65" s="444"/>
      <c r="H65" s="444"/>
    </row>
    <row r="66" spans="1:8" ht="40" customHeight="1" x14ac:dyDescent="0.35">
      <c r="A66" s="443" t="s">
        <v>118</v>
      </c>
      <c r="B66" s="346" t="s">
        <v>779</v>
      </c>
      <c r="C66" s="339" t="str">
        <f>C6</f>
        <v>Years</v>
      </c>
      <c r="D66" s="469">
        <f>D6</f>
        <v>15</v>
      </c>
      <c r="E66" s="469"/>
      <c r="F66" s="347"/>
      <c r="G66" s="339" t="s">
        <v>782</v>
      </c>
      <c r="H66" s="332"/>
    </row>
    <row r="67" spans="1:8" ht="50.15" customHeight="1" x14ac:dyDescent="0.35">
      <c r="A67" s="443"/>
      <c r="B67" s="444" t="s">
        <v>979</v>
      </c>
      <c r="C67" s="444"/>
      <c r="D67" s="444"/>
      <c r="E67" s="444"/>
      <c r="F67" s="444"/>
      <c r="G67" s="444"/>
      <c r="H67" s="444"/>
    </row>
    <row r="68" spans="1:8" ht="40" customHeight="1" x14ac:dyDescent="0.35">
      <c r="A68" s="443"/>
      <c r="B68" s="339" t="s">
        <v>899</v>
      </c>
      <c r="C68" s="339" t="s">
        <v>14</v>
      </c>
      <c r="D68" s="446" t="s">
        <v>101</v>
      </c>
      <c r="E68" s="446"/>
      <c r="F68" s="340"/>
      <c r="G68" s="346" t="s">
        <v>822</v>
      </c>
      <c r="H68" s="332"/>
    </row>
    <row r="69" spans="1:8" ht="40" customHeight="1" x14ac:dyDescent="0.35">
      <c r="A69" s="443"/>
      <c r="B69" s="346" t="s">
        <v>781</v>
      </c>
      <c r="C69" s="339" t="s">
        <v>14</v>
      </c>
      <c r="D69" s="446" t="s">
        <v>95</v>
      </c>
      <c r="E69" s="446"/>
      <c r="F69" s="340"/>
      <c r="G69" s="346" t="s">
        <v>236</v>
      </c>
      <c r="H69" s="332"/>
    </row>
    <row r="70" spans="1:8" ht="40" customHeight="1" x14ac:dyDescent="0.35">
      <c r="A70" s="443"/>
      <c r="B70" s="339" t="s">
        <v>852</v>
      </c>
      <c r="C70" s="349" t="str">
        <f>IF('Intro - Start Here'!$C$15="Metric","MJ/kg","Btu/lb")&amp;IF(D69="Spacecraft","",IF('Intro - Start Here'!$C$15="Metric","-km","-mi"))&amp;"       "&amp;IF(unitChoice="Metric","kg/kg","kg/lb")&amp;IF(D69="Spacecraft","",IF('Intro - Start Here'!$C$15="Metric","-km","-mi"))</f>
        <v>Btu/lb-mi       kg/lb-mi</v>
      </c>
      <c r="D70" s="369">
        <f>VLOOKUP(D69,'Use Phase'!$A$4:$D$25,2,FALSE)*IF(unitChoice="Metric",1,IF(D69="Spacecraft",'Use Phase'!$K$21,'Use Phase'!$K$23))</f>
        <v>2.1822377762</v>
      </c>
      <c r="E70" s="390">
        <f>VLOOKUP(D69,'Use Phase'!$A$4:$D$25,4,FALSE)*IF(unitChoice="Metric",1,IF(D69="Spacecraft",'Use Phase'!$O$23,'Use Phase'!$O$21))</f>
        <v>1.5811914602074467E-4</v>
      </c>
      <c r="F70" s="351"/>
      <c r="G70" s="346" t="s">
        <v>639</v>
      </c>
      <c r="H70" s="333"/>
    </row>
    <row r="71" spans="1:8" ht="40" customHeight="1" x14ac:dyDescent="0.35">
      <c r="A71" s="443"/>
      <c r="B71" s="339" t="s">
        <v>103</v>
      </c>
      <c r="C71" s="339" t="str">
        <f>IF('Intro - Start Here'!$C$15="Metric","km","mi")&amp;"/day"</f>
        <v>mi/day</v>
      </c>
      <c r="D71" s="470">
        <v>4971</v>
      </c>
      <c r="E71" s="470"/>
      <c r="F71" s="381"/>
      <c r="G71" s="346" t="s">
        <v>287</v>
      </c>
      <c r="H71" s="333"/>
    </row>
    <row r="72" spans="1:8" ht="40" customHeight="1" x14ac:dyDescent="0.35">
      <c r="A72" s="443"/>
      <c r="B72" s="339" t="s">
        <v>104</v>
      </c>
      <c r="C72" s="339" t="s">
        <v>286</v>
      </c>
      <c r="D72" s="470">
        <v>255</v>
      </c>
      <c r="E72" s="470"/>
      <c r="F72" s="381"/>
      <c r="G72" s="346" t="s">
        <v>287</v>
      </c>
      <c r="H72" s="332"/>
    </row>
    <row r="73" spans="1:8" ht="40" hidden="1" customHeight="1" x14ac:dyDescent="0.35">
      <c r="A73" s="443"/>
      <c r="B73" s="339" t="s">
        <v>900</v>
      </c>
      <c r="C73" s="339" t="s">
        <v>253</v>
      </c>
      <c r="D73" s="447">
        <v>12</v>
      </c>
      <c r="E73" s="447"/>
      <c r="F73" s="340"/>
      <c r="G73" s="346" t="s">
        <v>254</v>
      </c>
      <c r="H73" s="332"/>
    </row>
    <row r="74" spans="1:8" ht="40" customHeight="1" x14ac:dyDescent="0.35">
      <c r="A74" s="443"/>
      <c r="B74" s="339" t="s">
        <v>855</v>
      </c>
      <c r="C74" s="339" t="str">
        <f>IF('Intro - Start Here'!$C$15="Metric","MJ/kg","Btu/lb")</f>
        <v>Btu/lb</v>
      </c>
      <c r="D74" s="391">
        <f>IF(D69="Spacecraft", (D70*D73*D66), (D70*D71*D72*D66))</f>
        <v>41493232.744500019</v>
      </c>
      <c r="E74" s="391">
        <f>IF(D69="Spacecraft", (E70*D73*D66), (E70*D71*D72*D66))</f>
        <v>3006.4893013743908</v>
      </c>
      <c r="F74" s="392"/>
      <c r="G74" s="346" t="s">
        <v>244</v>
      </c>
      <c r="H74" s="333"/>
    </row>
    <row r="75" spans="1:8" ht="40" customHeight="1" x14ac:dyDescent="0.35">
      <c r="A75" s="443"/>
      <c r="B75" s="387" t="s">
        <v>919</v>
      </c>
      <c r="C75" s="387" t="str">
        <f>IF('Intro - Start Here'!$C$15="Metric","MJ","Btu")&amp;"/part"&amp; "          "&amp; "kg/part"</f>
        <v>Btu/part          kg/part</v>
      </c>
      <c r="D75" s="388">
        <f>D74*D33</f>
        <v>99583758.586800039</v>
      </c>
      <c r="E75" s="388">
        <f>E74*D33</f>
        <v>7215.5743232985378</v>
      </c>
      <c r="F75" s="388"/>
      <c r="G75" s="387" t="s">
        <v>244</v>
      </c>
      <c r="H75" s="379"/>
    </row>
    <row r="76" spans="1:8" ht="50.15" customHeight="1" x14ac:dyDescent="0.35">
      <c r="A76" s="443"/>
      <c r="B76" s="444" t="s">
        <v>980</v>
      </c>
      <c r="C76" s="444"/>
      <c r="D76" s="444"/>
      <c r="E76" s="444"/>
      <c r="F76" s="444"/>
      <c r="G76" s="444"/>
      <c r="H76" s="444"/>
    </row>
    <row r="77" spans="1:8" ht="40" customHeight="1" x14ac:dyDescent="0.35">
      <c r="A77" s="443"/>
      <c r="B77" s="339" t="s">
        <v>801</v>
      </c>
      <c r="C77" s="339" t="s">
        <v>14</v>
      </c>
      <c r="D77" s="446" t="s">
        <v>102</v>
      </c>
      <c r="E77" s="446"/>
      <c r="F77" s="340"/>
      <c r="G77" s="339" t="s">
        <v>237</v>
      </c>
      <c r="H77" s="393"/>
    </row>
    <row r="78" spans="1:8" ht="40" hidden="1" customHeight="1" x14ac:dyDescent="0.35">
      <c r="A78" s="443"/>
      <c r="B78" s="339" t="s">
        <v>802</v>
      </c>
      <c r="C78" s="339" t="s">
        <v>14</v>
      </c>
      <c r="D78" s="446" t="s">
        <v>105</v>
      </c>
      <c r="E78" s="446"/>
      <c r="F78" s="340"/>
      <c r="G78" s="339" t="s">
        <v>817</v>
      </c>
      <c r="H78" s="332"/>
    </row>
    <row r="79" spans="1:8" ht="40" hidden="1" customHeight="1" x14ac:dyDescent="0.35">
      <c r="A79" s="443"/>
      <c r="B79" s="339" t="str">
        <f>IF(ISNUMBER(SEARCH("Thermal",D78)), "Average energy use by the system while in operation", "Average power drawn by system while in Operation")</f>
        <v>Average energy use by the system while in operation</v>
      </c>
      <c r="C79" s="339" t="str">
        <f>IF(OR(D78="Electric to Thermal", D78="Electric to Mechanical"),"kW",IF(unitChoice="Metric","MJ/hr", "Btu/hr"))</f>
        <v>kW</v>
      </c>
      <c r="D79" s="447">
        <v>5</v>
      </c>
      <c r="E79" s="447"/>
      <c r="F79" s="340"/>
      <c r="G79" s="339" t="s">
        <v>624</v>
      </c>
      <c r="H79" s="333"/>
    </row>
    <row r="80" spans="1:8" ht="40" hidden="1" customHeight="1" x14ac:dyDescent="0.35">
      <c r="A80" s="443"/>
      <c r="B80" s="339" t="s">
        <v>329</v>
      </c>
      <c r="C80" s="339" t="s">
        <v>286</v>
      </c>
      <c r="D80" s="447">
        <v>100</v>
      </c>
      <c r="E80" s="447"/>
      <c r="F80" s="340"/>
      <c r="G80" s="339" t="s">
        <v>331</v>
      </c>
      <c r="H80" s="332"/>
    </row>
    <row r="81" spans="1:8" ht="40" hidden="1" customHeight="1" x14ac:dyDescent="0.35">
      <c r="A81" s="443"/>
      <c r="B81" s="339" t="s">
        <v>885</v>
      </c>
      <c r="C81" s="339" t="s">
        <v>107</v>
      </c>
      <c r="D81" s="447">
        <v>10</v>
      </c>
      <c r="E81" s="447"/>
      <c r="F81" s="340"/>
      <c r="G81" s="339" t="s">
        <v>331</v>
      </c>
      <c r="H81" s="332"/>
    </row>
    <row r="82" spans="1:8" ht="40" hidden="1" customHeight="1" x14ac:dyDescent="0.35">
      <c r="A82" s="443"/>
      <c r="B82" s="387" t="s">
        <v>918</v>
      </c>
      <c r="C82" s="387" t="str">
        <f>IF('Intro - Start Here'!$C$15="Metric","MJ","Btu")&amp;"/part"&amp; "          "&amp; "kg/part"</f>
        <v>Btu/part          kg/part</v>
      </c>
      <c r="D82" s="388">
        <f>D79*D80*D81*D66*IF(OR(D78="Electric to Thermal", D78="Electric to Mechanical"),IF(unitChoice="Metric", 3.6,3412.14163),1)</f>
        <v>255910622.25</v>
      </c>
      <c r="E82" s="388">
        <f>D79*D80*D81*D66*IF(OR(D78="Electric to Thermal", D78="Electric to Mechanical"),(1/1000)*'Use Phase'!$N$18,'Use Phase'!$N$12*IF(unitChoice="Metric",947.817/(1000000),1/1000000))</f>
        <v>27980.400250383289</v>
      </c>
      <c r="F82" s="388"/>
      <c r="G82" s="387"/>
      <c r="H82" s="379"/>
    </row>
    <row r="83" spans="1:8" ht="40" customHeight="1" x14ac:dyDescent="0.35">
      <c r="A83" s="443"/>
      <c r="B83" s="362" t="s">
        <v>920</v>
      </c>
      <c r="C83" s="363" t="str">
        <f>IF('Intro - Start Here'!$C$15="Metric","MJ","Btu")&amp;"/part"&amp; "          "&amp; "kg/part"</f>
        <v>Btu/part          kg/part</v>
      </c>
      <c r="D83" s="364">
        <f>IF(D68="yes",D75,0)+IF(D77="yes",D82,0)</f>
        <v>99583758.586800039</v>
      </c>
      <c r="E83" s="364">
        <f>IF(D68="yes",E75,0)+IF(D77="yes",E82,0)</f>
        <v>7215.5743232985378</v>
      </c>
      <c r="F83" s="364"/>
      <c r="G83" s="362" t="s">
        <v>238</v>
      </c>
      <c r="H83" s="365"/>
    </row>
    <row r="84" spans="1:8" ht="50.15" customHeight="1" x14ac:dyDescent="0.35">
      <c r="A84" s="394"/>
      <c r="B84" s="467" t="s">
        <v>981</v>
      </c>
      <c r="C84" s="467"/>
      <c r="D84" s="467"/>
      <c r="E84" s="467"/>
      <c r="F84" s="467"/>
      <c r="G84" s="467"/>
      <c r="H84" s="467"/>
    </row>
    <row r="85" spans="1:8" ht="60" customHeight="1" x14ac:dyDescent="0.35">
      <c r="A85" s="462" t="s">
        <v>280</v>
      </c>
      <c r="B85" s="339" t="s">
        <v>921</v>
      </c>
      <c r="C85" s="346" t="str">
        <f>IF('Intro - Start Here'!$C$15="Metric","MJ","Btu")&amp;"/part"&amp; "          "&amp; "kg/part"</f>
        <v>Btu/part          kg/part</v>
      </c>
      <c r="D85" s="358">
        <v>-515080.26883820479</v>
      </c>
      <c r="E85" s="358">
        <v>-37.701220919704987</v>
      </c>
      <c r="F85" s="347"/>
      <c r="G85" s="440" t="s">
        <v>982</v>
      </c>
      <c r="H85" s="333" t="s">
        <v>1013</v>
      </c>
    </row>
    <row r="86" spans="1:8" ht="60" customHeight="1" x14ac:dyDescent="0.35">
      <c r="A86" s="462"/>
      <c r="B86" s="339" t="s">
        <v>922</v>
      </c>
      <c r="C86" s="346" t="str">
        <f>IF('Intro - Start Here'!$C$15="Metric","MJ","Btu")&amp;"/part"&amp; "          "&amp; "kg/part"</f>
        <v>Btu/part          kg/part</v>
      </c>
      <c r="D86" s="358">
        <v>8.3231999999999999</v>
      </c>
      <c r="E86" s="358">
        <v>0</v>
      </c>
      <c r="F86" s="347"/>
      <c r="G86" s="440"/>
      <c r="H86" s="333"/>
    </row>
    <row r="87" spans="1:8" ht="40" hidden="1" customHeight="1" x14ac:dyDescent="0.35">
      <c r="A87" s="462"/>
      <c r="B87" s="377" t="s">
        <v>923</v>
      </c>
      <c r="C87" s="377" t="str">
        <f>IF('Intro - Start Here'!$C$15="Metric","MJ","Btu")&amp;"/part"&amp; "          "&amp; "kg/part"</f>
        <v>Btu/part          kg/part</v>
      </c>
      <c r="D87" s="378">
        <f>SUM(D85:D86)</f>
        <v>-515071.94563820481</v>
      </c>
      <c r="E87" s="378">
        <f>SUM(E85:E86)</f>
        <v>-37.701220919704987</v>
      </c>
      <c r="F87" s="378"/>
      <c r="G87" s="377" t="s">
        <v>808</v>
      </c>
      <c r="H87" s="379"/>
    </row>
    <row r="88" spans="1:8" ht="60" hidden="1" customHeight="1" x14ac:dyDescent="0.35">
      <c r="A88" s="462"/>
      <c r="B88" s="339" t="s">
        <v>924</v>
      </c>
      <c r="C88" s="346" t="str">
        <f>IF('Intro - Start Here'!$C$15="Metric","MJ","Btu")&amp;"/part"&amp; "          "&amp; "kg/part"</f>
        <v>Btu/part          kg/part</v>
      </c>
      <c r="D88" s="358">
        <v>0</v>
      </c>
      <c r="E88" s="358">
        <v>0</v>
      </c>
      <c r="F88" s="347"/>
      <c r="G88" s="440" t="s">
        <v>983</v>
      </c>
      <c r="H88" s="333"/>
    </row>
    <row r="89" spans="1:8" ht="60" hidden="1" customHeight="1" x14ac:dyDescent="0.35">
      <c r="A89" s="462"/>
      <c r="B89" s="339" t="s">
        <v>925</v>
      </c>
      <c r="C89" s="346" t="str">
        <f>IF('Intro - Start Here'!$C$15="Metric","MJ","Btu")&amp;"/part"&amp; "          "&amp; "kg/part"</f>
        <v>Btu/part          kg/part</v>
      </c>
      <c r="D89" s="358">
        <v>0</v>
      </c>
      <c r="E89" s="358">
        <v>0</v>
      </c>
      <c r="F89" s="347"/>
      <c r="G89" s="440"/>
      <c r="H89" s="333"/>
    </row>
    <row r="90" spans="1:8" ht="40" hidden="1" customHeight="1" x14ac:dyDescent="0.35">
      <c r="A90" s="462"/>
      <c r="B90" s="377" t="s">
        <v>926</v>
      </c>
      <c r="C90" s="377" t="str">
        <f>IF('Intro - Start Here'!$C$15="Metric","MJ","Btu")&amp;"/part"&amp; "          "&amp; "kg/part"</f>
        <v>Btu/part          kg/part</v>
      </c>
      <c r="D90" s="378">
        <f>SUM(D88:D89)</f>
        <v>0</v>
      </c>
      <c r="E90" s="378">
        <f>SUM(E88:E89)</f>
        <v>0</v>
      </c>
      <c r="F90" s="378"/>
      <c r="G90" s="377" t="s">
        <v>809</v>
      </c>
      <c r="H90" s="379"/>
    </row>
    <row r="91" spans="1:8" ht="40" customHeight="1" x14ac:dyDescent="0.35">
      <c r="A91" s="462"/>
      <c r="B91" s="362" t="s">
        <v>927</v>
      </c>
      <c r="C91" s="362" t="str">
        <f>IF('Intro - Start Here'!$C$15="Metric","MJ","Btu")&amp;"/part"&amp; "          "&amp; "kg/part"</f>
        <v>Btu/part          kg/part</v>
      </c>
      <c r="D91" s="364">
        <f>D87+IF(D15="None", 0,D90)</f>
        <v>-515071.94563820481</v>
      </c>
      <c r="E91" s="364">
        <f>E87+IF(D15="None", 0,E90)</f>
        <v>-37.701220919704987</v>
      </c>
      <c r="F91" s="364"/>
      <c r="G91" s="362" t="s">
        <v>810</v>
      </c>
      <c r="H91" s="365"/>
    </row>
    <row r="94" spans="1:8" ht="20.149999999999999" customHeight="1" thickBot="1" x14ac:dyDescent="0.35"/>
    <row r="95" spans="1:8" ht="40" customHeight="1" thickTop="1" x14ac:dyDescent="0.3">
      <c r="A95" s="255"/>
      <c r="B95" s="256"/>
      <c r="C95" s="256"/>
      <c r="D95" s="256" t="str">
        <f>"Stage Energy ("&amp;C104&amp;"/part)"</f>
        <v>Stage Energy (Btu/part)</v>
      </c>
      <c r="E95" s="256" t="str">
        <f>"Stage Carbon ("&amp;C105&amp;"/part)"</f>
        <v>Stage Carbon (kg/part)</v>
      </c>
      <c r="F95" s="257" t="s">
        <v>846</v>
      </c>
      <c r="G95" s="242"/>
    </row>
    <row r="96" spans="1:8" ht="40" customHeight="1" x14ac:dyDescent="0.3">
      <c r="A96" s="464" t="s">
        <v>844</v>
      </c>
      <c r="B96" s="258" t="s">
        <v>245</v>
      </c>
      <c r="C96" s="252" t="str">
        <f>IF('Intro - Start Here'!$C$15="Metric","MJ","Btu")&amp;"/part"&amp; "          "&amp; "kg/part"</f>
        <v>Btu/part          kg/part</v>
      </c>
      <c r="D96" s="259">
        <f>IFERROR(D39*$D$130, 0)</f>
        <v>2337672.0086836056</v>
      </c>
      <c r="E96" s="259">
        <f>IFERROR(E39*$E$130, 0)</f>
        <v>162.77090836516044</v>
      </c>
      <c r="F96" s="260"/>
      <c r="G96" s="242"/>
    </row>
    <row r="97" spans="1:7" ht="40" customHeight="1" x14ac:dyDescent="0.3">
      <c r="A97" s="465"/>
      <c r="B97" s="261" t="s">
        <v>206</v>
      </c>
      <c r="C97" s="252" t="str">
        <f>IF('Intro - Start Here'!$C$15="Metric","MJ","Btu")&amp;"/part"&amp; "          "&amp; "kg/part"</f>
        <v>Btu/part          kg/part</v>
      </c>
      <c r="D97" s="259">
        <f>D51*$D$130</f>
        <v>800009.65500000003</v>
      </c>
      <c r="E97" s="259">
        <f>E51*$E$130</f>
        <v>87.235078274853933</v>
      </c>
      <c r="F97" s="260"/>
      <c r="G97" s="242"/>
    </row>
    <row r="98" spans="1:7" ht="40" customHeight="1" x14ac:dyDescent="0.3">
      <c r="A98" s="465"/>
      <c r="B98" s="262" t="s">
        <v>64</v>
      </c>
      <c r="C98" s="252" t="str">
        <f>IF('Intro - Start Here'!$C$15="Metric","MJ","Btu")&amp;"/part"&amp; "          "&amp; "kg/part"</f>
        <v>Btu/part          kg/part</v>
      </c>
      <c r="D98" s="259">
        <f>D64*$D$130</f>
        <v>40462.615364178804</v>
      </c>
      <c r="E98" s="259">
        <f>E64*$E$130</f>
        <v>1.2454629992038873</v>
      </c>
      <c r="F98" s="260"/>
      <c r="G98" s="242"/>
    </row>
    <row r="99" spans="1:7" ht="40" customHeight="1" x14ac:dyDescent="0.3">
      <c r="A99" s="465"/>
      <c r="B99" s="263" t="s">
        <v>118</v>
      </c>
      <c r="C99" s="252" t="str">
        <f>IF('Intro - Start Here'!$C$15="Metric","MJ","Btu")&amp;"/part"&amp; "          "&amp; "kg/part"</f>
        <v>Btu/part          kg/part</v>
      </c>
      <c r="D99" s="259">
        <f>D83*$D$130</f>
        <v>99583758.586800039</v>
      </c>
      <c r="E99" s="259">
        <f>E83*$E$130</f>
        <v>7215.5743232985378</v>
      </c>
      <c r="F99" s="260"/>
      <c r="G99" s="242"/>
    </row>
    <row r="100" spans="1:7" ht="40" customHeight="1" thickBot="1" x14ac:dyDescent="0.35">
      <c r="A100" s="466"/>
      <c r="B100" s="264" t="s">
        <v>65</v>
      </c>
      <c r="C100" s="265" t="str">
        <f>IF('Intro - Start Here'!$C$15="Metric","MJ","Btu")&amp;"/part"&amp; "          "&amp; "kg/part"</f>
        <v>Btu/part          kg/part</v>
      </c>
      <c r="D100" s="266">
        <f>D91*$D$130</f>
        <v>-515071.94563820481</v>
      </c>
      <c r="E100" s="266">
        <f>E91*$E$130</f>
        <v>-37.701220919704987</v>
      </c>
      <c r="F100" s="267"/>
      <c r="G100" s="242"/>
    </row>
    <row r="101" spans="1:7" ht="19.5" customHeight="1" thickTop="1" x14ac:dyDescent="0.3"/>
    <row r="102" spans="1:7" ht="20.149999999999999" customHeight="1" thickBot="1" x14ac:dyDescent="0.35"/>
    <row r="103" spans="1:7" ht="20.149999999999999" customHeight="1" x14ac:dyDescent="0.3">
      <c r="B103" s="268" t="s">
        <v>847</v>
      </c>
      <c r="C103" s="269"/>
    </row>
    <row r="104" spans="1:7" ht="20.149999999999999" customHeight="1" x14ac:dyDescent="0.3">
      <c r="B104" s="270" t="s">
        <v>850</v>
      </c>
      <c r="C104" s="271" t="s">
        <v>642</v>
      </c>
    </row>
    <row r="105" spans="1:7" ht="20.149999999999999" customHeight="1" thickBot="1" x14ac:dyDescent="0.35">
      <c r="B105" s="272" t="s">
        <v>851</v>
      </c>
      <c r="C105" s="273" t="s">
        <v>3</v>
      </c>
    </row>
    <row r="125" spans="2:7" ht="20.149999999999999" customHeight="1" x14ac:dyDescent="0.3">
      <c r="B125" s="274"/>
      <c r="C125" s="274"/>
      <c r="D125" s="274"/>
      <c r="E125" s="275"/>
      <c r="F125" s="213"/>
      <c r="G125" s="274"/>
    </row>
    <row r="126" spans="2:7" ht="20.149999999999999" customHeight="1" x14ac:dyDescent="0.3">
      <c r="B126" s="274"/>
      <c r="C126" s="274"/>
      <c r="D126" s="274"/>
      <c r="E126" s="275"/>
      <c r="F126" s="213"/>
      <c r="G126" s="274"/>
    </row>
    <row r="127" spans="2:7" ht="20.149999999999999" customHeight="1" x14ac:dyDescent="0.3">
      <c r="B127" s="274"/>
      <c r="C127" s="274"/>
      <c r="D127" s="274"/>
      <c r="E127" s="275"/>
      <c r="F127" s="213"/>
      <c r="G127" s="274"/>
    </row>
    <row r="128" spans="2:7" ht="20.149999999999999" customHeight="1" x14ac:dyDescent="0.3">
      <c r="B128" s="274"/>
      <c r="C128" s="274"/>
      <c r="D128" s="274"/>
      <c r="E128" s="275"/>
      <c r="F128" s="213"/>
      <c r="G128" s="274"/>
    </row>
    <row r="129" spans="2:7" ht="20.149999999999999" customHeight="1" x14ac:dyDescent="0.3">
      <c r="B129" s="116"/>
      <c r="C129" s="116" t="s">
        <v>845</v>
      </c>
      <c r="D129" s="116"/>
      <c r="E129" s="276"/>
      <c r="F129" s="277"/>
      <c r="G129" s="274"/>
    </row>
    <row r="130" spans="2:7" ht="20.149999999999999" customHeight="1" x14ac:dyDescent="0.3">
      <c r="B130" s="116"/>
      <c r="C130" s="116"/>
      <c r="D130" s="116">
        <f>IF(C104="MMBtu",(1/1000000),IF(C104="GJ",(1/1000),1))</f>
        <v>1</v>
      </c>
      <c r="E130" s="276">
        <f>IF(C105="kg", 1, (1/1000))</f>
        <v>1</v>
      </c>
      <c r="F130" s="277"/>
      <c r="G130" s="274"/>
    </row>
    <row r="131" spans="2:7" ht="20.149999999999999" customHeight="1" x14ac:dyDescent="0.3">
      <c r="B131" s="116" t="str">
        <f>B96</f>
        <v>Materials</v>
      </c>
      <c r="C131" s="116" t="b">
        <v>1</v>
      </c>
      <c r="D131" s="278">
        <f>C131*D96</f>
        <v>2337672.0086836056</v>
      </c>
      <c r="E131" s="278">
        <f>C131*E96</f>
        <v>162.77090836516044</v>
      </c>
      <c r="F131" s="277">
        <f>E131/D131</f>
        <v>6.9629489406779663E-5</v>
      </c>
      <c r="G131" s="274"/>
    </row>
    <row r="132" spans="2:7" ht="20.149999999999999" customHeight="1" x14ac:dyDescent="0.3">
      <c r="B132" s="116" t="str">
        <f>B97</f>
        <v>Manufacturing</v>
      </c>
      <c r="C132" s="116" t="b">
        <v>1</v>
      </c>
      <c r="D132" s="278">
        <f>C132*D97</f>
        <v>800009.65500000003</v>
      </c>
      <c r="E132" s="278">
        <f>C132*E97</f>
        <v>87.235078274853933</v>
      </c>
      <c r="F132" s="277">
        <f>E132/D132</f>
        <v>1.0904253183651132E-4</v>
      </c>
      <c r="G132" s="274"/>
    </row>
    <row r="133" spans="2:7" ht="20.149999999999999" customHeight="1" x14ac:dyDescent="0.3">
      <c r="B133" s="116" t="str">
        <f>B98</f>
        <v>Transportation</v>
      </c>
      <c r="C133" s="116" t="b">
        <v>1</v>
      </c>
      <c r="D133" s="278">
        <f>C133*D98</f>
        <v>40462.615364178804</v>
      </c>
      <c r="E133" s="278">
        <f>C133*E98</f>
        <v>1.2454629992038873</v>
      </c>
      <c r="F133" s="277">
        <f>E133/D133</f>
        <v>3.0780585683704585E-5</v>
      </c>
      <c r="G133" s="274"/>
    </row>
    <row r="134" spans="2:7" ht="20.149999999999999" customHeight="1" x14ac:dyDescent="0.3">
      <c r="B134" s="116" t="str">
        <f>B99</f>
        <v>Use</v>
      </c>
      <c r="C134" s="116" t="b">
        <v>1</v>
      </c>
      <c r="D134" s="278">
        <f>C134*D99</f>
        <v>99583758.586800039</v>
      </c>
      <c r="E134" s="278">
        <f>C134*E99</f>
        <v>7215.5743232985378</v>
      </c>
      <c r="F134" s="277">
        <f>E134/D134</f>
        <v>7.2457340691848242E-5</v>
      </c>
      <c r="G134" s="274"/>
    </row>
    <row r="135" spans="2:7" ht="20.149999999999999" customHeight="1" x14ac:dyDescent="0.3">
      <c r="B135" s="116" t="str">
        <f>B100</f>
        <v>Disposal</v>
      </c>
      <c r="C135" s="116" t="b">
        <v>1</v>
      </c>
      <c r="D135" s="278">
        <f>C135*D100</f>
        <v>-515071.94563820481</v>
      </c>
      <c r="E135" s="278">
        <f>C135*E100</f>
        <v>-37.701220919704987</v>
      </c>
      <c r="F135" s="277">
        <f>E135/D135</f>
        <v>7.3196028708166061E-5</v>
      </c>
      <c r="G135" s="274"/>
    </row>
    <row r="136" spans="2:7" ht="20.149999999999999" customHeight="1" x14ac:dyDescent="0.3">
      <c r="B136" s="116"/>
      <c r="C136" s="116"/>
      <c r="D136" s="116"/>
      <c r="E136" s="276"/>
      <c r="F136" s="277"/>
      <c r="G136" s="274"/>
    </row>
    <row r="137" spans="2:7" ht="20.149999999999999" customHeight="1" x14ac:dyDescent="0.3">
      <c r="B137" s="116"/>
      <c r="C137" s="116"/>
      <c r="D137" s="116"/>
      <c r="E137" s="276"/>
      <c r="F137" s="277"/>
      <c r="G137" s="274"/>
    </row>
    <row r="138" spans="2:7" ht="20.149999999999999" customHeight="1" x14ac:dyDescent="0.3">
      <c r="B138" s="116" t="str">
        <f>B131</f>
        <v>Materials</v>
      </c>
      <c r="C138" s="116"/>
      <c r="D138" s="279">
        <f>D131/($D$131+$D$132+$D$133+$D$134+IF($D$135&lt;0,0,$D$135))</f>
        <v>2.2748430532036342E-2</v>
      </c>
      <c r="E138" s="279">
        <f>E131/($E$131+$E$132+$E$133+$E$134+IF($E$135&lt;0,0,$E$135))</f>
        <v>2.1799210710807794E-2</v>
      </c>
      <c r="F138" s="277"/>
      <c r="G138" s="274"/>
    </row>
    <row r="139" spans="2:7" ht="20.149999999999999" customHeight="1" x14ac:dyDescent="0.3">
      <c r="B139" s="116" t="str">
        <f>B132</f>
        <v>Manufacturing</v>
      </c>
      <c r="C139" s="116"/>
      <c r="D139" s="279">
        <f>D132/($D$131+$D$132+$D$133+$D$134+IF($D$135&lt;0,0,$D$135))</f>
        <v>7.7850801969323738E-3</v>
      </c>
      <c r="E139" s="279">
        <f>E132/($E$131+$E$132+$E$133+$E$134+IF($E$135&lt;0,0,$E$135))</f>
        <v>1.1683020459781274E-2</v>
      </c>
      <c r="F139" s="277"/>
      <c r="G139" s="274"/>
    </row>
    <row r="140" spans="2:7" ht="20.149999999999999" customHeight="1" x14ac:dyDescent="0.3">
      <c r="B140" s="116" t="str">
        <f>B133</f>
        <v>Transportation</v>
      </c>
      <c r="C140" s="116"/>
      <c r="D140" s="279">
        <f>D133/($D$131+$D$132+$D$133+$D$134+IF($D$135&lt;0,0,$D$135))</f>
        <v>3.9375112990075098E-4</v>
      </c>
      <c r="E140" s="279">
        <f>E133/($E$131+$E$132+$E$133+$E$134+IF($E$135&lt;0,0,$E$135))</f>
        <v>1.6679952594017349E-4</v>
      </c>
      <c r="F140" s="277"/>
      <c r="G140" s="274"/>
    </row>
    <row r="141" spans="2:7" ht="20.149999999999999" customHeight="1" x14ac:dyDescent="0.3">
      <c r="B141" s="116" t="str">
        <f>B134</f>
        <v>Use</v>
      </c>
      <c r="C141" s="116"/>
      <c r="D141" s="279">
        <f>D134/($D$131+$D$132+$D$133+$D$134+IF($D$135&lt;0,0,$D$135))</f>
        <v>0.96907273814113049</v>
      </c>
      <c r="E141" s="279">
        <f>E134/($E$131+$E$132+$E$133+$E$134+IF($E$135&lt;0,0,$E$135))</f>
        <v>0.96635096930347075</v>
      </c>
      <c r="F141" s="277"/>
      <c r="G141" s="274"/>
    </row>
    <row r="142" spans="2:7" ht="20.149999999999999" customHeight="1" x14ac:dyDescent="0.3">
      <c r="B142" s="116" t="str">
        <f>B135</f>
        <v>Disposal</v>
      </c>
      <c r="C142" s="116"/>
      <c r="D142" s="279">
        <f>IF($D$135&lt;0,0,$D$135)/($D$131+$D$132+$D$133+$D$134+IF($D$135&lt;0,0,$D$135))</f>
        <v>0</v>
      </c>
      <c r="E142" s="279">
        <f>IF($E$135&lt;0,0,$E$135)/($E$131+$E$132+$E$133+$E$134+IF($E$135&lt;0,0,$E$135))</f>
        <v>0</v>
      </c>
      <c r="F142" s="277"/>
      <c r="G142" s="274"/>
    </row>
    <row r="143" spans="2:7" ht="20.149999999999999" customHeight="1" x14ac:dyDescent="0.3">
      <c r="B143" s="116"/>
      <c r="C143" s="116"/>
      <c r="D143" s="116"/>
      <c r="E143" s="276"/>
      <c r="F143" s="277"/>
      <c r="G143" s="274"/>
    </row>
    <row r="144" spans="2:7" ht="20.149999999999999" customHeight="1" x14ac:dyDescent="0.3">
      <c r="B144" s="280"/>
      <c r="C144" s="280"/>
      <c r="D144" s="280"/>
      <c r="E144" s="281"/>
      <c r="F144" s="282"/>
    </row>
    <row r="145" spans="2:6" ht="20.149999999999999" customHeight="1" x14ac:dyDescent="0.3">
      <c r="B145" s="280"/>
      <c r="C145" s="280"/>
      <c r="D145" s="280"/>
      <c r="E145" s="281"/>
      <c r="F145" s="282"/>
    </row>
  </sheetData>
  <sheetProtection algorithmName="SHA-512" hashValue="mkrcZjSHgELuLcO6EXawp61RCh8MR1SDROOYt4I0Ud4nmFU0I6M5ReeHTCE8aeCFlOMlE3K5dIo9S7PWlg/WxQ==" saltValue="wIodFUnAl8fRZLU/4m6M9Q==" spinCount="100000" sheet="1" objects="1" scenarios="1"/>
  <mergeCells count="68">
    <mergeCell ref="A85:A91"/>
    <mergeCell ref="A41:A51"/>
    <mergeCell ref="A96:A100"/>
    <mergeCell ref="B84:H84"/>
    <mergeCell ref="B52:H52"/>
    <mergeCell ref="D59:E59"/>
    <mergeCell ref="B65:H65"/>
    <mergeCell ref="D66:E66"/>
    <mergeCell ref="D71:E71"/>
    <mergeCell ref="D73:E73"/>
    <mergeCell ref="D77:E77"/>
    <mergeCell ref="D72:E72"/>
    <mergeCell ref="D81:E81"/>
    <mergeCell ref="D68:E68"/>
    <mergeCell ref="D69:E69"/>
    <mergeCell ref="D78:E78"/>
    <mergeCell ref="D11:E11"/>
    <mergeCell ref="D12:E12"/>
    <mergeCell ref="D6:E6"/>
    <mergeCell ref="D33:E33"/>
    <mergeCell ref="D8:E8"/>
    <mergeCell ref="D9:E9"/>
    <mergeCell ref="D13:E13"/>
    <mergeCell ref="D80:E80"/>
    <mergeCell ref="D14:E14"/>
    <mergeCell ref="D15:E15"/>
    <mergeCell ref="D16:E16"/>
    <mergeCell ref="D17:E17"/>
    <mergeCell ref="D32:E32"/>
    <mergeCell ref="B22:H22"/>
    <mergeCell ref="D21:E21"/>
    <mergeCell ref="D58:E58"/>
    <mergeCell ref="D35:E35"/>
    <mergeCell ref="D36:E36"/>
    <mergeCell ref="D41:E41"/>
    <mergeCell ref="D34:E34"/>
    <mergeCell ref="A2:H2"/>
    <mergeCell ref="B67:H67"/>
    <mergeCell ref="B40:H40"/>
    <mergeCell ref="B45:H45"/>
    <mergeCell ref="B49:H49"/>
    <mergeCell ref="B7:H7"/>
    <mergeCell ref="B31:H31"/>
    <mergeCell ref="D18:E18"/>
    <mergeCell ref="D19:E19"/>
    <mergeCell ref="D20:E20"/>
    <mergeCell ref="A53:A64"/>
    <mergeCell ref="A4:A6"/>
    <mergeCell ref="D5:H5"/>
    <mergeCell ref="D3:E3"/>
    <mergeCell ref="D4:E4"/>
    <mergeCell ref="D10:E10"/>
    <mergeCell ref="G85:G86"/>
    <mergeCell ref="G88:G89"/>
    <mergeCell ref="A8:A39"/>
    <mergeCell ref="B23:B24"/>
    <mergeCell ref="B25:B26"/>
    <mergeCell ref="B27:B28"/>
    <mergeCell ref="B29:B30"/>
    <mergeCell ref="A66:A83"/>
    <mergeCell ref="B76:H76"/>
    <mergeCell ref="D63:E63"/>
    <mergeCell ref="D61:E61"/>
    <mergeCell ref="D53:E53"/>
    <mergeCell ref="D54:E54"/>
    <mergeCell ref="D56:E56"/>
    <mergeCell ref="G46:G47"/>
    <mergeCell ref="D79:E79"/>
  </mergeCells>
  <dataValidations count="22">
    <dataValidation type="list" allowBlank="1" showInputMessage="1" showErrorMessage="1" sqref="F59 D54" xr:uid="{00000000-0002-0000-0300-000003000000}">
      <formula1>Transportation</formula1>
    </dataValidation>
    <dataValidation type="list" allowBlank="1" showInputMessage="1" showErrorMessage="1" sqref="C6" xr:uid="{00000000-0002-0000-0300-000005000000}">
      <formula1>"Select, # of Cycles, Years, Months, Days"</formula1>
    </dataValidation>
    <dataValidation type="list" allowBlank="1" showInputMessage="1" showErrorMessage="1" sqref="D56" xr:uid="{0F80050F-8FAE-45D0-8CFB-356EC9F27983}">
      <formula1>Transportation_2</formula1>
    </dataValidation>
    <dataValidation type="list" allowBlank="1" showInputMessage="1" showErrorMessage="1" sqref="D69" xr:uid="{00000000-0002-0000-0300-00000B000000}">
      <formula1>Use_Trans</formula1>
    </dataValidation>
    <dataValidation type="list" allowBlank="1" showInputMessage="1" showErrorMessage="1" sqref="D11 D18" xr:uid="{98730388-65D8-453D-A3C2-416B7AD2AFA8}">
      <formula1>"Primary, Secondary, Market Mix"</formula1>
    </dataValidation>
    <dataValidation type="list" allowBlank="1" showInputMessage="1" showErrorMessage="1" sqref="D8" xr:uid="{D4866ED7-9DBD-4DF4-9DB4-2DFACFC0AB71}">
      <formula1>"Select, Metal, Polymer, Fiber, Ceramic"</formula1>
    </dataValidation>
    <dataValidation type="decimal" operator="greaterThanOrEqual" allowBlank="1" showInputMessage="1" showErrorMessage="1" sqref="D12:D13 D24:F24 D26:F26 D28:F28 D30:F30 D19:D20" xr:uid="{66B476F2-9505-4B8A-A86F-A8AB6DB801C1}">
      <formula1>0</formula1>
    </dataValidation>
    <dataValidation type="decimal" allowBlank="1" showInputMessage="1" showErrorMessage="1" sqref="D14 D21" xr:uid="{6E7787CD-175B-46D8-B0BC-7E2B999D399F}">
      <formula1>0</formula1>
      <formula2>1</formula2>
    </dataValidation>
    <dataValidation type="list" allowBlank="1" showInputMessage="1" showErrorMessage="1" sqref="D9" xr:uid="{AC9BAE33-4DE2-4FF6-A5EA-80B17775048B}">
      <formula1>INDIRECT("Material_"&amp;$D$8)</formula1>
    </dataValidation>
    <dataValidation type="list" allowBlank="1" showInputMessage="1" showErrorMessage="1" sqref="D10" xr:uid="{C0F53B86-F641-4B9E-9607-144575DF36F4}">
      <formula1>INDIRECT("Form_"&amp;$D$8)</formula1>
    </dataValidation>
    <dataValidation type="list" allowBlank="1" showInputMessage="1" showErrorMessage="1" sqref="D16:E16" xr:uid="{C1A48A9F-C95B-4E8C-8D80-DCEF47058AF8}">
      <formula1>INDIRECT("Material_"&amp;$D$15)</formula1>
    </dataValidation>
    <dataValidation type="list" allowBlank="1" showInputMessage="1" showErrorMessage="1" sqref="D17" xr:uid="{CF39A667-90AF-476D-96DA-F9F076ED350C}">
      <formula1>INDIRECT("Form_"&amp;$D$15)</formula1>
    </dataValidation>
    <dataValidation type="list" allowBlank="1" showInputMessage="1" showErrorMessage="1" sqref="D15" xr:uid="{36602C08-10C6-488D-B274-3E972FCA36FF}">
      <formula1>INDIRECT("Second_"&amp;$D$8)</formula1>
    </dataValidation>
    <dataValidation type="list" allowBlank="1" showInputMessage="1" showErrorMessage="1" sqref="D77:E77" xr:uid="{01D0BDB3-0BB4-4ED3-AC89-839FDACCC4C4}">
      <formula1>"Select, Yes, No"</formula1>
    </dataValidation>
    <dataValidation type="list" allowBlank="1" showInputMessage="1" showErrorMessage="1" sqref="D59:E59" xr:uid="{1339F7CE-2D5B-4EDE-B3F7-77271FFF4E89}">
      <formula1>TransportationB</formula1>
    </dataValidation>
    <dataValidation type="list" allowBlank="1" showInputMessage="1" showErrorMessage="1" sqref="D61" xr:uid="{F3550A2F-817C-44FB-8CDD-EE773BDCC815}">
      <formula1>TransportationB_2</formula1>
    </dataValidation>
    <dataValidation type="list" allowBlank="1" showInputMessage="1" showErrorMessage="1" sqref="D41:E41" xr:uid="{985DDDEB-5C9C-4AD3-AE19-5B5EA43E3F47}">
      <formula1>INDIRECT("CM_"&amp;IF($D$15 = "Fiber", $D$15,$D$8))</formula1>
    </dataValidation>
    <dataValidation type="list" allowBlank="1" showInputMessage="1" showErrorMessage="1" sqref="C104" xr:uid="{D37B3F11-7933-4825-BFB7-B0FAEB25B9A0}">
      <formula1>unitSizeList</formula1>
    </dataValidation>
    <dataValidation type="list" allowBlank="1" showInputMessage="1" showErrorMessage="1" sqref="C105" xr:uid="{26437D06-D201-4F38-BF21-5F50C319FD35}">
      <formula1>"kg, tonne"</formula1>
    </dataValidation>
    <dataValidation type="list" allowBlank="1" showInputMessage="1" showErrorMessage="1" sqref="D53:E53" xr:uid="{2F8A4CB0-5458-4342-9B69-31FBE00D3BD5}">
      <formula1>"Simple, Intermediate"</formula1>
    </dataValidation>
    <dataValidation type="list" allowBlank="1" showInputMessage="1" showErrorMessage="1" sqref="D68:E68" xr:uid="{6CB57F7A-2069-4ED5-8029-F5E667EC174A}">
      <formula1>"Select, Yes, No"</formula1>
    </dataValidation>
    <dataValidation type="list" allowBlank="1" showInputMessage="1" showErrorMessage="1" sqref="D78:E78" xr:uid="{48DCA4DD-3955-4377-9A10-E594AA57E5A9}">
      <formula1>"Select, Electric to Thermal, Electric to Mechanical, Fossil fuel to Thermal, Fossil fuel to Mechanical"</formula1>
    </dataValidation>
  </dataValidations>
  <pageMargins left="0.7" right="0.7" top="0.75" bottom="0.75" header="0.3" footer="0.3"/>
  <pageSetup scale="13" orientation="portrait" r:id="rId1"/>
  <ignoredErrors>
    <ignoredError sqref="D3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123" r:id="rId4" name="Check Box 75">
              <controlPr locked="0" defaultSize="0" autoFill="0" autoLine="0" autoPict="0">
                <anchor moveWithCells="1">
                  <from>
                    <xdr:col>5</xdr:col>
                    <xdr:colOff>95250</xdr:colOff>
                    <xdr:row>95</xdr:row>
                    <xdr:rowOff>76200</xdr:rowOff>
                  </from>
                  <to>
                    <xdr:col>5</xdr:col>
                    <xdr:colOff>990600</xdr:colOff>
                    <xdr:row>95</xdr:row>
                    <xdr:rowOff>317500</xdr:rowOff>
                  </to>
                </anchor>
              </controlPr>
            </control>
          </mc:Choice>
        </mc:AlternateContent>
        <mc:AlternateContent xmlns:mc="http://schemas.openxmlformats.org/markup-compatibility/2006">
          <mc:Choice Requires="x14">
            <control shapeId="2124" r:id="rId5" name="Check Box 76">
              <controlPr locked="0" defaultSize="0" autoFill="0" autoLine="0" autoPict="0">
                <anchor moveWithCells="1">
                  <from>
                    <xdr:col>5</xdr:col>
                    <xdr:colOff>95250</xdr:colOff>
                    <xdr:row>96</xdr:row>
                    <xdr:rowOff>76200</xdr:rowOff>
                  </from>
                  <to>
                    <xdr:col>5</xdr:col>
                    <xdr:colOff>990600</xdr:colOff>
                    <xdr:row>96</xdr:row>
                    <xdr:rowOff>317500</xdr:rowOff>
                  </to>
                </anchor>
              </controlPr>
            </control>
          </mc:Choice>
        </mc:AlternateContent>
        <mc:AlternateContent xmlns:mc="http://schemas.openxmlformats.org/markup-compatibility/2006">
          <mc:Choice Requires="x14">
            <control shapeId="2125" r:id="rId6" name="Check Box 77">
              <controlPr locked="0" defaultSize="0" autoFill="0" autoLine="0" autoPict="0">
                <anchor moveWithCells="1">
                  <from>
                    <xdr:col>5</xdr:col>
                    <xdr:colOff>95250</xdr:colOff>
                    <xdr:row>97</xdr:row>
                    <xdr:rowOff>76200</xdr:rowOff>
                  </from>
                  <to>
                    <xdr:col>5</xdr:col>
                    <xdr:colOff>990600</xdr:colOff>
                    <xdr:row>97</xdr:row>
                    <xdr:rowOff>317500</xdr:rowOff>
                  </to>
                </anchor>
              </controlPr>
            </control>
          </mc:Choice>
        </mc:AlternateContent>
        <mc:AlternateContent xmlns:mc="http://schemas.openxmlformats.org/markup-compatibility/2006">
          <mc:Choice Requires="x14">
            <control shapeId="2126" r:id="rId7" name="Check Box 78">
              <controlPr locked="0" defaultSize="0" autoFill="0" autoLine="0" autoPict="0">
                <anchor moveWithCells="1">
                  <from>
                    <xdr:col>5</xdr:col>
                    <xdr:colOff>95250</xdr:colOff>
                    <xdr:row>98</xdr:row>
                    <xdr:rowOff>76200</xdr:rowOff>
                  </from>
                  <to>
                    <xdr:col>5</xdr:col>
                    <xdr:colOff>990600</xdr:colOff>
                    <xdr:row>98</xdr:row>
                    <xdr:rowOff>317500</xdr:rowOff>
                  </to>
                </anchor>
              </controlPr>
            </control>
          </mc:Choice>
        </mc:AlternateContent>
        <mc:AlternateContent xmlns:mc="http://schemas.openxmlformats.org/markup-compatibility/2006">
          <mc:Choice Requires="x14">
            <control shapeId="2127" r:id="rId8" name="Check Box 79">
              <controlPr locked="0" defaultSize="0" autoFill="0" autoLine="0" autoPict="0">
                <anchor moveWithCells="1">
                  <from>
                    <xdr:col>5</xdr:col>
                    <xdr:colOff>95250</xdr:colOff>
                    <xdr:row>99</xdr:row>
                    <xdr:rowOff>76200</xdr:rowOff>
                  </from>
                  <to>
                    <xdr:col>5</xdr:col>
                    <xdr:colOff>990600</xdr:colOff>
                    <xdr:row>99</xdr:row>
                    <xdr:rowOff>317500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pageSetUpPr fitToPage="1"/>
  </sheetPr>
  <dimension ref="A1:P227"/>
  <sheetViews>
    <sheetView zoomScale="55" zoomScaleNormal="55" workbookViewId="0">
      <selection activeCell="E99" sqref="E99"/>
    </sheetView>
  </sheetViews>
  <sheetFormatPr defaultColWidth="0" defaultRowHeight="20.149999999999999" customHeight="1" x14ac:dyDescent="0.35"/>
  <cols>
    <col min="1" max="1" width="14.6328125" style="248" customWidth="1"/>
    <col min="2" max="2" width="60.7265625" style="248" customWidth="1"/>
    <col min="3" max="5" width="25.7265625" style="248" customWidth="1"/>
    <col min="6" max="6" width="16.7265625" style="254" customWidth="1"/>
    <col min="7" max="7" width="90.7265625" style="248" customWidth="1"/>
    <col min="8" max="8" width="55.7265625" style="248" customWidth="1"/>
    <col min="9" max="9" width="10.7265625" style="248" customWidth="1"/>
    <col min="10" max="10" width="25.7265625" style="248" customWidth="1"/>
    <col min="11" max="11" width="10.7265625" style="248" customWidth="1"/>
    <col min="12" max="16" width="0" style="248" hidden="1" customWidth="1"/>
    <col min="17" max="16384" width="9.1796875" style="248" hidden="1"/>
  </cols>
  <sheetData>
    <row r="1" spans="1:16" s="242" customFormat="1" ht="90" customHeight="1" x14ac:dyDescent="0.3">
      <c r="A1" s="335" t="s">
        <v>932</v>
      </c>
      <c r="B1" s="335"/>
      <c r="C1" s="335"/>
      <c r="D1" s="335"/>
      <c r="E1" s="335"/>
      <c r="F1" s="335"/>
      <c r="G1" s="335"/>
      <c r="H1" s="336"/>
      <c r="I1" s="210"/>
      <c r="J1" s="283"/>
      <c r="K1" s="210"/>
      <c r="L1" s="151"/>
      <c r="M1" s="151"/>
      <c r="N1" s="151"/>
      <c r="O1" s="151"/>
      <c r="P1" s="151"/>
    </row>
    <row r="2" spans="1:16" s="242" customFormat="1" ht="50.15" customHeight="1" x14ac:dyDescent="0.3">
      <c r="A2" s="448" t="s">
        <v>889</v>
      </c>
      <c r="B2" s="448"/>
      <c r="C2" s="448"/>
      <c r="D2" s="448"/>
      <c r="E2" s="448"/>
      <c r="F2" s="448"/>
      <c r="G2" s="448"/>
      <c r="H2" s="448"/>
      <c r="I2" s="210"/>
      <c r="J2" s="283"/>
      <c r="K2" s="210"/>
      <c r="L2" s="151"/>
      <c r="M2" s="151"/>
      <c r="N2" s="151"/>
      <c r="O2" s="151"/>
      <c r="P2" s="151"/>
    </row>
    <row r="3" spans="1:16" s="242" customFormat="1" ht="75" customHeight="1" x14ac:dyDescent="0.3">
      <c r="A3" s="337" t="s">
        <v>115</v>
      </c>
      <c r="B3" s="337" t="s">
        <v>112</v>
      </c>
      <c r="C3" s="338" t="s">
        <v>2</v>
      </c>
      <c r="D3" s="455" t="s">
        <v>1008</v>
      </c>
      <c r="E3" s="455"/>
      <c r="F3" s="338"/>
      <c r="G3" s="338" t="s">
        <v>229</v>
      </c>
      <c r="H3" s="338" t="s">
        <v>228</v>
      </c>
      <c r="I3" s="210"/>
      <c r="J3" s="248"/>
      <c r="K3" s="248"/>
      <c r="L3" s="151"/>
      <c r="M3" s="151"/>
      <c r="N3" s="151"/>
      <c r="O3" s="151"/>
      <c r="P3" s="151"/>
    </row>
    <row r="4" spans="1:16" s="242" customFormat="1" ht="40" customHeight="1" x14ac:dyDescent="0.3">
      <c r="A4" s="453" t="s">
        <v>117</v>
      </c>
      <c r="B4" s="339" t="s">
        <v>0</v>
      </c>
      <c r="C4" s="339" t="s">
        <v>113</v>
      </c>
      <c r="D4" s="447" t="s">
        <v>212</v>
      </c>
      <c r="E4" s="447"/>
      <c r="F4" s="340"/>
      <c r="G4" s="339" t="s">
        <v>270</v>
      </c>
      <c r="H4" s="341"/>
      <c r="I4" s="210"/>
      <c r="J4" s="312" t="s">
        <v>636</v>
      </c>
      <c r="K4" s="249"/>
      <c r="L4" s="151"/>
      <c r="M4" s="151"/>
      <c r="N4" s="151"/>
      <c r="O4" s="151"/>
      <c r="P4" s="151"/>
    </row>
    <row r="5" spans="1:16" s="242" customFormat="1" ht="40" customHeight="1" x14ac:dyDescent="0.3">
      <c r="A5" s="453"/>
      <c r="B5" s="339" t="s">
        <v>1</v>
      </c>
      <c r="C5" s="339" t="s">
        <v>116</v>
      </c>
      <c r="D5" s="454" t="s">
        <v>231</v>
      </c>
      <c r="E5" s="454"/>
      <c r="F5" s="454"/>
      <c r="G5" s="454"/>
      <c r="H5" s="454"/>
      <c r="I5" s="210"/>
      <c r="J5" s="250" t="s">
        <v>635</v>
      </c>
      <c r="K5" s="251"/>
      <c r="L5" s="151"/>
      <c r="M5" s="151"/>
      <c r="N5" s="151"/>
      <c r="O5" s="151"/>
      <c r="P5" s="151"/>
    </row>
    <row r="6" spans="1:16" s="242" customFormat="1" ht="40" customHeight="1" x14ac:dyDescent="0.3">
      <c r="A6" s="453"/>
      <c r="B6" s="342" t="s">
        <v>842</v>
      </c>
      <c r="C6" s="343" t="s">
        <v>70</v>
      </c>
      <c r="D6" s="447">
        <v>0</v>
      </c>
      <c r="E6" s="447"/>
      <c r="F6" s="340"/>
      <c r="G6" s="339" t="s">
        <v>114</v>
      </c>
      <c r="H6" s="332"/>
      <c r="I6" s="210"/>
      <c r="J6" s="313" t="s">
        <v>227</v>
      </c>
      <c r="K6" s="249"/>
      <c r="L6" s="151"/>
      <c r="M6" s="151"/>
      <c r="N6" s="151"/>
      <c r="O6" s="151"/>
      <c r="P6" s="151"/>
    </row>
    <row r="7" spans="1:16" s="242" customFormat="1" ht="50.15" customHeight="1" x14ac:dyDescent="0.3">
      <c r="A7" s="344"/>
      <c r="B7" s="450" t="s">
        <v>968</v>
      </c>
      <c r="C7" s="450"/>
      <c r="D7" s="450"/>
      <c r="E7" s="450"/>
      <c r="F7" s="450"/>
      <c r="G7" s="450"/>
      <c r="H7" s="450"/>
      <c r="I7" s="210"/>
      <c r="J7" s="314" t="s">
        <v>887</v>
      </c>
      <c r="K7" s="210"/>
      <c r="L7" s="151"/>
      <c r="M7" s="151"/>
      <c r="N7" s="151"/>
      <c r="O7" s="151"/>
      <c r="P7" s="151"/>
    </row>
    <row r="8" spans="1:16" s="242" customFormat="1" ht="40" customHeight="1" x14ac:dyDescent="0.35">
      <c r="A8" s="441" t="s">
        <v>60</v>
      </c>
      <c r="B8" s="345" t="s">
        <v>403</v>
      </c>
      <c r="C8" s="346" t="s">
        <v>14</v>
      </c>
      <c r="D8" s="458" t="s">
        <v>14</v>
      </c>
      <c r="E8" s="458"/>
      <c r="F8" s="347"/>
      <c r="G8" s="346" t="s">
        <v>525</v>
      </c>
      <c r="H8" s="333"/>
      <c r="I8" s="248"/>
      <c r="J8" s="315" t="s">
        <v>991</v>
      </c>
      <c r="K8" s="248"/>
    </row>
    <row r="9" spans="1:16" s="242" customFormat="1" ht="40" customHeight="1" x14ac:dyDescent="0.35">
      <c r="A9" s="441"/>
      <c r="B9" s="348" t="s">
        <v>436</v>
      </c>
      <c r="C9" s="349" t="s">
        <v>14</v>
      </c>
      <c r="D9" s="446" t="s">
        <v>14</v>
      </c>
      <c r="E9" s="446"/>
      <c r="F9" s="340"/>
      <c r="G9" s="346" t="s">
        <v>969</v>
      </c>
      <c r="H9" s="333"/>
      <c r="I9" s="248"/>
      <c r="J9" s="248"/>
      <c r="K9" s="248"/>
    </row>
    <row r="10" spans="1:16" s="242" customFormat="1" ht="40" customHeight="1" x14ac:dyDescent="0.35">
      <c r="A10" s="441"/>
      <c r="B10" s="348" t="str">
        <f>"Starting Form - "&amp;D9</f>
        <v>Starting Form - Select</v>
      </c>
      <c r="C10" s="349" t="s">
        <v>14</v>
      </c>
      <c r="D10" s="456" t="s">
        <v>14</v>
      </c>
      <c r="E10" s="456"/>
      <c r="F10" s="350"/>
      <c r="G10" s="346" t="s">
        <v>783</v>
      </c>
      <c r="H10" s="333"/>
      <c r="I10" s="248"/>
      <c r="J10" s="248"/>
      <c r="K10" s="248"/>
    </row>
    <row r="11" spans="1:16" s="242" customFormat="1" ht="40" customHeight="1" x14ac:dyDescent="0.35">
      <c r="A11" s="441"/>
      <c r="B11" s="348" t="str">
        <f>"Source - "&amp;D9</f>
        <v>Source - Select</v>
      </c>
      <c r="C11" s="349" t="s">
        <v>14</v>
      </c>
      <c r="D11" s="446" t="s">
        <v>405</v>
      </c>
      <c r="E11" s="446"/>
      <c r="F11" s="340"/>
      <c r="G11" s="346" t="s">
        <v>526</v>
      </c>
      <c r="H11" s="333"/>
      <c r="I11" s="248"/>
      <c r="J11" s="248"/>
      <c r="K11" s="248"/>
    </row>
    <row r="12" spans="1:16" s="284" customFormat="1" ht="40" customHeight="1" x14ac:dyDescent="0.35">
      <c r="A12" s="441"/>
      <c r="B12" s="348" t="str">
        <f>"Mass Conusmed -  "&amp;D9</f>
        <v>Mass Conusmed -  Select</v>
      </c>
      <c r="C12" s="349" t="str">
        <f>IF('Intro - Start Here'!$C$15="Metric","kg","lb")&amp;"/part"</f>
        <v>lb/part</v>
      </c>
      <c r="D12" s="451">
        <v>0</v>
      </c>
      <c r="E12" s="451"/>
      <c r="F12" s="351"/>
      <c r="G12" s="346" t="s">
        <v>970</v>
      </c>
      <c r="H12" s="333"/>
      <c r="I12" s="248"/>
      <c r="J12" s="248"/>
      <c r="K12" s="248"/>
    </row>
    <row r="13" spans="1:16" s="284" customFormat="1" ht="40" customHeight="1" x14ac:dyDescent="0.35">
      <c r="A13" s="441"/>
      <c r="B13" s="348" t="str">
        <f>"Final Part Mass - "&amp;D9</f>
        <v>Final Part Mass - Select</v>
      </c>
      <c r="C13" s="349" t="str">
        <f>IF('Intro - Start Here'!$C$15="Metric","kg","lb")&amp;"/part"</f>
        <v>lb/part</v>
      </c>
      <c r="D13" s="451">
        <v>0</v>
      </c>
      <c r="E13" s="451"/>
      <c r="F13" s="351"/>
      <c r="G13" s="346" t="s">
        <v>784</v>
      </c>
      <c r="H13" s="333"/>
      <c r="I13" s="248"/>
      <c r="J13" s="248"/>
      <c r="K13" s="248"/>
    </row>
    <row r="14" spans="1:16" s="284" customFormat="1" ht="40" customHeight="1" x14ac:dyDescent="0.35">
      <c r="A14" s="441"/>
      <c r="B14" s="348" t="str">
        <f>"Recycled In-house Scrap - "&amp;D9</f>
        <v>Recycled In-house Scrap - Select</v>
      </c>
      <c r="C14" s="349" t="s">
        <v>5</v>
      </c>
      <c r="D14" s="457">
        <v>0</v>
      </c>
      <c r="E14" s="457"/>
      <c r="F14" s="352"/>
      <c r="G14" s="346" t="s">
        <v>971</v>
      </c>
      <c r="H14" s="333"/>
      <c r="I14" s="248"/>
      <c r="J14" s="248"/>
      <c r="K14" s="248"/>
    </row>
    <row r="15" spans="1:16" s="242" customFormat="1" ht="40" customHeight="1" x14ac:dyDescent="0.35">
      <c r="A15" s="441"/>
      <c r="B15" s="345" t="s">
        <v>404</v>
      </c>
      <c r="C15" s="346" t="s">
        <v>14</v>
      </c>
      <c r="D15" s="458" t="s">
        <v>507</v>
      </c>
      <c r="E15" s="458"/>
      <c r="F15" s="347"/>
      <c r="G15" s="346" t="s">
        <v>527</v>
      </c>
      <c r="H15" s="333"/>
      <c r="I15" s="248"/>
      <c r="J15" s="248"/>
      <c r="K15" s="248"/>
    </row>
    <row r="16" spans="1:16" s="242" customFormat="1" ht="40" customHeight="1" x14ac:dyDescent="0.35">
      <c r="A16" s="441"/>
      <c r="B16" s="348" t="s">
        <v>437</v>
      </c>
      <c r="C16" s="346" t="s">
        <v>14</v>
      </c>
      <c r="D16" s="446" t="s">
        <v>14</v>
      </c>
      <c r="E16" s="446"/>
      <c r="F16" s="340"/>
      <c r="G16" s="346" t="s">
        <v>928</v>
      </c>
      <c r="H16" s="346"/>
      <c r="I16" s="248"/>
      <c r="J16" s="248"/>
      <c r="K16" s="248"/>
    </row>
    <row r="17" spans="1:11" s="242" customFormat="1" ht="40" customHeight="1" x14ac:dyDescent="0.35">
      <c r="A17" s="441"/>
      <c r="B17" s="348" t="str">
        <f>"Starting Form - "&amp;D16</f>
        <v>Starting Form - Select</v>
      </c>
      <c r="C17" s="346" t="s">
        <v>14</v>
      </c>
      <c r="D17" s="456" t="s">
        <v>14</v>
      </c>
      <c r="E17" s="456"/>
      <c r="F17" s="350"/>
      <c r="G17" s="346" t="s">
        <v>785</v>
      </c>
      <c r="H17" s="346"/>
      <c r="I17" s="248"/>
      <c r="J17" s="248"/>
      <c r="K17" s="248"/>
    </row>
    <row r="18" spans="1:11" s="242" customFormat="1" ht="40" customHeight="1" x14ac:dyDescent="0.35">
      <c r="A18" s="441"/>
      <c r="B18" s="348" t="str">
        <f>"Source - "&amp;D16</f>
        <v>Source - Select</v>
      </c>
      <c r="C18" s="346" t="s">
        <v>14</v>
      </c>
      <c r="D18" s="446" t="s">
        <v>405</v>
      </c>
      <c r="E18" s="446"/>
      <c r="F18" s="340"/>
      <c r="G18" s="346" t="s">
        <v>528</v>
      </c>
      <c r="H18" s="346"/>
      <c r="I18" s="248"/>
      <c r="J18" s="248"/>
      <c r="K18" s="248"/>
    </row>
    <row r="19" spans="1:11" s="284" customFormat="1" ht="40" customHeight="1" x14ac:dyDescent="0.35">
      <c r="A19" s="441"/>
      <c r="B19" s="353" t="str">
        <f>D16&amp;" Consumed to produce final part"</f>
        <v>Select Consumed to produce final part</v>
      </c>
      <c r="C19" s="349" t="str">
        <f>IF('Intro - Start Here'!$C$15="Metric","kg","lb")&amp;"/part"</f>
        <v>lb/part</v>
      </c>
      <c r="D19" s="451">
        <v>0</v>
      </c>
      <c r="E19" s="451"/>
      <c r="F19" s="351"/>
      <c r="G19" s="346" t="s">
        <v>529</v>
      </c>
      <c r="H19" s="346"/>
      <c r="I19" s="248"/>
      <c r="J19" s="248"/>
      <c r="K19" s="248"/>
    </row>
    <row r="20" spans="1:11" s="284" customFormat="1" ht="40" customHeight="1" x14ac:dyDescent="0.35">
      <c r="A20" s="441"/>
      <c r="B20" s="353" t="str">
        <f>"Mass of "&amp;D16&amp;" in final part"</f>
        <v>Mass of Select in final part</v>
      </c>
      <c r="C20" s="349" t="str">
        <f>IF('Intro - Start Here'!$C$15="Metric","kg","lb")&amp;"/part"</f>
        <v>lb/part</v>
      </c>
      <c r="D20" s="451">
        <v>0</v>
      </c>
      <c r="E20" s="451"/>
      <c r="F20" s="351"/>
      <c r="G20" s="346" t="s">
        <v>530</v>
      </c>
      <c r="H20" s="346"/>
      <c r="I20" s="248"/>
      <c r="J20" s="248"/>
      <c r="K20" s="248"/>
    </row>
    <row r="21" spans="1:11" s="284" customFormat="1" ht="40" customHeight="1" x14ac:dyDescent="0.35">
      <c r="A21" s="441"/>
      <c r="B21" s="353" t="str">
        <f>D16&amp;" recycled (in-house) for use in this product"</f>
        <v>Select recycled (in-house) for use in this product</v>
      </c>
      <c r="C21" s="349" t="s">
        <v>5</v>
      </c>
      <c r="D21" s="457">
        <v>0</v>
      </c>
      <c r="E21" s="457"/>
      <c r="F21" s="352"/>
      <c r="G21" s="346" t="s">
        <v>531</v>
      </c>
      <c r="H21" s="346"/>
      <c r="I21" s="248"/>
      <c r="J21" s="248"/>
      <c r="K21" s="248"/>
    </row>
    <row r="22" spans="1:11" s="284" customFormat="1" ht="50.15" customHeight="1" x14ac:dyDescent="0.35">
      <c r="A22" s="441"/>
      <c r="B22" s="450" t="s">
        <v>972</v>
      </c>
      <c r="C22" s="450"/>
      <c r="D22" s="450"/>
      <c r="E22" s="450"/>
      <c r="F22" s="450"/>
      <c r="G22" s="450"/>
      <c r="H22" s="450"/>
      <c r="I22" s="248"/>
      <c r="J22" s="248"/>
      <c r="K22" s="248"/>
    </row>
    <row r="23" spans="1:11" s="284" customFormat="1" ht="40" customHeight="1" x14ac:dyDescent="0.35">
      <c r="A23" s="441"/>
      <c r="B23" s="442" t="str">
        <f>"Embodied Energy and Carbon of "&amp;D9&amp;", "&amp;D10&amp;", "&amp;D11</f>
        <v>Embodied Energy and Carbon of Select, Select, Primary</v>
      </c>
      <c r="C23" s="349" t="str">
        <f t="shared" ref="C23:C30" si="0">IF(unitChoice="Metric","MJ/kg","Btu/lb") &amp; "          "&amp; IF(unitChoice="Metric","kg/kg","kg/lb")</f>
        <v>Btu/lb          kg/lb</v>
      </c>
      <c r="D23" s="354" t="str">
        <f xml:space="preserve"> ROUND('HIDE - Lists &amp; Lookups'!AE7,1) &amp; " - " &amp; ROUND('HIDE - Lists &amp; Lookups'!AF7,1)</f>
        <v>0 - 0</v>
      </c>
      <c r="E23" s="355" t="str">
        <f xml:space="preserve"> ROUND('HIDE - Lists &amp; Lookups'!AH7,1) &amp; " - " &amp; ROUND('HIDE - Lists &amp; Lookups'!AI7,1)</f>
        <v>0 - 0</v>
      </c>
      <c r="F23" s="356"/>
      <c r="G23" s="346" t="str">
        <f>"Embodied Impact Ranges for " &amp;D9&amp;", "&amp;D10&amp;", "&amp;D11 &amp; " from Ashby or other sources (see Material EE tab)"</f>
        <v>Embodied Impact Ranges for Select, Select, Primary from Ashby or other sources (see Material EE tab)</v>
      </c>
      <c r="H23" s="333"/>
      <c r="I23" s="248"/>
      <c r="J23" s="248"/>
      <c r="K23" s="248"/>
    </row>
    <row r="24" spans="1:11" s="284" customFormat="1" ht="40" customHeight="1" x14ac:dyDescent="0.35">
      <c r="A24" s="441"/>
      <c r="B24" s="442"/>
      <c r="C24" s="349" t="str">
        <f t="shared" si="0"/>
        <v>Btu/lb          kg/lb</v>
      </c>
      <c r="D24" s="357">
        <v>0</v>
      </c>
      <c r="E24" s="357">
        <v>0</v>
      </c>
      <c r="F24" s="347"/>
      <c r="G24" s="346" t="s">
        <v>818</v>
      </c>
      <c r="H24" s="333"/>
      <c r="I24" s="248"/>
      <c r="J24" s="248"/>
      <c r="K24" s="248"/>
    </row>
    <row r="25" spans="1:11" s="284" customFormat="1" ht="40" hidden="1" customHeight="1" x14ac:dyDescent="0.35">
      <c r="A25" s="441"/>
      <c r="B25" s="442" t="str">
        <f>"Embodied Energy and Carbon of "&amp;D9&amp;", "&amp;D10&amp;", Recycled Engineered Scrap"</f>
        <v>Embodied Energy and Carbon of Select, Select, Recycled Engineered Scrap</v>
      </c>
      <c r="C25" s="349" t="str">
        <f t="shared" si="0"/>
        <v>Btu/lb          kg/lb</v>
      </c>
      <c r="D25" s="355" t="str">
        <f xml:space="preserve"> ROUND('HIDE - Lists &amp; Lookups'!AE8,1) &amp; " - " &amp; ROUND('HIDE - Lists &amp; Lookups'!AF8,1)</f>
        <v>0 - 0</v>
      </c>
      <c r="E25" s="355" t="str">
        <f xml:space="preserve"> ROUND('HIDE - Lists &amp; Lookups'!AH8,1) &amp; " - " &amp; ROUND('HIDE - Lists &amp; Lookups'!AI8,1)</f>
        <v>0 - 0</v>
      </c>
      <c r="F25" s="340"/>
      <c r="G25" s="346" t="str">
        <f>"Embodied Impact Ranges for recycled " &amp;D9&amp; " from Ashby or other sources (see Material EE tab)"</f>
        <v>Embodied Impact Ranges for recycled Select from Ashby or other sources (see Material EE tab)</v>
      </c>
      <c r="H25" s="346"/>
      <c r="I25" s="248"/>
      <c r="J25" s="248"/>
      <c r="K25" s="248"/>
    </row>
    <row r="26" spans="1:11" s="284" customFormat="1" ht="40" hidden="1" customHeight="1" x14ac:dyDescent="0.35">
      <c r="A26" s="441"/>
      <c r="B26" s="442"/>
      <c r="C26" s="349" t="str">
        <f t="shared" si="0"/>
        <v>Btu/lb          kg/lb</v>
      </c>
      <c r="D26" s="358">
        <v>33963.793381812924</v>
      </c>
      <c r="E26" s="358">
        <v>2.5854795837831466</v>
      </c>
      <c r="F26" s="347"/>
      <c r="G26" s="346" t="s">
        <v>819</v>
      </c>
      <c r="H26" s="346"/>
      <c r="I26" s="248"/>
      <c r="J26" s="248"/>
      <c r="K26" s="248"/>
    </row>
    <row r="27" spans="1:11" s="284" customFormat="1" ht="40" customHeight="1" x14ac:dyDescent="0.35">
      <c r="A27" s="441"/>
      <c r="B27" s="442" t="str">
        <f>"Embodied Energy and Carbon of "&amp;D16&amp;", "&amp;D17&amp;", "&amp;D18 &amp;" Database Range"</f>
        <v>Embodied Energy and Carbon of Select, Select, Primary Database Range</v>
      </c>
      <c r="C27" s="349" t="str">
        <f t="shared" si="0"/>
        <v>Btu/lb          kg/lb</v>
      </c>
      <c r="D27" s="355" t="str">
        <f xml:space="preserve"> IFERROR(ROUND('HIDE - Lists &amp; Lookups'!AE9,1) &amp; " - " &amp; ROUND('HIDE - Lists &amp; Lookups'!AF9,1), "Error")</f>
        <v>0 - 0</v>
      </c>
      <c r="E27" s="355" t="str">
        <f xml:space="preserve"> IFERROR(ROUND('HIDE - Lists &amp; Lookups'!AH9,1) &amp; " - " &amp; ROUND('HIDE - Lists &amp; Lookups'!AI9,1), "Error")</f>
        <v>0 - 0</v>
      </c>
      <c r="F27" s="340"/>
      <c r="G27" s="346" t="str">
        <f>"Embodied Impact Ranges of "&amp;D16&amp;", "&amp;D17&amp;", "&amp;D18 &amp; " from Ashby or other sources (see  Material EE tab)"</f>
        <v>Embodied Impact Ranges of Select, Select, Primary from Ashby or other sources (see  Material EE tab)</v>
      </c>
      <c r="H27" s="346"/>
      <c r="I27" s="248"/>
      <c r="J27" s="248"/>
      <c r="K27" s="248"/>
    </row>
    <row r="28" spans="1:11" s="284" customFormat="1" ht="40" customHeight="1" x14ac:dyDescent="0.35">
      <c r="A28" s="441"/>
      <c r="B28" s="442"/>
      <c r="C28" s="349" t="str">
        <f t="shared" si="0"/>
        <v>Btu/lb          kg/lb</v>
      </c>
      <c r="D28" s="358">
        <v>54600.022272028371</v>
      </c>
      <c r="E28" s="358">
        <v>3.0844317841623501</v>
      </c>
      <c r="F28" s="347"/>
      <c r="G28" s="346" t="s">
        <v>820</v>
      </c>
      <c r="H28" s="349"/>
      <c r="I28" s="248"/>
      <c r="J28" s="248"/>
      <c r="K28" s="248"/>
    </row>
    <row r="29" spans="1:11" s="284" customFormat="1" ht="40" hidden="1" customHeight="1" x14ac:dyDescent="0.35">
      <c r="A29" s="441"/>
      <c r="B29" s="442" t="str">
        <f>"Embodied Energy and Carbon of "&amp;D16&amp;", "&amp;D17&amp;", Recycled Engineered Scrap"</f>
        <v>Embodied Energy and Carbon of Select, Select, Recycled Engineered Scrap</v>
      </c>
      <c r="C29" s="349" t="str">
        <f t="shared" si="0"/>
        <v>Btu/lb          kg/lb</v>
      </c>
      <c r="D29" s="355" t="str">
        <f xml:space="preserve"> IFERROR(ROUND('HIDE - Lists &amp; Lookups'!AE10,1) &amp; " - " &amp; ROUND('HIDE - Lists &amp; Lookups'!AF10,1), "Error")</f>
        <v>0 - 0</v>
      </c>
      <c r="E29" s="355" t="str">
        <f xml:space="preserve"> IFERROR(ROUND('HIDE - Lists &amp; Lookups'!AH10,1) &amp; " - " &amp; ROUND('HIDE - Lists &amp; Lookups'!AI10,1), "Error")</f>
        <v>0 - 0</v>
      </c>
      <c r="F29" s="340"/>
      <c r="G29" s="346" t="str">
        <f>"Embodied Impact Ranges for recycled " &amp;D16&amp; " from Ashby or other sources (see  Material EE tab)"</f>
        <v>Embodied Impact Ranges for recycled Select from Ashby or other sources (see  Material EE tab)</v>
      </c>
      <c r="H29" s="346"/>
      <c r="I29" s="248"/>
      <c r="J29" s="248"/>
      <c r="K29" s="248"/>
    </row>
    <row r="30" spans="1:11" s="284" customFormat="1" ht="40" hidden="1" customHeight="1" x14ac:dyDescent="0.35">
      <c r="A30" s="441"/>
      <c r="B30" s="442"/>
      <c r="C30" s="349" t="str">
        <f t="shared" si="0"/>
        <v>Btu/lb          kg/lb</v>
      </c>
      <c r="D30" s="358">
        <v>54600.022272028371</v>
      </c>
      <c r="E30" s="358">
        <v>3.0844317841623501</v>
      </c>
      <c r="F30" s="347"/>
      <c r="G30" s="346" t="s">
        <v>821</v>
      </c>
      <c r="H30" s="349"/>
      <c r="I30" s="248"/>
      <c r="J30" s="248"/>
      <c r="K30" s="248"/>
    </row>
    <row r="31" spans="1:11" s="284" customFormat="1" ht="50.15" customHeight="1" x14ac:dyDescent="0.35">
      <c r="A31" s="441"/>
      <c r="B31" s="450" t="s">
        <v>992</v>
      </c>
      <c r="C31" s="450"/>
      <c r="D31" s="450"/>
      <c r="E31" s="450"/>
      <c r="F31" s="450"/>
      <c r="G31" s="450"/>
      <c r="H31" s="450"/>
      <c r="I31" s="248"/>
      <c r="J31" s="248"/>
      <c r="K31" s="248"/>
    </row>
    <row r="32" spans="1:11" s="242" customFormat="1" ht="40" customHeight="1" x14ac:dyDescent="0.35">
      <c r="A32" s="441"/>
      <c r="B32" s="349" t="s">
        <v>284</v>
      </c>
      <c r="C32" s="349" t="str">
        <f>IF('Intro - Start Here'!$C$15="Metric","kg","lb")&amp;"/part"</f>
        <v>lb/part</v>
      </c>
      <c r="D32" s="473">
        <f>IF(D15="None", D12, SUM(D12,D19))</f>
        <v>0</v>
      </c>
      <c r="E32" s="473"/>
      <c r="F32" s="359"/>
      <c r="G32" s="346" t="s">
        <v>787</v>
      </c>
      <c r="H32" s="330"/>
      <c r="I32" s="248"/>
      <c r="J32" s="248"/>
      <c r="K32" s="248"/>
    </row>
    <row r="33" spans="1:14" s="242" customFormat="1" ht="40" customHeight="1" x14ac:dyDescent="0.35">
      <c r="A33" s="441"/>
      <c r="B33" s="349" t="s">
        <v>205</v>
      </c>
      <c r="C33" s="349" t="str">
        <f>IF('Intro - Start Here'!$C$15="Metric","kg","lb")&amp;"/part"</f>
        <v>lb/part</v>
      </c>
      <c r="D33" s="474">
        <f>IF(D15="None",D13,SUM(D13,D20))</f>
        <v>0</v>
      </c>
      <c r="E33" s="474"/>
      <c r="F33" s="359"/>
      <c r="G33" s="346" t="s">
        <v>786</v>
      </c>
      <c r="H33" s="330"/>
      <c r="I33" s="248"/>
      <c r="J33" s="248"/>
      <c r="K33" s="248"/>
    </row>
    <row r="34" spans="1:14" s="242" customFormat="1" ht="40" customHeight="1" x14ac:dyDescent="0.35">
      <c r="A34" s="441"/>
      <c r="B34" s="349" t="s">
        <v>789</v>
      </c>
      <c r="C34" s="349" t="s">
        <v>33</v>
      </c>
      <c r="D34" s="460">
        <f>IF(D33&gt;0,D32/D33,0)</f>
        <v>0</v>
      </c>
      <c r="E34" s="460"/>
      <c r="F34" s="360"/>
      <c r="G34" s="346" t="s">
        <v>285</v>
      </c>
      <c r="H34" s="330"/>
      <c r="I34" s="248"/>
      <c r="J34" s="248"/>
      <c r="K34" s="248"/>
    </row>
    <row r="35" spans="1:14" s="242" customFormat="1" ht="40" customHeight="1" x14ac:dyDescent="0.35">
      <c r="A35" s="441"/>
      <c r="B35" s="349" t="s">
        <v>790</v>
      </c>
      <c r="C35" s="349" t="str">
        <f>IF('Intro - Start Here'!$C$15="Metric","kg","lb")&amp;"/part"</f>
        <v>lb/part</v>
      </c>
      <c r="D35" s="460">
        <f>D32-D33</f>
        <v>0</v>
      </c>
      <c r="E35" s="460"/>
      <c r="F35" s="360"/>
      <c r="G35" s="346" t="s">
        <v>788</v>
      </c>
      <c r="H35" s="330"/>
      <c r="I35" s="248"/>
      <c r="J35" s="248"/>
      <c r="K35" s="248"/>
    </row>
    <row r="36" spans="1:14" s="242" customFormat="1" ht="40" customHeight="1" x14ac:dyDescent="0.35">
      <c r="A36" s="441"/>
      <c r="B36" s="349" t="s">
        <v>791</v>
      </c>
      <c r="C36" s="349" t="s">
        <v>5</v>
      </c>
      <c r="D36" s="461" t="e">
        <f>(D14*D12+IF(OR(D15="None",D15="Select", D15 = "Select First Material"),0,D21*D19))/(D12+IF(OR(D15="None",D15="Select", D15 = "Select First Material"),0,D19))</f>
        <v>#DIV/0!</v>
      </c>
      <c r="E36" s="461"/>
      <c r="F36" s="350"/>
      <c r="G36" s="346" t="s">
        <v>521</v>
      </c>
      <c r="H36" s="330"/>
      <c r="I36" s="248"/>
      <c r="J36" s="248"/>
      <c r="K36" s="248"/>
    </row>
    <row r="37" spans="1:14" s="242" customFormat="1" ht="40" customHeight="1" x14ac:dyDescent="0.35">
      <c r="A37" s="441"/>
      <c r="B37" s="349" t="str">
        <f>D9&amp;" Material Impact Contribution"</f>
        <v>Select Material Impact Contribution</v>
      </c>
      <c r="C37" s="346" t="str">
        <f>IF('Intro - Start Here'!$C$15="Metric","MJ","Btu")&amp;"/part"&amp; "          "&amp; "kg/part"</f>
        <v>Btu/part          kg/part</v>
      </c>
      <c r="D37" s="361">
        <f xml:space="preserve"> D13*D24 + (D12-D13)*(1-D14)*D24  + (D12-D13)* D14*D26</f>
        <v>0</v>
      </c>
      <c r="E37" s="361">
        <f xml:space="preserve"> D13*E24 + (D12-D13)*(1-D14)*E24  + (D12-D13)* D14*E26</f>
        <v>0</v>
      </c>
      <c r="F37" s="351"/>
      <c r="G37" s="346" t="s">
        <v>522</v>
      </c>
      <c r="H37" s="330"/>
      <c r="I37" s="248"/>
      <c r="J37" s="248"/>
      <c r="K37" s="248"/>
    </row>
    <row r="38" spans="1:14" s="242" customFormat="1" ht="40" customHeight="1" x14ac:dyDescent="0.35">
      <c r="A38" s="441"/>
      <c r="B38" s="349" t="str">
        <f>D16&amp;" Material Impact Contribution"</f>
        <v>Select Material Impact Contribution</v>
      </c>
      <c r="C38" s="346" t="str">
        <f>IF('Intro - Start Here'!$C$15="Metric","MJ","Btu")&amp;"/part"&amp; "          "&amp; "kg/part"</f>
        <v>Btu/part          kg/part</v>
      </c>
      <c r="D38" s="361">
        <f>IFERROR( D20*D28 + (D19-D20)*(1-D21)*D28  + (D19-D20)* D21*D30, "Error")</f>
        <v>0</v>
      </c>
      <c r="E38" s="361">
        <f xml:space="preserve"> IFERROR(D20*E28 + (D19-D20)*(1-D21)*E28  + (D19-D20)* D21*E30, "Error")</f>
        <v>0</v>
      </c>
      <c r="F38" s="351"/>
      <c r="G38" s="346" t="s">
        <v>523</v>
      </c>
      <c r="H38" s="330"/>
      <c r="I38" s="248"/>
      <c r="J38" s="248"/>
      <c r="K38" s="248"/>
    </row>
    <row r="39" spans="1:14" s="242" customFormat="1" ht="40" customHeight="1" x14ac:dyDescent="0.35">
      <c r="A39" s="441"/>
      <c r="B39" s="362" t="s">
        <v>792</v>
      </c>
      <c r="C39" s="363" t="str">
        <f>IF('Intro - Start Here'!$C$15="Metric","MJ","Btu")&amp;"/part"&amp; "          "&amp; "kg/part"</f>
        <v>Btu/part          kg/part</v>
      </c>
      <c r="D39" s="364">
        <f>IFERROR(D37+IF(D15="None", 0,D38), "Error")</f>
        <v>0</v>
      </c>
      <c r="E39" s="364">
        <f>IFERROR(E37+IF(D15="None", 0,E38), "Error")</f>
        <v>0</v>
      </c>
      <c r="F39" s="364"/>
      <c r="G39" s="362" t="s">
        <v>799</v>
      </c>
      <c r="H39" s="365"/>
      <c r="I39" s="248"/>
      <c r="J39" s="248"/>
      <c r="K39" s="248"/>
    </row>
    <row r="40" spans="1:14" s="242" customFormat="1" ht="50.15" customHeight="1" x14ac:dyDescent="0.3">
      <c r="A40" s="366"/>
      <c r="B40" s="449" t="s">
        <v>984</v>
      </c>
      <c r="C40" s="449"/>
      <c r="D40" s="449"/>
      <c r="E40" s="449"/>
      <c r="F40" s="449"/>
      <c r="G40" s="449"/>
      <c r="H40" s="449"/>
      <c r="I40" s="248"/>
      <c r="J40" s="283"/>
      <c r="K40" s="210"/>
      <c r="L40" s="151"/>
      <c r="M40" s="151"/>
      <c r="N40" s="151"/>
    </row>
    <row r="41" spans="1:14" s="242" customFormat="1" ht="40" customHeight="1" x14ac:dyDescent="0.3">
      <c r="A41" s="463" t="s">
        <v>206</v>
      </c>
      <c r="B41" s="349" t="s">
        <v>79</v>
      </c>
      <c r="C41" s="349" t="s">
        <v>14</v>
      </c>
      <c r="D41" s="446" t="s">
        <v>63</v>
      </c>
      <c r="E41" s="446"/>
      <c r="F41" s="340"/>
      <c r="G41" s="349" t="s">
        <v>594</v>
      </c>
      <c r="H41" s="330"/>
      <c r="I41" s="248"/>
      <c r="J41" s="283"/>
      <c r="K41" s="210"/>
      <c r="L41" s="151"/>
      <c r="M41" s="151"/>
      <c r="N41" s="151"/>
    </row>
    <row r="42" spans="1:14" s="242" customFormat="1" ht="40" customHeight="1" x14ac:dyDescent="0.35">
      <c r="A42" s="463"/>
      <c r="B42" s="349" t="s">
        <v>800</v>
      </c>
      <c r="C42" s="349" t="s">
        <v>14</v>
      </c>
      <c r="D42" s="471" t="s">
        <v>14</v>
      </c>
      <c r="E42" s="471"/>
      <c r="F42" s="367"/>
      <c r="G42" s="349" t="s">
        <v>832</v>
      </c>
      <c r="H42" s="333"/>
      <c r="I42" s="248"/>
      <c r="J42" s="248"/>
      <c r="K42" s="248"/>
    </row>
    <row r="43" spans="1:14" s="242" customFormat="1" ht="40" customHeight="1" x14ac:dyDescent="0.35">
      <c r="A43" s="463"/>
      <c r="B43" s="349" t="s">
        <v>587</v>
      </c>
      <c r="C43" s="349" t="s">
        <v>588</v>
      </c>
      <c r="D43" s="447">
        <v>1</v>
      </c>
      <c r="E43" s="447"/>
      <c r="F43" s="340"/>
      <c r="G43" s="349" t="s">
        <v>833</v>
      </c>
      <c r="H43" s="333"/>
      <c r="I43" s="248"/>
      <c r="J43" s="248"/>
      <c r="K43" s="248"/>
    </row>
    <row r="44" spans="1:14" s="242" customFormat="1" ht="40" hidden="1" customHeight="1" x14ac:dyDescent="0.35">
      <c r="A44" s="463"/>
      <c r="B44" s="349" t="s">
        <v>589</v>
      </c>
      <c r="C44" s="349" t="str">
        <f>IF('Intro - Start Here'!$C$15="Metric","kg","lb"&amp;"/hr")</f>
        <v>lb/hr</v>
      </c>
      <c r="D44" s="447">
        <v>0</v>
      </c>
      <c r="E44" s="447"/>
      <c r="F44" s="340"/>
      <c r="G44" s="349" t="s">
        <v>831</v>
      </c>
      <c r="H44" s="333"/>
      <c r="I44" s="248"/>
      <c r="J44" s="248"/>
      <c r="K44" s="248"/>
    </row>
    <row r="45" spans="1:14" s="242" customFormat="1" ht="40" hidden="1" customHeight="1" x14ac:dyDescent="0.35">
      <c r="A45" s="463"/>
      <c r="B45" s="368" t="s">
        <v>591</v>
      </c>
      <c r="C45" s="349" t="s">
        <v>293</v>
      </c>
      <c r="D45" s="475">
        <f>IF(D41="Simple", D32*D44*D43, D46)</f>
        <v>0</v>
      </c>
      <c r="E45" s="475"/>
      <c r="F45" s="340"/>
      <c r="G45" s="349" t="s">
        <v>834</v>
      </c>
      <c r="H45" s="333"/>
      <c r="I45" s="248"/>
      <c r="J45" s="248"/>
      <c r="K45" s="248"/>
    </row>
    <row r="46" spans="1:14" s="242" customFormat="1" ht="40" customHeight="1" x14ac:dyDescent="0.35">
      <c r="A46" s="463"/>
      <c r="B46" s="339" t="s">
        <v>591</v>
      </c>
      <c r="C46" s="349" t="s">
        <v>293</v>
      </c>
      <c r="D46" s="447"/>
      <c r="E46" s="447"/>
      <c r="F46" s="340"/>
      <c r="G46" s="349" t="s">
        <v>835</v>
      </c>
      <c r="H46" s="333"/>
      <c r="I46" s="248"/>
      <c r="J46" s="248"/>
      <c r="K46" s="248"/>
    </row>
    <row r="47" spans="1:14" s="242" customFormat="1" ht="40" customHeight="1" x14ac:dyDescent="0.35">
      <c r="A47" s="463"/>
      <c r="B47" s="349" t="s">
        <v>590</v>
      </c>
      <c r="C47" s="349" t="s">
        <v>293</v>
      </c>
      <c r="D47" s="447"/>
      <c r="E47" s="447"/>
      <c r="F47" s="340"/>
      <c r="G47" s="349" t="s">
        <v>592</v>
      </c>
      <c r="H47" s="333"/>
      <c r="I47" s="248"/>
      <c r="J47" s="248"/>
      <c r="K47" s="248"/>
    </row>
    <row r="48" spans="1:14" s="242" customFormat="1" ht="40" customHeight="1" x14ac:dyDescent="0.35">
      <c r="A48" s="463"/>
      <c r="B48" s="349" t="s">
        <v>607</v>
      </c>
      <c r="C48" s="349" t="s">
        <v>246</v>
      </c>
      <c r="D48" s="447"/>
      <c r="E48" s="447"/>
      <c r="F48" s="340"/>
      <c r="G48" s="349" t="s">
        <v>901</v>
      </c>
      <c r="H48" s="333"/>
      <c r="I48" s="248"/>
      <c r="J48" s="248"/>
      <c r="K48" s="248"/>
    </row>
    <row r="49" spans="1:11" s="242" customFormat="1" ht="40" customHeight="1" x14ac:dyDescent="0.35">
      <c r="A49" s="463"/>
      <c r="B49" s="349" t="s">
        <v>593</v>
      </c>
      <c r="C49" s="349" t="s">
        <v>246</v>
      </c>
      <c r="D49" s="447"/>
      <c r="E49" s="447"/>
      <c r="F49" s="340"/>
      <c r="G49" s="349" t="s">
        <v>902</v>
      </c>
      <c r="H49" s="333"/>
      <c r="I49" s="248"/>
      <c r="J49" s="248"/>
      <c r="K49" s="248"/>
    </row>
    <row r="50" spans="1:11" s="242" customFormat="1" ht="40" customHeight="1" x14ac:dyDescent="0.35">
      <c r="A50" s="463"/>
      <c r="B50" s="349" t="s">
        <v>830</v>
      </c>
      <c r="C50" s="349" t="str">
        <f>IF('Intro - Start Here'!$C$15="Metric","MJ","Btu")&amp;"/build"&amp; "          "&amp; "kg/build"</f>
        <v>Btu/build          kg/build</v>
      </c>
      <c r="D50" s="361">
        <f>IF(unitChoice = "Metric",3.6,3412.14163)*(D45*D48+D47*D49)</f>
        <v>0</v>
      </c>
      <c r="E50" s="369">
        <f>(D45*D48+D47*D49)*(1/1000)*'Use Phase'!N18</f>
        <v>0</v>
      </c>
      <c r="F50" s="340"/>
      <c r="G50" s="349" t="s">
        <v>836</v>
      </c>
      <c r="H50" s="333"/>
      <c r="I50" s="248"/>
      <c r="J50" s="248"/>
      <c r="K50" s="248"/>
    </row>
    <row r="51" spans="1:11" s="242" customFormat="1" ht="40" customHeight="1" x14ac:dyDescent="0.35">
      <c r="A51" s="463"/>
      <c r="B51" s="370" t="s">
        <v>911</v>
      </c>
      <c r="C51" s="370" t="str">
        <f>IF('Intro - Start Here'!$C$15="Metric","MJ","Btu")&amp;"/part"&amp; "          "&amp; "kg/part"</f>
        <v>Btu/part          kg/part</v>
      </c>
      <c r="D51" s="371">
        <f>D50/D43</f>
        <v>0</v>
      </c>
      <c r="E51" s="372">
        <f>E50/D43</f>
        <v>0</v>
      </c>
      <c r="F51" s="373"/>
      <c r="G51" s="345" t="s">
        <v>837</v>
      </c>
      <c r="H51" s="333"/>
      <c r="I51" s="248"/>
      <c r="J51" s="248"/>
      <c r="K51" s="248"/>
    </row>
    <row r="52" spans="1:11" s="242" customFormat="1" ht="40" hidden="1" customHeight="1" x14ac:dyDescent="0.35">
      <c r="A52" s="463"/>
      <c r="B52" s="349" t="s">
        <v>595</v>
      </c>
      <c r="C52" s="349" t="s">
        <v>839</v>
      </c>
      <c r="D52" s="447">
        <v>60</v>
      </c>
      <c r="E52" s="447"/>
      <c r="F52" s="340"/>
      <c r="G52" s="349" t="s">
        <v>592</v>
      </c>
      <c r="H52" s="346"/>
      <c r="I52" s="248"/>
      <c r="J52" s="248"/>
      <c r="K52" s="248"/>
    </row>
    <row r="53" spans="1:11" s="242" customFormat="1" ht="40" hidden="1" customHeight="1" x14ac:dyDescent="0.35">
      <c r="A53" s="463"/>
      <c r="B53" s="349" t="s">
        <v>903</v>
      </c>
      <c r="C53" s="349" t="s">
        <v>605</v>
      </c>
      <c r="D53" s="447">
        <v>0</v>
      </c>
      <c r="E53" s="447"/>
      <c r="F53" s="340"/>
      <c r="G53" s="346" t="s">
        <v>985</v>
      </c>
      <c r="H53" s="346"/>
      <c r="I53" s="248"/>
      <c r="J53" s="248"/>
      <c r="K53" s="248"/>
    </row>
    <row r="54" spans="1:11" s="242" customFormat="1" ht="40" hidden="1" customHeight="1" x14ac:dyDescent="0.35">
      <c r="A54" s="463"/>
      <c r="B54" s="349" t="s">
        <v>596</v>
      </c>
      <c r="C54" s="349" t="s">
        <v>535</v>
      </c>
      <c r="D54" s="447">
        <v>24</v>
      </c>
      <c r="E54" s="447"/>
      <c r="F54" s="340"/>
      <c r="G54" s="349" t="s">
        <v>538</v>
      </c>
      <c r="H54" s="346"/>
      <c r="I54" s="248"/>
      <c r="J54" s="248"/>
      <c r="K54" s="248"/>
    </row>
    <row r="55" spans="1:11" s="242" customFormat="1" ht="40" hidden="1" customHeight="1" x14ac:dyDescent="0.35">
      <c r="A55" s="463"/>
      <c r="B55" s="349" t="s">
        <v>533</v>
      </c>
      <c r="C55" s="349" t="s">
        <v>536</v>
      </c>
      <c r="D55" s="447">
        <v>0.01</v>
      </c>
      <c r="E55" s="447"/>
      <c r="F55" s="340"/>
      <c r="G55" s="349" t="s">
        <v>825</v>
      </c>
      <c r="H55" s="346"/>
      <c r="I55" s="248"/>
      <c r="J55" s="248"/>
      <c r="K55" s="248"/>
    </row>
    <row r="56" spans="1:11" s="242" customFormat="1" ht="40" hidden="1" customHeight="1" x14ac:dyDescent="0.35">
      <c r="A56" s="463"/>
      <c r="B56" s="349" t="s">
        <v>597</v>
      </c>
      <c r="C56" s="349" t="s">
        <v>537</v>
      </c>
      <c r="D56" s="447">
        <v>6</v>
      </c>
      <c r="E56" s="447"/>
      <c r="F56" s="340"/>
      <c r="G56" s="349" t="s">
        <v>838</v>
      </c>
      <c r="H56" s="346"/>
      <c r="I56" s="248"/>
      <c r="J56" s="248"/>
      <c r="K56" s="248"/>
    </row>
    <row r="57" spans="1:11" s="242" customFormat="1" ht="40" hidden="1" customHeight="1" x14ac:dyDescent="0.35">
      <c r="A57" s="463"/>
      <c r="B57" s="349" t="s">
        <v>904</v>
      </c>
      <c r="C57" s="349" t="s">
        <v>536</v>
      </c>
      <c r="D57" s="447">
        <f>(6*6)/0.1</f>
        <v>360</v>
      </c>
      <c r="E57" s="447"/>
      <c r="F57" s="340"/>
      <c r="G57" s="349" t="s">
        <v>840</v>
      </c>
      <c r="H57" s="346"/>
      <c r="I57" s="248"/>
      <c r="J57" s="248"/>
      <c r="K57" s="248"/>
    </row>
    <row r="58" spans="1:11" s="242" customFormat="1" ht="40" hidden="1" customHeight="1" x14ac:dyDescent="0.35">
      <c r="A58" s="463"/>
      <c r="B58" s="349" t="s">
        <v>593</v>
      </c>
      <c r="C58" s="349" t="s">
        <v>246</v>
      </c>
      <c r="D58" s="447">
        <v>10</v>
      </c>
      <c r="E58" s="447"/>
      <c r="F58" s="340"/>
      <c r="G58" s="349" t="s">
        <v>902</v>
      </c>
      <c r="H58" s="346"/>
      <c r="I58" s="248"/>
      <c r="J58" s="248"/>
      <c r="K58" s="248"/>
    </row>
    <row r="59" spans="1:11" s="242" customFormat="1" ht="40" hidden="1" customHeight="1" x14ac:dyDescent="0.35">
      <c r="A59" s="463"/>
      <c r="B59" s="349" t="s">
        <v>905</v>
      </c>
      <c r="C59" s="349" t="s">
        <v>246</v>
      </c>
      <c r="D59" s="447">
        <v>100</v>
      </c>
      <c r="E59" s="447"/>
      <c r="F59" s="340"/>
      <c r="G59" s="349" t="s">
        <v>906</v>
      </c>
      <c r="H59" s="346"/>
      <c r="I59" s="248"/>
      <c r="J59" s="248"/>
      <c r="K59" s="248"/>
    </row>
    <row r="60" spans="1:11" s="242" customFormat="1" ht="40" hidden="1" customHeight="1" x14ac:dyDescent="0.35">
      <c r="A60" s="463"/>
      <c r="B60" s="349" t="s">
        <v>598</v>
      </c>
      <c r="C60" s="349" t="s">
        <v>246</v>
      </c>
      <c r="D60" s="447">
        <v>50</v>
      </c>
      <c r="E60" s="447"/>
      <c r="F60" s="340"/>
      <c r="G60" s="349" t="s">
        <v>907</v>
      </c>
      <c r="H60" s="346"/>
      <c r="I60" s="248"/>
      <c r="J60" s="248"/>
      <c r="K60" s="248"/>
    </row>
    <row r="61" spans="1:11" s="242" customFormat="1" ht="40" hidden="1" customHeight="1" x14ac:dyDescent="0.35">
      <c r="A61" s="463"/>
      <c r="B61" s="349" t="s">
        <v>599</v>
      </c>
      <c r="C61" s="349"/>
      <c r="D61" s="475">
        <f>ROUNDUP(D54/D55,0)</f>
        <v>2400</v>
      </c>
      <c r="E61" s="475"/>
      <c r="F61" s="340"/>
      <c r="G61" s="349" t="s">
        <v>826</v>
      </c>
      <c r="H61" s="346"/>
      <c r="I61" s="248"/>
      <c r="J61" s="248"/>
      <c r="K61" s="248"/>
    </row>
    <row r="62" spans="1:11" s="242" customFormat="1" ht="40" hidden="1" customHeight="1" x14ac:dyDescent="0.35">
      <c r="A62" s="463"/>
      <c r="B62" s="349" t="s">
        <v>604</v>
      </c>
      <c r="C62" s="349" t="s">
        <v>605</v>
      </c>
      <c r="D62" s="475">
        <f>D57/D56</f>
        <v>60</v>
      </c>
      <c r="E62" s="475"/>
      <c r="F62" s="340"/>
      <c r="G62" s="349" t="s">
        <v>827</v>
      </c>
      <c r="H62" s="346"/>
      <c r="I62" s="248"/>
      <c r="J62" s="248"/>
      <c r="K62" s="248"/>
    </row>
    <row r="63" spans="1:11" s="242" customFormat="1" ht="40" hidden="1" customHeight="1" x14ac:dyDescent="0.35">
      <c r="A63" s="463"/>
      <c r="B63" s="349" t="s">
        <v>600</v>
      </c>
      <c r="C63" s="349" t="s">
        <v>605</v>
      </c>
      <c r="D63" s="475">
        <f>D53+D62</f>
        <v>60</v>
      </c>
      <c r="E63" s="475"/>
      <c r="F63" s="340"/>
      <c r="G63" s="349" t="s">
        <v>828</v>
      </c>
      <c r="H63" s="346"/>
      <c r="I63" s="248"/>
      <c r="J63" s="248"/>
      <c r="K63" s="248"/>
    </row>
    <row r="64" spans="1:11" s="242" customFormat="1" ht="40" hidden="1" customHeight="1" x14ac:dyDescent="0.35">
      <c r="A64" s="463"/>
      <c r="B64" s="349" t="s">
        <v>601</v>
      </c>
      <c r="C64" s="349" t="s">
        <v>293</v>
      </c>
      <c r="D64" s="475">
        <f>(D63/3600)*D61+D52/60</f>
        <v>41</v>
      </c>
      <c r="E64" s="475"/>
      <c r="F64" s="340"/>
      <c r="G64" s="349" t="s">
        <v>829</v>
      </c>
      <c r="H64" s="346"/>
      <c r="I64" s="248"/>
      <c r="J64" s="248"/>
      <c r="K64" s="248"/>
    </row>
    <row r="65" spans="1:11" s="242" customFormat="1" ht="40" hidden="1" customHeight="1" x14ac:dyDescent="0.35">
      <c r="A65" s="463"/>
      <c r="B65" s="349" t="s">
        <v>830</v>
      </c>
      <c r="C65" s="349" t="str">
        <f>IF('Intro - Start Here'!$C$15="Metric","MJ","Btu")&amp;"/build"&amp; "     "&amp; "kg/build"</f>
        <v>Btu/build     kg/build</v>
      </c>
      <c r="D65" s="374">
        <f>IF(unitChoice = "Metric",(1/1000),0.947817)*((D62*D59 + D53*D60)*D61 + (D52*60)*D58)</f>
        <v>13682686.212000001</v>
      </c>
      <c r="E65" s="374">
        <f>((D62*D59 + D53*D60)*D61 + (D52*60)*D58)*(1/(3600*1000)) *'Use Phase'!N18</f>
        <v>1496.0187333871597</v>
      </c>
      <c r="F65" s="340"/>
      <c r="G65" s="349" t="s">
        <v>836</v>
      </c>
      <c r="H65" s="346" t="s">
        <v>841</v>
      </c>
      <c r="I65" s="248"/>
      <c r="J65" s="248"/>
      <c r="K65" s="248"/>
    </row>
    <row r="66" spans="1:11" s="242" customFormat="1" ht="40" hidden="1" customHeight="1" x14ac:dyDescent="0.35">
      <c r="A66" s="463"/>
      <c r="B66" s="362" t="s">
        <v>603</v>
      </c>
      <c r="C66" s="363" t="str">
        <f>IF('Intro - Start Here'!$C$15="Metric","MJ","Btu")&amp;"/part"&amp; "          "&amp; "kg/part"</f>
        <v>Btu/part          kg/part</v>
      </c>
      <c r="D66" s="364">
        <f>D65/$D43</f>
        <v>13682686.212000001</v>
      </c>
      <c r="E66" s="364">
        <f>E65/$D43</f>
        <v>1496.0187333871597</v>
      </c>
      <c r="F66" s="364"/>
      <c r="G66" s="362" t="s">
        <v>837</v>
      </c>
      <c r="H66" s="363"/>
      <c r="I66" s="248"/>
      <c r="J66" s="248"/>
      <c r="K66" s="248"/>
    </row>
    <row r="67" spans="1:11" s="242" customFormat="1" ht="50.15" customHeight="1" x14ac:dyDescent="0.35">
      <c r="A67" s="463"/>
      <c r="B67" s="479" t="s">
        <v>59</v>
      </c>
      <c r="C67" s="479"/>
      <c r="D67" s="479"/>
      <c r="E67" s="479"/>
      <c r="F67" s="479"/>
      <c r="G67" s="479"/>
      <c r="H67" s="479"/>
      <c r="I67" s="248"/>
      <c r="J67" s="248"/>
      <c r="K67" s="248"/>
    </row>
    <row r="68" spans="1:11" s="242" customFormat="1" ht="40" customHeight="1" x14ac:dyDescent="0.35">
      <c r="A68" s="463"/>
      <c r="B68" s="339" t="s">
        <v>912</v>
      </c>
      <c r="C68" s="346" t="str">
        <f>IF('Intro - Start Here'!$C$15="Metric","MJ","Btu")&amp;"/part"&amp; "          "&amp; "kg/part"</f>
        <v>Btu/part          kg/part</v>
      </c>
      <c r="D68" s="361">
        <f>IF(D41="Advanced",D66,D51)</f>
        <v>0</v>
      </c>
      <c r="E68" s="375">
        <f>IF(D41="Advanced",E66,E51)</f>
        <v>0</v>
      </c>
      <c r="F68" s="376"/>
      <c r="G68" s="339" t="s">
        <v>239</v>
      </c>
      <c r="H68" s="332"/>
      <c r="I68" s="248"/>
      <c r="J68" s="248"/>
      <c r="K68" s="248"/>
    </row>
    <row r="69" spans="1:11" s="242" customFormat="1" ht="40" customHeight="1" x14ac:dyDescent="0.35">
      <c r="A69" s="463"/>
      <c r="B69" s="377" t="s">
        <v>913</v>
      </c>
      <c r="C69" s="377" t="s">
        <v>909</v>
      </c>
      <c r="D69" s="378">
        <f>IF(D32=0,0,(D68/D32))</f>
        <v>0</v>
      </c>
      <c r="E69" s="378">
        <f>IF(D32=0,0,(E68/D32))</f>
        <v>0</v>
      </c>
      <c r="F69" s="378"/>
      <c r="G69" s="377" t="s">
        <v>240</v>
      </c>
      <c r="H69" s="379"/>
      <c r="I69" s="248"/>
      <c r="J69" s="248"/>
      <c r="K69" s="248"/>
    </row>
    <row r="70" spans="1:11" s="242" customFormat="1" ht="50.15" customHeight="1" x14ac:dyDescent="0.35">
      <c r="A70" s="463"/>
      <c r="B70" s="449" t="s">
        <v>975</v>
      </c>
      <c r="C70" s="449"/>
      <c r="D70" s="449"/>
      <c r="E70" s="449"/>
      <c r="F70" s="449"/>
      <c r="G70" s="449"/>
      <c r="H70" s="449"/>
      <c r="I70" s="248"/>
      <c r="J70" s="248"/>
      <c r="K70" s="248"/>
    </row>
    <row r="71" spans="1:11" s="242" customFormat="1" ht="60" customHeight="1" x14ac:dyDescent="0.35">
      <c r="A71" s="463"/>
      <c r="B71" s="346" t="s">
        <v>806</v>
      </c>
      <c r="C71" s="346" t="str">
        <f>IF('Intro - Start Here'!$C$15="Metric","MJ","Btu")&amp;"/part"&amp; "          "&amp; "kg/part"</f>
        <v>Btu/part          kg/part</v>
      </c>
      <c r="D71" s="358">
        <v>0</v>
      </c>
      <c r="E71" s="380">
        <v>0</v>
      </c>
      <c r="F71" s="381"/>
      <c r="G71" s="442" t="s">
        <v>807</v>
      </c>
      <c r="H71" s="330"/>
      <c r="I71" s="248"/>
      <c r="J71" s="248"/>
      <c r="K71" s="248"/>
    </row>
    <row r="72" spans="1:11" s="242" customFormat="1" ht="60" customHeight="1" x14ac:dyDescent="0.35">
      <c r="A72" s="463"/>
      <c r="B72" s="346" t="s">
        <v>914</v>
      </c>
      <c r="C72" s="346" t="str">
        <f>IF('Intro - Start Here'!$C$15="Metric","MJ","Btu")&amp;"/part"&amp; "          "&amp; "kg/part"</f>
        <v>Btu/part          kg/part</v>
      </c>
      <c r="D72" s="358">
        <v>0</v>
      </c>
      <c r="E72" s="380">
        <v>0</v>
      </c>
      <c r="F72" s="381"/>
      <c r="G72" s="442"/>
      <c r="H72" s="330"/>
      <c r="I72" s="248"/>
      <c r="J72" s="248"/>
      <c r="K72" s="248"/>
    </row>
    <row r="73" spans="1:11" s="242" customFormat="1" ht="40" customHeight="1" x14ac:dyDescent="0.35">
      <c r="A73" s="463"/>
      <c r="B73" s="346" t="s">
        <v>915</v>
      </c>
      <c r="C73" s="346" t="str">
        <f>IF('Intro - Start Here'!$C$15="Metric","MJ","Btu")&amp;"/part"&amp; "          "&amp; "kg/part"</f>
        <v>Btu/part          kg/part</v>
      </c>
      <c r="D73" s="361">
        <f>AM_post_power_E+AM_post_specific_E</f>
        <v>0</v>
      </c>
      <c r="E73" s="361">
        <f>AM_post_power_C+AM_post_specific_C</f>
        <v>0</v>
      </c>
      <c r="F73" s="351"/>
      <c r="G73" s="346" t="s">
        <v>798</v>
      </c>
      <c r="H73" s="330"/>
      <c r="I73" s="248"/>
      <c r="J73" s="248"/>
      <c r="K73" s="248"/>
    </row>
    <row r="74" spans="1:11" s="242" customFormat="1" ht="50.15" customHeight="1" x14ac:dyDescent="0.35">
      <c r="A74" s="463"/>
      <c r="B74" s="449" t="s">
        <v>976</v>
      </c>
      <c r="C74" s="449"/>
      <c r="D74" s="449"/>
      <c r="E74" s="449"/>
      <c r="F74" s="449"/>
      <c r="G74" s="449"/>
      <c r="H74" s="449"/>
      <c r="I74" s="248"/>
      <c r="J74" s="248"/>
      <c r="K74" s="248"/>
    </row>
    <row r="75" spans="1:11" s="242" customFormat="1" ht="60" customHeight="1" x14ac:dyDescent="0.35">
      <c r="A75" s="463"/>
      <c r="B75" s="349" t="s">
        <v>916</v>
      </c>
      <c r="C75" s="346" t="str">
        <f>IF('Intro - Start Here'!$C$15="Metric","MJ","Btu")&amp;"/part"&amp; "          "&amp; "kg/part"</f>
        <v>Btu/part          kg/part</v>
      </c>
      <c r="D75" s="358">
        <v>0</v>
      </c>
      <c r="E75" s="380">
        <v>0</v>
      </c>
      <c r="F75" s="347"/>
      <c r="G75" s="349" t="s">
        <v>794</v>
      </c>
      <c r="H75" s="330"/>
      <c r="I75" s="248"/>
      <c r="J75" s="248"/>
      <c r="K75" s="248"/>
    </row>
    <row r="76" spans="1:11" s="242" customFormat="1" ht="38.15" customHeight="1" x14ac:dyDescent="0.35">
      <c r="A76" s="463"/>
      <c r="B76" s="362" t="s">
        <v>917</v>
      </c>
      <c r="C76" s="363" t="str">
        <f>IF('Intro - Start Here'!$C$15="Metric","MJ","Btu")&amp;"/part"&amp; "          "&amp; "kg/part"</f>
        <v>Btu/part          kg/part</v>
      </c>
      <c r="D76" s="364">
        <f>D73+D68+D75</f>
        <v>0</v>
      </c>
      <c r="E76" s="364">
        <f>E73+E68+E75</f>
        <v>0</v>
      </c>
      <c r="F76" s="364"/>
      <c r="G76" s="362" t="s">
        <v>233</v>
      </c>
      <c r="H76" s="365"/>
      <c r="I76" s="248"/>
      <c r="J76" s="248"/>
      <c r="K76" s="248"/>
    </row>
    <row r="77" spans="1:11" s="242" customFormat="1" ht="50.15" customHeight="1" x14ac:dyDescent="0.35">
      <c r="A77" s="382"/>
      <c r="B77" s="468" t="s">
        <v>986</v>
      </c>
      <c r="C77" s="468"/>
      <c r="D77" s="468"/>
      <c r="E77" s="468"/>
      <c r="F77" s="468"/>
      <c r="G77" s="468"/>
      <c r="H77" s="468"/>
      <c r="I77" s="248"/>
      <c r="J77" s="248"/>
      <c r="K77" s="248"/>
    </row>
    <row r="78" spans="1:11" s="242" customFormat="1" ht="40" customHeight="1" x14ac:dyDescent="0.35">
      <c r="A78" s="452" t="s">
        <v>64</v>
      </c>
      <c r="B78" s="349" t="s">
        <v>79</v>
      </c>
      <c r="C78" s="349" t="s">
        <v>14</v>
      </c>
      <c r="D78" s="446" t="s">
        <v>62</v>
      </c>
      <c r="E78" s="446"/>
      <c r="F78" s="340"/>
      <c r="G78" s="349" t="s">
        <v>271</v>
      </c>
      <c r="H78" s="330"/>
      <c r="I78" s="248"/>
      <c r="J78" s="248"/>
      <c r="K78" s="248"/>
    </row>
    <row r="79" spans="1:11" s="242" customFormat="1" ht="40" customHeight="1" x14ac:dyDescent="0.35">
      <c r="A79" s="452"/>
      <c r="B79" s="349" t="s">
        <v>776</v>
      </c>
      <c r="C79" s="349" t="s">
        <v>14</v>
      </c>
      <c r="D79" s="446" t="s">
        <v>14</v>
      </c>
      <c r="E79" s="446"/>
      <c r="F79" s="340"/>
      <c r="G79" s="349" t="s">
        <v>814</v>
      </c>
      <c r="H79" s="330"/>
      <c r="I79" s="248"/>
      <c r="J79" s="248"/>
      <c r="K79" s="248"/>
    </row>
    <row r="80" spans="1:11" s="242" customFormat="1" ht="40" customHeight="1" x14ac:dyDescent="0.35">
      <c r="A80" s="452"/>
      <c r="B80" s="349" t="s">
        <v>777</v>
      </c>
      <c r="C80" s="349" t="str">
        <f>IF('Intro - Start Here'!$C$15="Metric","MJ/kg","Btu/lb")&amp;IF(D79="Spacecraft","",IF('Intro - Start Here'!$C$15="Metric","-km","-mi"))&amp;"          "&amp;IF(unitChoice="Metric","kg/kg","kg/lb")&amp;IF(D79="Spacecraft","",IF('Intro - Start Here'!$C$15="Metric","-km","-mi"))</f>
        <v>Btu/lb-mi          kg/lb-mi</v>
      </c>
      <c r="D80" s="375">
        <f>VLOOKUP(D79,TransportationEE,2,FALSE)*IF(unitChoice="Metric",1,'Use Phase'!$K$23)</f>
        <v>0</v>
      </c>
      <c r="E80" s="383">
        <f>VLOOKUP(D79,TransportationEE,5,FALSE)*IF(unitChoice="Metric",1,'Use Phase'!$O$21)</f>
        <v>0</v>
      </c>
      <c r="F80" s="376"/>
      <c r="G80" s="349" t="s">
        <v>811</v>
      </c>
      <c r="H80" s="333"/>
      <c r="I80" s="248"/>
      <c r="J80" s="248"/>
      <c r="K80" s="248"/>
    </row>
    <row r="81" spans="1:11" s="242" customFormat="1" ht="40" hidden="1" customHeight="1" x14ac:dyDescent="0.35">
      <c r="A81" s="452"/>
      <c r="B81" s="349" t="s">
        <v>776</v>
      </c>
      <c r="C81" s="349" t="s">
        <v>14</v>
      </c>
      <c r="D81" s="446" t="s">
        <v>81</v>
      </c>
      <c r="E81" s="446"/>
      <c r="F81" s="340"/>
      <c r="G81" s="349" t="s">
        <v>234</v>
      </c>
      <c r="H81" s="333"/>
      <c r="I81" s="248"/>
      <c r="J81" s="248"/>
      <c r="K81" s="248"/>
    </row>
    <row r="82" spans="1:11" s="242" customFormat="1" ht="40" hidden="1" customHeight="1" x14ac:dyDescent="0.35">
      <c r="A82" s="452"/>
      <c r="B82" s="349" t="s">
        <v>777</v>
      </c>
      <c r="C82" s="349" t="str">
        <f>IF('Intro - Start Here'!$C$15="Metric","MJ/kg","Btu/lb")&amp;IF(D81="Spacecraft","",IF('Intro - Start Here'!$C$15="Metric","-km","-mi"))&amp;"       "&amp;IF(unitChoice="Metric","kg/kg","kg/lb")&amp;IF(D81="Spacecraft","",IF('Intro - Start Here'!$C$15="Metric","-km","-mi"))</f>
        <v>Btu/lb-mi       kg/lb-mi</v>
      </c>
      <c r="D82" s="384">
        <f>VLOOKUP(D81,TransportationEE_2,2,FALSE)*IF(unitChoice="Metric",1,IF(D81="Spacecraft",'Use Phase'!$K$21,'Use Phase'!$K$23))</f>
        <v>0.11070324800000002</v>
      </c>
      <c r="E82" s="385">
        <f>VLOOKUP(D81,TransportationEE_2,4,FALSE)*IF(unitChoice="Metric",1,IF(D81="Spacecraft",'Use Phase'!$O$23,'Use Phase'!$O$21))</f>
        <v>1.0949778193067285E-5</v>
      </c>
      <c r="F82" s="351"/>
      <c r="G82" s="349" t="s">
        <v>241</v>
      </c>
      <c r="H82" s="333"/>
      <c r="I82" s="248"/>
      <c r="J82" s="248"/>
      <c r="K82" s="248"/>
    </row>
    <row r="83" spans="1:11" s="242" customFormat="1" ht="40" customHeight="1" x14ac:dyDescent="0.35">
      <c r="A83" s="452"/>
      <c r="B83" s="346" t="s">
        <v>897</v>
      </c>
      <c r="C83" s="349" t="str">
        <f>IF('Intro - Start Here'!$C$15="Metric","km","mi")</f>
        <v>mi</v>
      </c>
      <c r="D83" s="445">
        <v>0</v>
      </c>
      <c r="E83" s="445"/>
      <c r="F83" s="347"/>
      <c r="G83" s="349" t="s">
        <v>813</v>
      </c>
      <c r="H83" s="333"/>
      <c r="I83" s="248"/>
      <c r="J83" s="248"/>
      <c r="K83" s="248"/>
    </row>
    <row r="84" spans="1:11" s="242" customFormat="1" ht="40" customHeight="1" x14ac:dyDescent="0.35">
      <c r="A84" s="452"/>
      <c r="B84" s="346" t="s">
        <v>780</v>
      </c>
      <c r="C84" s="349" t="s">
        <v>14</v>
      </c>
      <c r="D84" s="446" t="s">
        <v>14</v>
      </c>
      <c r="E84" s="446"/>
      <c r="F84" s="340"/>
      <c r="G84" s="349" t="s">
        <v>816</v>
      </c>
      <c r="H84" s="333"/>
      <c r="I84" s="248"/>
      <c r="J84" s="248"/>
      <c r="K84" s="248"/>
    </row>
    <row r="85" spans="1:11" s="242" customFormat="1" ht="40" customHeight="1" x14ac:dyDescent="0.35">
      <c r="A85" s="452"/>
      <c r="B85" s="346" t="s">
        <v>777</v>
      </c>
      <c r="C85" s="349" t="str">
        <f>IF('Intro - Start Here'!$C$15="Metric","MJ/kg","Btu/lb")&amp;IF(D84="Spacecraft","",IF('Intro - Start Here'!$C$15="Metric","-km","-mi"))&amp;"          "&amp;IF(unitChoice="Metric","kg/kg","kg/lb")&amp;IF(D84="Spacecraft","",IF('Intro - Start Here'!$C$15="Metric","-km","-mi"))</f>
        <v>Btu/lb-mi          kg/lb-mi</v>
      </c>
      <c r="D85" s="375">
        <f>VLOOKUP(D84,TransportationEE,2,FALSE)*IF(unitChoice="Metric",1,'Use Phase'!$K$23)</f>
        <v>0</v>
      </c>
      <c r="E85" s="383">
        <f>VLOOKUP(D84,TransportationEE,5,FALSE)*IF(unitChoice="Metric",1,'Use Phase'!$O$21)</f>
        <v>0</v>
      </c>
      <c r="F85" s="376"/>
      <c r="G85" s="349" t="s">
        <v>812</v>
      </c>
      <c r="H85" s="333"/>
      <c r="I85" s="248"/>
      <c r="J85" s="248"/>
      <c r="K85" s="248"/>
    </row>
    <row r="86" spans="1:11" s="242" customFormat="1" ht="40" hidden="1" customHeight="1" x14ac:dyDescent="0.35">
      <c r="A86" s="452"/>
      <c r="B86" s="346" t="s">
        <v>780</v>
      </c>
      <c r="C86" s="349" t="s">
        <v>14</v>
      </c>
      <c r="D86" s="446" t="s">
        <v>87</v>
      </c>
      <c r="E86" s="446"/>
      <c r="F86" s="340"/>
      <c r="G86" s="349" t="s">
        <v>242</v>
      </c>
      <c r="H86" s="333"/>
      <c r="I86" s="248"/>
      <c r="J86" s="248"/>
      <c r="K86" s="248"/>
    </row>
    <row r="87" spans="1:11" s="242" customFormat="1" ht="40" hidden="1" customHeight="1" x14ac:dyDescent="0.35">
      <c r="A87" s="452"/>
      <c r="B87" s="346" t="s">
        <v>777</v>
      </c>
      <c r="C87" s="349" t="str">
        <f>IF('Intro - Start Here'!$C$15="Metric","MJ/kg","Btu/lb")&amp;IF(D86="Spacecraft","",IF('Intro - Start Here'!$C$15="Metric","-km","-mi"))&amp;"       "&amp;IF(unitChoice="Metric","kg/kg","kg/lb")&amp;IF(D86="Spacecraft","",IF('Intro - Start Here'!$C$15="Metric","-km","-mi"))</f>
        <v>Btu/lb-mi       kg/lb-mi</v>
      </c>
      <c r="D87" s="384">
        <f>VLOOKUP(D86,TransportationEE_2,2,FALSE)*IF(unitChoice="Metric",1,IF(D86="Spacecraft",'Use Phase'!$K$21,'Use Phase'!$K$23))</f>
        <v>0.65038158199999996</v>
      </c>
      <c r="E87" s="385">
        <f>VLOOKUP(D86,TransportationEE_2,4,FALSE)*IF(unitChoice="Metric",1,IF(D86="Spacecraft",'Use Phase'!$O$23,'Use Phase'!$O$21))</f>
        <v>4.8909009262367215E-5</v>
      </c>
      <c r="F87" s="351"/>
      <c r="G87" s="386" t="s">
        <v>243</v>
      </c>
      <c r="H87" s="334"/>
      <c r="I87" s="248"/>
      <c r="J87" s="248"/>
      <c r="K87" s="248"/>
    </row>
    <row r="88" spans="1:11" s="242" customFormat="1" ht="40" customHeight="1" x14ac:dyDescent="0.35">
      <c r="A88" s="452"/>
      <c r="B88" s="346" t="s">
        <v>898</v>
      </c>
      <c r="C88" s="349" t="str">
        <f>IF('Intro - Start Here'!$C$15="Metric","km","mi")</f>
        <v>mi</v>
      </c>
      <c r="D88" s="445">
        <v>0</v>
      </c>
      <c r="E88" s="445"/>
      <c r="F88" s="347"/>
      <c r="G88" s="349" t="s">
        <v>815</v>
      </c>
      <c r="H88" s="330"/>
      <c r="I88" s="248"/>
      <c r="J88" s="248"/>
      <c r="K88" s="248"/>
    </row>
    <row r="89" spans="1:11" s="242" customFormat="1" ht="40" customHeight="1" x14ac:dyDescent="0.35">
      <c r="A89" s="452"/>
      <c r="B89" s="387" t="s">
        <v>778</v>
      </c>
      <c r="C89" s="387" t="str">
        <f>IF('Intro - Start Here'!$C$15="Metric","MJ","Btu")&amp;"/part"&amp; "          "&amp; "kg/part"</f>
        <v>Btu/part          kg/part</v>
      </c>
      <c r="D89" s="388">
        <f>IF(D78="Simple",D33*(D80*D83+D85*D88),IF(D81="Spacecraft",D33*(D82+D87*D88),IF(D86="Spacecraft",D33*(D82*D83+D87),D33*(D82*D83+D87*D88))))</f>
        <v>0</v>
      </c>
      <c r="E89" s="388">
        <f>IF(D78="Simple",D33*(E80*D83+E85*D88),IF(D81="Spacecraft",D33*(E82+E87*D88),IF(D86="Spacecraft",D33*(E82*D83+E87),D33*(E82*D83+E87*D88))))</f>
        <v>0</v>
      </c>
      <c r="F89" s="388"/>
      <c r="G89" s="387" t="s">
        <v>235</v>
      </c>
      <c r="H89" s="379"/>
      <c r="I89" s="248"/>
      <c r="J89" s="248"/>
      <c r="K89" s="248"/>
    </row>
    <row r="90" spans="1:11" s="242" customFormat="1" ht="50.15" customHeight="1" x14ac:dyDescent="0.35">
      <c r="A90" s="389"/>
      <c r="B90" s="472" t="s">
        <v>987</v>
      </c>
      <c r="C90" s="472"/>
      <c r="D90" s="472"/>
      <c r="E90" s="472"/>
      <c r="F90" s="472"/>
      <c r="G90" s="472"/>
      <c r="H90" s="472"/>
      <c r="I90" s="248"/>
      <c r="J90" s="248"/>
      <c r="K90" s="248"/>
    </row>
    <row r="91" spans="1:11" s="242" customFormat="1" ht="40" customHeight="1" x14ac:dyDescent="0.35">
      <c r="A91" s="476" t="s">
        <v>118</v>
      </c>
      <c r="B91" s="346" t="s">
        <v>779</v>
      </c>
      <c r="C91" s="339" t="str">
        <f>C6</f>
        <v>Years</v>
      </c>
      <c r="D91" s="469">
        <f>D6</f>
        <v>0</v>
      </c>
      <c r="E91" s="469"/>
      <c r="F91" s="347"/>
      <c r="G91" s="339" t="s">
        <v>782</v>
      </c>
      <c r="H91" s="332"/>
      <c r="I91" s="248"/>
      <c r="J91" s="248"/>
      <c r="K91" s="248"/>
    </row>
    <row r="92" spans="1:11" s="242" customFormat="1" ht="50.15" customHeight="1" x14ac:dyDescent="0.35">
      <c r="A92" s="476"/>
      <c r="B92" s="472" t="s">
        <v>988</v>
      </c>
      <c r="C92" s="472"/>
      <c r="D92" s="472"/>
      <c r="E92" s="472"/>
      <c r="F92" s="472"/>
      <c r="G92" s="472"/>
      <c r="H92" s="472"/>
      <c r="I92" s="248"/>
      <c r="J92" s="248"/>
      <c r="K92" s="248"/>
    </row>
    <row r="93" spans="1:11" s="242" customFormat="1" ht="40" customHeight="1" x14ac:dyDescent="0.35">
      <c r="A93" s="476"/>
      <c r="B93" s="339" t="s">
        <v>899</v>
      </c>
      <c r="C93" s="339" t="s">
        <v>14</v>
      </c>
      <c r="D93" s="446" t="s">
        <v>101</v>
      </c>
      <c r="E93" s="446"/>
      <c r="F93" s="340"/>
      <c r="G93" s="346" t="s">
        <v>822</v>
      </c>
      <c r="H93" s="332"/>
      <c r="I93" s="248"/>
      <c r="J93" s="248"/>
      <c r="K93" s="248"/>
    </row>
    <row r="94" spans="1:11" s="242" customFormat="1" ht="40" customHeight="1" x14ac:dyDescent="0.35">
      <c r="A94" s="476"/>
      <c r="B94" s="346" t="s">
        <v>781</v>
      </c>
      <c r="C94" s="339" t="s">
        <v>14</v>
      </c>
      <c r="D94" s="446" t="s">
        <v>95</v>
      </c>
      <c r="E94" s="446"/>
      <c r="F94" s="340"/>
      <c r="G94" s="346" t="s">
        <v>236</v>
      </c>
      <c r="H94" s="332"/>
      <c r="I94" s="248"/>
      <c r="J94" s="248"/>
      <c r="K94" s="248"/>
    </row>
    <row r="95" spans="1:11" s="242" customFormat="1" ht="40" customHeight="1" x14ac:dyDescent="0.35">
      <c r="A95" s="476"/>
      <c r="B95" s="339" t="s">
        <v>852</v>
      </c>
      <c r="C95" s="349" t="str">
        <f>IF('Intro - Start Here'!$C$15="Metric","MJ/kg","Btu/lb")&amp;IF(D94="Spacecraft","",IF('Intro - Start Here'!$C$15="Metric","-km","-mi"))&amp;"       "&amp;IF(unitChoice="Metric","kg/kg","kg/lb")&amp;IF(D94="Spacecraft","",IF('Intro - Start Here'!$C$15="Metric","-km","-mi"))</f>
        <v>Btu/lb-mi       kg/lb-mi</v>
      </c>
      <c r="D95" s="369">
        <f>VLOOKUP(D94,'Use Phase'!$A$5:$D$25,2,FALSE)*IF(unitChoice="Metric",1,IF(D94="Spacecraft",'Use Phase'!$K$21,'Use Phase'!$K$23))</f>
        <v>2.1822377762</v>
      </c>
      <c r="E95" s="390">
        <f>VLOOKUP(D94,'Use Phase'!$A$5:$D$25,4,FALSE)*IF(unitChoice="Metric",1,IF(D94="Spacecraft",'Use Phase'!$O$23,'Use Phase'!$O$21))</f>
        <v>1.5811914602074467E-4</v>
      </c>
      <c r="F95" s="351"/>
      <c r="G95" s="346" t="s">
        <v>639</v>
      </c>
      <c r="H95" s="333"/>
      <c r="I95" s="248"/>
      <c r="J95" s="248"/>
      <c r="K95" s="248"/>
    </row>
    <row r="96" spans="1:11" s="242" customFormat="1" ht="40" customHeight="1" x14ac:dyDescent="0.35">
      <c r="A96" s="476"/>
      <c r="B96" s="339" t="s">
        <v>103</v>
      </c>
      <c r="C96" s="339" t="str">
        <f>IF('Intro - Start Here'!$C$15="Metric","km","mi")&amp;"/day"</f>
        <v>mi/day</v>
      </c>
      <c r="D96" s="470"/>
      <c r="E96" s="470"/>
      <c r="F96" s="381"/>
      <c r="G96" s="346" t="s">
        <v>287</v>
      </c>
      <c r="H96" s="333"/>
      <c r="I96" s="248"/>
      <c r="J96" s="248"/>
      <c r="K96" s="248"/>
    </row>
    <row r="97" spans="1:11" s="242" customFormat="1" ht="40" customHeight="1" x14ac:dyDescent="0.35">
      <c r="A97" s="476"/>
      <c r="B97" s="339" t="s">
        <v>104</v>
      </c>
      <c r="C97" s="339" t="s">
        <v>286</v>
      </c>
      <c r="D97" s="470"/>
      <c r="E97" s="470"/>
      <c r="F97" s="381"/>
      <c r="G97" s="346" t="s">
        <v>287</v>
      </c>
      <c r="H97" s="332"/>
      <c r="I97" s="248"/>
      <c r="J97" s="248"/>
      <c r="K97" s="248"/>
    </row>
    <row r="98" spans="1:11" s="242" customFormat="1" ht="40" hidden="1" customHeight="1" x14ac:dyDescent="0.35">
      <c r="A98" s="476"/>
      <c r="B98" s="339" t="s">
        <v>900</v>
      </c>
      <c r="C98" s="339" t="s">
        <v>253</v>
      </c>
      <c r="D98" s="447">
        <v>12</v>
      </c>
      <c r="E98" s="447"/>
      <c r="F98" s="340"/>
      <c r="G98" s="346" t="s">
        <v>254</v>
      </c>
      <c r="H98" s="332"/>
      <c r="I98" s="248"/>
      <c r="J98" s="248"/>
      <c r="K98" s="248"/>
    </row>
    <row r="99" spans="1:11" s="242" customFormat="1" ht="40" customHeight="1" x14ac:dyDescent="0.35">
      <c r="A99" s="476"/>
      <c r="B99" s="339" t="s">
        <v>823</v>
      </c>
      <c r="C99" s="349" t="str">
        <f t="shared" ref="C99" si="1">IF(unitChoice="Metric","MJ/kg","Btu/lb") &amp; "          "&amp; IF(unitChoice="Metric","kg/kg","kg/lb")</f>
        <v>Btu/lb          kg/lb</v>
      </c>
      <c r="D99" s="391">
        <f>IF(D94="Spacecraft", (D95*D98*D91), (D95*D96*D97*D91))</f>
        <v>0</v>
      </c>
      <c r="E99" s="391">
        <f>IF(D94="Spacecraft", (E95*D98*D91), (E95*D96*D97*D91))</f>
        <v>0</v>
      </c>
      <c r="F99" s="392"/>
      <c r="G99" s="346" t="s">
        <v>244</v>
      </c>
      <c r="H99" s="333"/>
      <c r="I99" s="248"/>
      <c r="J99" s="248"/>
      <c r="K99" s="248"/>
    </row>
    <row r="100" spans="1:11" s="242" customFormat="1" ht="40" customHeight="1" x14ac:dyDescent="0.35">
      <c r="A100" s="476"/>
      <c r="B100" s="387" t="s">
        <v>919</v>
      </c>
      <c r="C100" s="387" t="str">
        <f>IF('Intro - Start Here'!$C$15="Metric","MJ","Btu")&amp;"/part"&amp; "          "&amp; "kg/part"</f>
        <v>Btu/part          kg/part</v>
      </c>
      <c r="D100" s="388">
        <f>D99*D33</f>
        <v>0</v>
      </c>
      <c r="E100" s="388">
        <f>E99*D33</f>
        <v>0</v>
      </c>
      <c r="F100" s="388"/>
      <c r="G100" s="387" t="s">
        <v>244</v>
      </c>
      <c r="H100" s="379"/>
      <c r="I100" s="248"/>
      <c r="J100" s="248"/>
      <c r="K100" s="248"/>
    </row>
    <row r="101" spans="1:11" s="242" customFormat="1" ht="50.15" customHeight="1" x14ac:dyDescent="0.35">
      <c r="A101" s="476"/>
      <c r="B101" s="472" t="s">
        <v>989</v>
      </c>
      <c r="C101" s="472"/>
      <c r="D101" s="472"/>
      <c r="E101" s="472"/>
      <c r="F101" s="472"/>
      <c r="G101" s="472"/>
      <c r="H101" s="472"/>
      <c r="I101" s="248"/>
      <c r="J101" s="248"/>
      <c r="K101" s="248"/>
    </row>
    <row r="102" spans="1:11" s="242" customFormat="1" ht="40" customHeight="1" x14ac:dyDescent="0.35">
      <c r="A102" s="476"/>
      <c r="B102" s="339" t="s">
        <v>801</v>
      </c>
      <c r="C102" s="339" t="s">
        <v>14</v>
      </c>
      <c r="D102" s="446" t="s">
        <v>102</v>
      </c>
      <c r="E102" s="446"/>
      <c r="F102" s="340"/>
      <c r="G102" s="339" t="s">
        <v>237</v>
      </c>
      <c r="H102" s="393"/>
      <c r="I102" s="248"/>
      <c r="J102" s="248"/>
      <c r="K102" s="248"/>
    </row>
    <row r="103" spans="1:11" s="242" customFormat="1" ht="40" hidden="1" customHeight="1" x14ac:dyDescent="0.35">
      <c r="A103" s="476"/>
      <c r="B103" s="339" t="s">
        <v>802</v>
      </c>
      <c r="C103" s="339" t="s">
        <v>14</v>
      </c>
      <c r="D103" s="446" t="s">
        <v>106</v>
      </c>
      <c r="E103" s="446"/>
      <c r="F103" s="340"/>
      <c r="G103" s="339" t="s">
        <v>817</v>
      </c>
      <c r="H103" s="332"/>
      <c r="I103" s="248"/>
      <c r="J103" s="248"/>
      <c r="K103" s="248"/>
    </row>
    <row r="104" spans="1:11" s="242" customFormat="1" ht="40" hidden="1" customHeight="1" x14ac:dyDescent="0.35">
      <c r="A104" s="476"/>
      <c r="B104" s="339" t="str">
        <f>IF(ISNUMBER(SEARCH("Thermal",D103)), "Average energy use by the system while in operation", "Average power drawn by system while in Operation")</f>
        <v>Average energy use by the system while in operation</v>
      </c>
      <c r="C104" s="339" t="str">
        <f>IF(OR(D103="Electric to Thermal", D103="Electric to Mechanical"),"kW",IF(unitChoice="Metric","MJ/hr", "Btu/hr"))</f>
        <v>Btu/hr</v>
      </c>
      <c r="D104" s="447">
        <v>100</v>
      </c>
      <c r="E104" s="447"/>
      <c r="F104" s="340"/>
      <c r="G104" s="339" t="s">
        <v>624</v>
      </c>
      <c r="H104" s="333"/>
      <c r="I104" s="248"/>
      <c r="J104" s="248"/>
      <c r="K104" s="248"/>
    </row>
    <row r="105" spans="1:11" s="242" customFormat="1" ht="40" hidden="1" customHeight="1" x14ac:dyDescent="0.35">
      <c r="A105" s="476"/>
      <c r="B105" s="339" t="s">
        <v>886</v>
      </c>
      <c r="C105" s="339" t="s">
        <v>286</v>
      </c>
      <c r="D105" s="447">
        <v>100</v>
      </c>
      <c r="E105" s="447"/>
      <c r="F105" s="340"/>
      <c r="G105" s="339" t="s">
        <v>331</v>
      </c>
      <c r="H105" s="332"/>
      <c r="I105" s="248"/>
      <c r="J105" s="248"/>
      <c r="K105" s="248"/>
    </row>
    <row r="106" spans="1:11" s="242" customFormat="1" ht="40" hidden="1" customHeight="1" x14ac:dyDescent="0.35">
      <c r="A106" s="476"/>
      <c r="B106" s="339" t="s">
        <v>330</v>
      </c>
      <c r="C106" s="339" t="s">
        <v>107</v>
      </c>
      <c r="D106" s="447">
        <v>10</v>
      </c>
      <c r="E106" s="447"/>
      <c r="F106" s="340"/>
      <c r="G106" s="339" t="s">
        <v>331</v>
      </c>
      <c r="H106" s="332"/>
      <c r="I106" s="248"/>
      <c r="J106" s="248"/>
      <c r="K106" s="248"/>
    </row>
    <row r="107" spans="1:11" s="242" customFormat="1" ht="40" hidden="1" customHeight="1" x14ac:dyDescent="0.35">
      <c r="A107" s="476"/>
      <c r="B107" s="387" t="s">
        <v>918</v>
      </c>
      <c r="C107" s="387" t="str">
        <f>IF('Intro - Start Here'!$C$15="Metric","MJ","Btu")&amp;"/part"&amp; "          "&amp; "kg/part"</f>
        <v>Btu/part          kg/part</v>
      </c>
      <c r="D107" s="388">
        <f>D104*D105*D106*D91*IF(OR(D103="Electric to Thermal", D103="Electric to Mechanical"),IF(unitChoice="Metric", 3.6,3412.14163),1)</f>
        <v>0</v>
      </c>
      <c r="E107" s="388">
        <f>D104*D105*D106*D91*IF(OR(D103="Electric to Thermal", D103="Electric to Mechanical"),(1/1000)*'Use Phase'!$N$18,'Use Phase'!$N$12*IF(unitChoice="Metric",947.817/(1000000),1/1000000))</f>
        <v>0</v>
      </c>
      <c r="F107" s="388"/>
      <c r="G107" s="387"/>
      <c r="H107" s="379"/>
      <c r="I107" s="248"/>
      <c r="J107" s="248"/>
      <c r="K107" s="248"/>
    </row>
    <row r="108" spans="1:11" s="242" customFormat="1" ht="40" customHeight="1" x14ac:dyDescent="0.35">
      <c r="A108" s="476"/>
      <c r="B108" s="362" t="s">
        <v>920</v>
      </c>
      <c r="C108" s="363" t="str">
        <f>IF('Intro - Start Here'!$C$15="Metric","MJ","Btu")&amp;"/part"&amp; "          "&amp; "kg/part"</f>
        <v>Btu/part          kg/part</v>
      </c>
      <c r="D108" s="364">
        <f>IF(D93="yes",D100,0)+IF(D102="yes",D107,0)</f>
        <v>0</v>
      </c>
      <c r="E108" s="364">
        <f>IF(D93="yes",E100,0)+IF(D102="yes",E107,0)</f>
        <v>0</v>
      </c>
      <c r="F108" s="364"/>
      <c r="G108" s="362" t="s">
        <v>238</v>
      </c>
      <c r="H108" s="365"/>
      <c r="I108" s="248"/>
      <c r="J108" s="248"/>
      <c r="K108" s="248"/>
    </row>
    <row r="109" spans="1:11" s="242" customFormat="1" ht="50.15" customHeight="1" x14ac:dyDescent="0.35">
      <c r="A109" s="394"/>
      <c r="B109" s="467" t="s">
        <v>981</v>
      </c>
      <c r="C109" s="467"/>
      <c r="D109" s="467"/>
      <c r="E109" s="467"/>
      <c r="F109" s="467"/>
      <c r="G109" s="467"/>
      <c r="H109" s="467"/>
      <c r="I109" s="248"/>
      <c r="J109" s="248"/>
      <c r="K109" s="248"/>
    </row>
    <row r="110" spans="1:11" s="242" customFormat="1" ht="60" customHeight="1" x14ac:dyDescent="0.35">
      <c r="A110" s="462" t="s">
        <v>280</v>
      </c>
      <c r="B110" s="339" t="s">
        <v>921</v>
      </c>
      <c r="C110" s="346" t="str">
        <f>IF('Intro - Start Here'!$C$15="Metric","MJ","Btu")&amp;"/part"&amp; "          "&amp; "kg/part"</f>
        <v>Btu/part          kg/part</v>
      </c>
      <c r="D110" s="358">
        <v>0</v>
      </c>
      <c r="E110" s="358">
        <v>0</v>
      </c>
      <c r="F110" s="347"/>
      <c r="G110" s="440" t="s">
        <v>982</v>
      </c>
      <c r="H110" s="333"/>
      <c r="I110" s="248"/>
      <c r="J110" s="248"/>
      <c r="K110" s="248"/>
    </row>
    <row r="111" spans="1:11" s="242" customFormat="1" ht="60" customHeight="1" x14ac:dyDescent="0.35">
      <c r="A111" s="462"/>
      <c r="B111" s="339" t="s">
        <v>922</v>
      </c>
      <c r="C111" s="346" t="str">
        <f>IF('Intro - Start Here'!$C$15="Metric","MJ","Btu")&amp;"/part"&amp; "          "&amp; "kg/part"</f>
        <v>Btu/part          kg/part</v>
      </c>
      <c r="D111" s="358">
        <v>0</v>
      </c>
      <c r="E111" s="358">
        <v>0</v>
      </c>
      <c r="F111" s="347"/>
      <c r="G111" s="440"/>
      <c r="H111" s="333"/>
      <c r="I111" s="248"/>
      <c r="J111" s="248"/>
      <c r="K111" s="248"/>
    </row>
    <row r="112" spans="1:11" s="242" customFormat="1" ht="40" customHeight="1" x14ac:dyDescent="0.35">
      <c r="A112" s="462"/>
      <c r="B112" s="377" t="s">
        <v>923</v>
      </c>
      <c r="C112" s="377" t="str">
        <f>IF('Intro - Start Here'!$C$15="Metric","MJ","Btu")&amp;"/part"&amp; "          "&amp; "kg/part"</f>
        <v>Btu/part          kg/part</v>
      </c>
      <c r="D112" s="378">
        <f>SUM(D110:D111)</f>
        <v>0</v>
      </c>
      <c r="E112" s="378">
        <f>SUM(E110:E111)</f>
        <v>0</v>
      </c>
      <c r="F112" s="378"/>
      <c r="G112" s="377" t="s">
        <v>808</v>
      </c>
      <c r="H112" s="379"/>
      <c r="I112" s="248"/>
      <c r="J112" s="248"/>
      <c r="K112" s="248"/>
    </row>
    <row r="113" spans="1:11" s="242" customFormat="1" ht="40" customHeight="1" x14ac:dyDescent="0.35">
      <c r="A113" s="462"/>
      <c r="B113" s="339" t="s">
        <v>924</v>
      </c>
      <c r="C113" s="346" t="str">
        <f>IF('Intro - Start Here'!$C$15="Metric","MJ","Btu")&amp;"/part"&amp; "          "&amp; "kg/part"</f>
        <v>Btu/part          kg/part</v>
      </c>
      <c r="D113" s="358">
        <v>0</v>
      </c>
      <c r="E113" s="358">
        <v>0</v>
      </c>
      <c r="F113" s="347"/>
      <c r="G113" s="440" t="s">
        <v>983</v>
      </c>
      <c r="H113" s="333"/>
      <c r="I113" s="248"/>
      <c r="J113" s="248"/>
      <c r="K113" s="248"/>
    </row>
    <row r="114" spans="1:11" s="242" customFormat="1" ht="40" customHeight="1" x14ac:dyDescent="0.35">
      <c r="A114" s="462"/>
      <c r="B114" s="339" t="s">
        <v>925</v>
      </c>
      <c r="C114" s="346" t="str">
        <f>IF('Intro - Start Here'!$C$15="Metric","MJ","Btu")&amp;"/part"&amp; "          "&amp; "kg/part"</f>
        <v>Btu/part          kg/part</v>
      </c>
      <c r="D114" s="358">
        <v>0</v>
      </c>
      <c r="E114" s="358">
        <v>0</v>
      </c>
      <c r="F114" s="347"/>
      <c r="G114" s="440"/>
      <c r="H114" s="333"/>
      <c r="I114" s="248"/>
      <c r="J114" s="248"/>
      <c r="K114" s="248"/>
    </row>
    <row r="115" spans="1:11" s="242" customFormat="1" ht="40" customHeight="1" x14ac:dyDescent="0.35">
      <c r="A115" s="462"/>
      <c r="B115" s="377" t="s">
        <v>926</v>
      </c>
      <c r="C115" s="377" t="str">
        <f>IF('Intro - Start Here'!$C$15="Metric","MJ","Btu")&amp;"/part"&amp; "          "&amp; "kg/part"</f>
        <v>Btu/part          kg/part</v>
      </c>
      <c r="D115" s="378">
        <f>SUM(D113:D114)</f>
        <v>0</v>
      </c>
      <c r="E115" s="378">
        <f>SUM(E113:E114)</f>
        <v>0</v>
      </c>
      <c r="F115" s="378"/>
      <c r="G115" s="377" t="s">
        <v>809</v>
      </c>
      <c r="H115" s="379"/>
      <c r="I115" s="248"/>
      <c r="J115" s="248"/>
      <c r="K115" s="248"/>
    </row>
    <row r="116" spans="1:11" s="242" customFormat="1" ht="40" customHeight="1" x14ac:dyDescent="0.35">
      <c r="A116" s="462"/>
      <c r="B116" s="362" t="s">
        <v>927</v>
      </c>
      <c r="C116" s="363" t="str">
        <f>IF('Intro - Start Here'!$C$15="Metric","MJ","Btu")&amp;"/part"&amp; "          "&amp; "kg/part"</f>
        <v>Btu/part          kg/part</v>
      </c>
      <c r="D116" s="364">
        <f>D112+IF(D15="None", 0,D115)</f>
        <v>0</v>
      </c>
      <c r="E116" s="364">
        <f>E112+IF(D15="None", 0,E115)</f>
        <v>0</v>
      </c>
      <c r="F116" s="364"/>
      <c r="G116" s="362" t="s">
        <v>810</v>
      </c>
      <c r="H116" s="365"/>
      <c r="I116" s="248"/>
      <c r="J116" s="248"/>
      <c r="K116" s="248"/>
    </row>
    <row r="117" spans="1:11" ht="20.149999999999999" customHeight="1" x14ac:dyDescent="0.3">
      <c r="E117" s="254"/>
      <c r="F117" s="210"/>
    </row>
    <row r="118" spans="1:11" ht="20.149999999999999" customHeight="1" x14ac:dyDescent="0.3">
      <c r="E118" s="254"/>
      <c r="F118" s="210"/>
    </row>
    <row r="119" spans="1:11" ht="20.149999999999999" customHeight="1" thickBot="1" x14ac:dyDescent="0.35">
      <c r="E119" s="254"/>
      <c r="F119" s="210"/>
    </row>
    <row r="120" spans="1:11" s="242" customFormat="1" ht="40" customHeight="1" thickTop="1" x14ac:dyDescent="0.3">
      <c r="A120" s="285"/>
      <c r="B120" s="286"/>
      <c r="C120" s="286"/>
      <c r="D120" s="286" t="str">
        <f>"Stage Energy ("&amp;C129&amp;"/part)"</f>
        <v>Stage Energy (Btu/part)</v>
      </c>
      <c r="E120" s="286" t="str">
        <f>"Stage Carbon ("&amp;C130&amp;"/part)"</f>
        <v>Stage Carbon (kg/part)</v>
      </c>
      <c r="F120" s="287" t="s">
        <v>846</v>
      </c>
      <c r="G120" s="248"/>
      <c r="H120" s="248"/>
      <c r="I120" s="248"/>
      <c r="J120" s="248"/>
      <c r="K120" s="248"/>
    </row>
    <row r="121" spans="1:11" s="242" customFormat="1" ht="40" customHeight="1" x14ac:dyDescent="0.3">
      <c r="A121" s="477" t="s">
        <v>844</v>
      </c>
      <c r="B121" s="258" t="s">
        <v>245</v>
      </c>
      <c r="C121" s="252" t="str">
        <f>IF('Intro - Start Here'!$C$15="Metric","MJ","Btu")&amp;"/part"&amp; "          "&amp; "kg/part"</f>
        <v>Btu/part          kg/part</v>
      </c>
      <c r="D121" s="259">
        <f>IFERROR(D39*$D$155, 0)</f>
        <v>0</v>
      </c>
      <c r="E121" s="259">
        <f>IFERROR(E39*$E$155, 0)</f>
        <v>0</v>
      </c>
      <c r="F121" s="260"/>
      <c r="G121" s="248"/>
      <c r="H121" s="248"/>
      <c r="I121" s="248"/>
      <c r="J121" s="248"/>
      <c r="K121" s="248"/>
    </row>
    <row r="122" spans="1:11" s="242" customFormat="1" ht="40" customHeight="1" x14ac:dyDescent="0.3">
      <c r="A122" s="477"/>
      <c r="B122" s="261" t="s">
        <v>206</v>
      </c>
      <c r="C122" s="252" t="str">
        <f>IF('Intro - Start Here'!$C$15="Metric","MJ","Btu")&amp;"/part"&amp; "          "&amp; "kg/part"</f>
        <v>Btu/part          kg/part</v>
      </c>
      <c r="D122" s="259">
        <f>D76*$D$155</f>
        <v>0</v>
      </c>
      <c r="E122" s="259">
        <f>E76*$E$155</f>
        <v>0</v>
      </c>
      <c r="F122" s="260"/>
      <c r="G122" s="248"/>
      <c r="H122" s="248"/>
      <c r="I122" s="248"/>
      <c r="J122" s="248"/>
      <c r="K122" s="248"/>
    </row>
    <row r="123" spans="1:11" s="242" customFormat="1" ht="40" customHeight="1" x14ac:dyDescent="0.3">
      <c r="A123" s="477"/>
      <c r="B123" s="262" t="s">
        <v>64</v>
      </c>
      <c r="C123" s="252" t="str">
        <f>IF('Intro - Start Here'!$C$15="Metric","MJ","Btu")&amp;"/part"&amp; "          "&amp; "kg/part"</f>
        <v>Btu/part          kg/part</v>
      </c>
      <c r="D123" s="259">
        <f>D89*$D$155</f>
        <v>0</v>
      </c>
      <c r="E123" s="259">
        <f>E89*$E$155</f>
        <v>0</v>
      </c>
      <c r="F123" s="260"/>
      <c r="G123" s="248"/>
      <c r="H123" s="248"/>
      <c r="I123" s="248"/>
      <c r="J123" s="248"/>
      <c r="K123" s="248"/>
    </row>
    <row r="124" spans="1:11" s="242" customFormat="1" ht="40" customHeight="1" x14ac:dyDescent="0.3">
      <c r="A124" s="477"/>
      <c r="B124" s="288" t="s">
        <v>118</v>
      </c>
      <c r="C124" s="252" t="str">
        <f>IF('Intro - Start Here'!$C$15="Metric","MJ","Btu")&amp;"/part"&amp; "          "&amp; "kg/part"</f>
        <v>Btu/part          kg/part</v>
      </c>
      <c r="D124" s="259">
        <f>D108*$D$155</f>
        <v>0</v>
      </c>
      <c r="E124" s="259">
        <f>E108*$E$155</f>
        <v>0</v>
      </c>
      <c r="F124" s="260"/>
      <c r="G124" s="248"/>
      <c r="H124" s="248"/>
      <c r="I124" s="248"/>
      <c r="J124" s="248"/>
      <c r="K124" s="248"/>
    </row>
    <row r="125" spans="1:11" s="242" customFormat="1" ht="40" customHeight="1" thickBot="1" x14ac:dyDescent="0.35">
      <c r="A125" s="478"/>
      <c r="B125" s="264" t="s">
        <v>65</v>
      </c>
      <c r="C125" s="265" t="str">
        <f>IF('Intro - Start Here'!$C$15="Metric","MJ","Btu")&amp;"/part"&amp; "          "&amp; "kg/part"</f>
        <v>Btu/part          kg/part</v>
      </c>
      <c r="D125" s="266">
        <f>D116*$D$155</f>
        <v>0</v>
      </c>
      <c r="E125" s="266">
        <f>E116*$E$155</f>
        <v>0</v>
      </c>
      <c r="F125" s="267"/>
      <c r="G125" s="248"/>
      <c r="H125" s="248"/>
      <c r="I125" s="248"/>
      <c r="J125" s="248"/>
      <c r="K125" s="248"/>
    </row>
    <row r="126" spans="1:11" ht="20.149999999999999" customHeight="1" thickTop="1" x14ac:dyDescent="0.3">
      <c r="E126" s="254"/>
      <c r="F126" s="210"/>
    </row>
    <row r="127" spans="1:11" ht="20.149999999999999" customHeight="1" thickBot="1" x14ac:dyDescent="0.35">
      <c r="E127" s="254"/>
      <c r="F127" s="210"/>
    </row>
    <row r="128" spans="1:11" ht="20.149999999999999" customHeight="1" x14ac:dyDescent="0.3">
      <c r="B128" s="289" t="s">
        <v>847</v>
      </c>
      <c r="C128" s="290"/>
      <c r="E128" s="254"/>
      <c r="F128" s="210"/>
    </row>
    <row r="129" spans="2:6" ht="20.149999999999999" customHeight="1" x14ac:dyDescent="0.3">
      <c r="B129" s="291" t="s">
        <v>850</v>
      </c>
      <c r="C129" s="271" t="s">
        <v>642</v>
      </c>
      <c r="E129" s="254"/>
      <c r="F129" s="210"/>
    </row>
    <row r="130" spans="2:6" ht="20.149999999999999" customHeight="1" thickBot="1" x14ac:dyDescent="0.35">
      <c r="B130" s="292" t="s">
        <v>851</v>
      </c>
      <c r="C130" s="273" t="s">
        <v>3</v>
      </c>
      <c r="E130" s="254"/>
      <c r="F130" s="210"/>
    </row>
    <row r="131" spans="2:6" ht="20.149999999999999" customHeight="1" x14ac:dyDescent="0.3">
      <c r="E131" s="254"/>
      <c r="F131" s="210"/>
    </row>
    <row r="132" spans="2:6" ht="20.149999999999999" customHeight="1" x14ac:dyDescent="0.3">
      <c r="E132" s="254"/>
      <c r="F132" s="210"/>
    </row>
    <row r="133" spans="2:6" ht="20.149999999999999" customHeight="1" x14ac:dyDescent="0.3">
      <c r="E133" s="254"/>
      <c r="F133" s="210"/>
    </row>
    <row r="134" spans="2:6" ht="20.149999999999999" customHeight="1" x14ac:dyDescent="0.3">
      <c r="E134" s="254"/>
      <c r="F134" s="210"/>
    </row>
    <row r="135" spans="2:6" ht="20.149999999999999" customHeight="1" x14ac:dyDescent="0.3">
      <c r="E135" s="254"/>
      <c r="F135" s="210"/>
    </row>
    <row r="136" spans="2:6" ht="20.149999999999999" customHeight="1" x14ac:dyDescent="0.3">
      <c r="E136" s="254"/>
      <c r="F136" s="210"/>
    </row>
    <row r="137" spans="2:6" ht="20.149999999999999" customHeight="1" x14ac:dyDescent="0.3">
      <c r="E137" s="254"/>
      <c r="F137" s="210"/>
    </row>
    <row r="138" spans="2:6" ht="20.149999999999999" customHeight="1" x14ac:dyDescent="0.3">
      <c r="E138" s="254"/>
      <c r="F138" s="210"/>
    </row>
    <row r="139" spans="2:6" ht="20.149999999999999" customHeight="1" x14ac:dyDescent="0.3">
      <c r="E139" s="254"/>
      <c r="F139" s="210"/>
    </row>
    <row r="140" spans="2:6" ht="20.149999999999999" customHeight="1" x14ac:dyDescent="0.3">
      <c r="E140" s="254"/>
      <c r="F140" s="210"/>
    </row>
    <row r="141" spans="2:6" ht="20.149999999999999" customHeight="1" x14ac:dyDescent="0.3">
      <c r="E141" s="254"/>
      <c r="F141" s="210"/>
    </row>
    <row r="142" spans="2:6" ht="20.149999999999999" customHeight="1" x14ac:dyDescent="0.3">
      <c r="E142" s="254"/>
      <c r="F142" s="210"/>
    </row>
    <row r="143" spans="2:6" ht="20.149999999999999" customHeight="1" x14ac:dyDescent="0.3">
      <c r="E143" s="254"/>
      <c r="F143" s="210"/>
    </row>
    <row r="144" spans="2:6" ht="20.149999999999999" customHeight="1" x14ac:dyDescent="0.3">
      <c r="E144" s="254"/>
      <c r="F144" s="210"/>
    </row>
    <row r="145" spans="1:7" ht="20.149999999999999" customHeight="1" x14ac:dyDescent="0.3">
      <c r="E145" s="254"/>
      <c r="F145" s="210"/>
    </row>
    <row r="146" spans="1:7" ht="20.149999999999999" customHeight="1" x14ac:dyDescent="0.3">
      <c r="E146" s="254"/>
      <c r="F146" s="210"/>
    </row>
    <row r="147" spans="1:7" ht="20.149999999999999" customHeight="1" x14ac:dyDescent="0.3">
      <c r="E147" s="254"/>
      <c r="F147" s="210"/>
    </row>
    <row r="148" spans="1:7" ht="20.149999999999999" customHeight="1" x14ac:dyDescent="0.3">
      <c r="B148" s="280"/>
      <c r="C148" s="280"/>
      <c r="D148" s="280"/>
      <c r="E148" s="281"/>
      <c r="F148" s="210"/>
    </row>
    <row r="149" spans="1:7" ht="20.149999999999999" customHeight="1" x14ac:dyDescent="0.3">
      <c r="B149" s="280"/>
      <c r="C149" s="280"/>
      <c r="D149" s="280"/>
      <c r="E149" s="281"/>
      <c r="F149" s="210"/>
    </row>
    <row r="150" spans="1:7" ht="20.149999999999999" customHeight="1" x14ac:dyDescent="0.3">
      <c r="B150" s="280"/>
      <c r="C150" s="280"/>
      <c r="D150" s="280"/>
      <c r="E150" s="281"/>
      <c r="F150" s="210"/>
    </row>
    <row r="151" spans="1:7" ht="20.149999999999999" customHeight="1" x14ac:dyDescent="0.3">
      <c r="A151" s="274"/>
      <c r="B151" s="274"/>
      <c r="C151" s="274"/>
      <c r="D151" s="274"/>
      <c r="E151" s="275"/>
      <c r="F151" s="213"/>
      <c r="G151" s="274"/>
    </row>
    <row r="152" spans="1:7" ht="20.149999999999999" customHeight="1" x14ac:dyDescent="0.3">
      <c r="A152" s="274"/>
      <c r="B152" s="274"/>
      <c r="C152" s="274"/>
      <c r="D152" s="274"/>
      <c r="E152" s="275"/>
      <c r="F152" s="213"/>
      <c r="G152" s="274"/>
    </row>
    <row r="153" spans="1:7" ht="20.149999999999999" customHeight="1" x14ac:dyDescent="0.3">
      <c r="A153" s="274"/>
      <c r="B153" s="116"/>
      <c r="C153" s="116"/>
      <c r="D153" s="116"/>
      <c r="E153" s="276"/>
      <c r="F153" s="213"/>
      <c r="G153" s="274"/>
    </row>
    <row r="154" spans="1:7" ht="20.149999999999999" customHeight="1" x14ac:dyDescent="0.3">
      <c r="A154" s="274"/>
      <c r="B154" s="116"/>
      <c r="C154" s="116" t="s">
        <v>845</v>
      </c>
      <c r="D154" s="116"/>
      <c r="E154" s="276"/>
      <c r="F154" s="213"/>
      <c r="G154" s="274"/>
    </row>
    <row r="155" spans="1:7" ht="20.149999999999999" customHeight="1" x14ac:dyDescent="0.3">
      <c r="A155" s="274"/>
      <c r="B155" s="116"/>
      <c r="C155" s="116"/>
      <c r="D155" s="116">
        <f>IF(C129="MMBtu",(1/1000000),IF(C129="GJ",(1/1000),1))</f>
        <v>1</v>
      </c>
      <c r="E155" s="276">
        <f>IF(C130="kg", 1, (1/1000))</f>
        <v>1</v>
      </c>
      <c r="F155" s="213"/>
      <c r="G155" s="274"/>
    </row>
    <row r="156" spans="1:7" ht="20.149999999999999" customHeight="1" x14ac:dyDescent="0.3">
      <c r="A156" s="274"/>
      <c r="B156" s="116" t="str">
        <f>B121</f>
        <v>Materials</v>
      </c>
      <c r="C156" s="116" t="b">
        <v>1</v>
      </c>
      <c r="D156" s="278">
        <f>C156*D121</f>
        <v>0</v>
      </c>
      <c r="E156" s="293">
        <f>C156*E121</f>
        <v>0</v>
      </c>
      <c r="F156" s="213"/>
      <c r="G156" s="274"/>
    </row>
    <row r="157" spans="1:7" ht="20.149999999999999" customHeight="1" x14ac:dyDescent="0.3">
      <c r="A157" s="274"/>
      <c r="B157" s="116" t="str">
        <f>B122</f>
        <v>Manufacturing</v>
      </c>
      <c r="C157" s="116" t="b">
        <v>1</v>
      </c>
      <c r="D157" s="278">
        <f>C157*D122</f>
        <v>0</v>
      </c>
      <c r="E157" s="293">
        <f>C157*E122</f>
        <v>0</v>
      </c>
      <c r="F157" s="213"/>
      <c r="G157" s="274"/>
    </row>
    <row r="158" spans="1:7" ht="20.149999999999999" customHeight="1" x14ac:dyDescent="0.3">
      <c r="A158" s="274"/>
      <c r="B158" s="116" t="str">
        <f>B123</f>
        <v>Transportation</v>
      </c>
      <c r="C158" s="116" t="b">
        <v>1</v>
      </c>
      <c r="D158" s="278">
        <f>C158*D123</f>
        <v>0</v>
      </c>
      <c r="E158" s="293">
        <f>C158*E123</f>
        <v>0</v>
      </c>
      <c r="F158" s="213"/>
      <c r="G158" s="274"/>
    </row>
    <row r="159" spans="1:7" ht="20.149999999999999" customHeight="1" x14ac:dyDescent="0.3">
      <c r="A159" s="274"/>
      <c r="B159" s="116" t="str">
        <f>B124</f>
        <v>Use</v>
      </c>
      <c r="C159" s="116" t="b">
        <v>1</v>
      </c>
      <c r="D159" s="278">
        <f>C159*D124</f>
        <v>0</v>
      </c>
      <c r="E159" s="293">
        <f>C159*E124</f>
        <v>0</v>
      </c>
      <c r="F159" s="213"/>
      <c r="G159" s="274"/>
    </row>
    <row r="160" spans="1:7" ht="20.149999999999999" customHeight="1" x14ac:dyDescent="0.3">
      <c r="A160" s="274"/>
      <c r="B160" s="116" t="str">
        <f>B125</f>
        <v>Disposal</v>
      </c>
      <c r="C160" s="116" t="b">
        <v>1</v>
      </c>
      <c r="D160" s="278">
        <f>C160*D125</f>
        <v>0</v>
      </c>
      <c r="E160" s="293">
        <f>C160*E125</f>
        <v>0</v>
      </c>
      <c r="F160" s="213"/>
      <c r="G160" s="274"/>
    </row>
    <row r="161" spans="1:7" ht="20.149999999999999" customHeight="1" x14ac:dyDescent="0.3">
      <c r="A161" s="274"/>
      <c r="B161" s="116"/>
      <c r="C161" s="116"/>
      <c r="D161" s="116"/>
      <c r="E161" s="276"/>
      <c r="F161" s="213"/>
      <c r="G161" s="274"/>
    </row>
    <row r="162" spans="1:7" ht="20.149999999999999" customHeight="1" x14ac:dyDescent="0.3">
      <c r="A162" s="274"/>
      <c r="B162" s="116"/>
      <c r="C162" s="116"/>
      <c r="D162" s="116"/>
      <c r="E162" s="276"/>
      <c r="F162" s="213"/>
      <c r="G162" s="274"/>
    </row>
    <row r="163" spans="1:7" ht="20.149999999999999" customHeight="1" x14ac:dyDescent="0.3">
      <c r="A163" s="274"/>
      <c r="B163" s="116" t="str">
        <f>B156</f>
        <v>Materials</v>
      </c>
      <c r="C163" s="116"/>
      <c r="D163" s="279" t="e">
        <f>D156/(D$156+D$157+D$158+D$159+IF(D$160&lt;0,0,D$160))</f>
        <v>#DIV/0!</v>
      </c>
      <c r="E163" s="279" t="e">
        <f>E156/(E$156+E$157+E$158+E$159+IF(E$160&lt;0,0,E$160))</f>
        <v>#DIV/0!</v>
      </c>
      <c r="F163" s="213"/>
      <c r="G163" s="274"/>
    </row>
    <row r="164" spans="1:7" ht="20.149999999999999" customHeight="1" x14ac:dyDescent="0.3">
      <c r="A164" s="274"/>
      <c r="B164" s="116" t="str">
        <f>B157</f>
        <v>Manufacturing</v>
      </c>
      <c r="C164" s="116"/>
      <c r="D164" s="279" t="e">
        <f t="shared" ref="D164:E166" si="2">D157/(D$156+D$157+D$158+D$159+IF(D$160&lt;0,0,D$160))</f>
        <v>#DIV/0!</v>
      </c>
      <c r="E164" s="279" t="e">
        <f t="shared" si="2"/>
        <v>#DIV/0!</v>
      </c>
      <c r="F164" s="213"/>
      <c r="G164" s="274"/>
    </row>
    <row r="165" spans="1:7" ht="20.149999999999999" customHeight="1" x14ac:dyDescent="0.3">
      <c r="A165" s="274"/>
      <c r="B165" s="116" t="str">
        <f>B158</f>
        <v>Transportation</v>
      </c>
      <c r="C165" s="116"/>
      <c r="D165" s="279" t="e">
        <f t="shared" si="2"/>
        <v>#DIV/0!</v>
      </c>
      <c r="E165" s="279" t="e">
        <f t="shared" si="2"/>
        <v>#DIV/0!</v>
      </c>
      <c r="F165" s="213"/>
      <c r="G165" s="274"/>
    </row>
    <row r="166" spans="1:7" ht="20.149999999999999" customHeight="1" x14ac:dyDescent="0.3">
      <c r="A166" s="274"/>
      <c r="B166" s="116" t="str">
        <f>B159</f>
        <v>Use</v>
      </c>
      <c r="C166" s="116"/>
      <c r="D166" s="279" t="e">
        <f t="shared" si="2"/>
        <v>#DIV/0!</v>
      </c>
      <c r="E166" s="279" t="e">
        <f t="shared" si="2"/>
        <v>#DIV/0!</v>
      </c>
      <c r="F166" s="213"/>
      <c r="G166" s="274"/>
    </row>
    <row r="167" spans="1:7" ht="20.149999999999999" customHeight="1" x14ac:dyDescent="0.3">
      <c r="A167" s="274"/>
      <c r="B167" s="116" t="str">
        <f>B160</f>
        <v>Disposal</v>
      </c>
      <c r="C167" s="116"/>
      <c r="D167" s="279" t="e">
        <f>IF(D$160&lt;0,0,D$160)/(D$156+D$157+D$158+D$159+IF(D$160&lt;0,0,D$160))</f>
        <v>#DIV/0!</v>
      </c>
      <c r="E167" s="279" t="e">
        <f>IF(E$160&lt;0,0,E$160)/(E$156+E$157+E$158+E$159+IF(E$160&lt;0,0,E$160))</f>
        <v>#DIV/0!</v>
      </c>
      <c r="F167" s="213"/>
      <c r="G167" s="274"/>
    </row>
    <row r="168" spans="1:7" ht="20.149999999999999" customHeight="1" x14ac:dyDescent="0.3">
      <c r="A168" s="274"/>
      <c r="B168" s="274"/>
      <c r="C168" s="274"/>
      <c r="D168" s="274"/>
      <c r="E168" s="275"/>
      <c r="F168" s="213"/>
      <c r="G168" s="274"/>
    </row>
    <row r="169" spans="1:7" ht="20.149999999999999" customHeight="1" x14ac:dyDescent="0.3">
      <c r="A169" s="274"/>
      <c r="B169" s="274"/>
      <c r="C169" s="274"/>
      <c r="D169" s="274"/>
      <c r="E169" s="275"/>
      <c r="F169" s="213"/>
      <c r="G169" s="274"/>
    </row>
    <row r="170" spans="1:7" ht="20.149999999999999" customHeight="1" x14ac:dyDescent="0.3">
      <c r="A170" s="274"/>
      <c r="B170" s="274"/>
      <c r="C170" s="274"/>
      <c r="D170" s="274"/>
      <c r="E170" s="275"/>
      <c r="F170" s="213"/>
      <c r="G170" s="274"/>
    </row>
    <row r="171" spans="1:7" ht="20.149999999999999" customHeight="1" x14ac:dyDescent="0.3">
      <c r="A171" s="274"/>
      <c r="B171" s="274"/>
      <c r="C171" s="274"/>
      <c r="D171" s="274"/>
      <c r="E171" s="275"/>
      <c r="F171" s="213"/>
      <c r="G171" s="274"/>
    </row>
    <row r="172" spans="1:7" ht="20.149999999999999" customHeight="1" x14ac:dyDescent="0.3">
      <c r="A172" s="274"/>
      <c r="B172" s="274"/>
      <c r="C172" s="274"/>
      <c r="D172" s="274"/>
      <c r="E172" s="275"/>
      <c r="F172" s="213"/>
      <c r="G172" s="274"/>
    </row>
    <row r="173" spans="1:7" ht="20.149999999999999" customHeight="1" x14ac:dyDescent="0.3">
      <c r="A173" s="274"/>
      <c r="B173" s="274"/>
      <c r="C173" s="274"/>
      <c r="D173" s="274"/>
      <c r="E173" s="275"/>
      <c r="F173" s="213"/>
      <c r="G173" s="274"/>
    </row>
    <row r="174" spans="1:7" ht="20.149999999999999" customHeight="1" x14ac:dyDescent="0.3">
      <c r="A174" s="274"/>
      <c r="B174" s="274"/>
      <c r="C174" s="274"/>
      <c r="D174" s="274"/>
      <c r="E174" s="275"/>
      <c r="F174" s="213"/>
      <c r="G174" s="274"/>
    </row>
    <row r="175" spans="1:7" ht="20.149999999999999" customHeight="1" x14ac:dyDescent="0.3">
      <c r="A175" s="274"/>
      <c r="B175" s="274"/>
      <c r="C175" s="274"/>
      <c r="D175" s="274"/>
      <c r="E175" s="275"/>
      <c r="F175" s="213"/>
      <c r="G175" s="274"/>
    </row>
    <row r="176" spans="1:7" ht="20.149999999999999" customHeight="1" x14ac:dyDescent="0.3">
      <c r="A176" s="274"/>
      <c r="B176" s="274"/>
      <c r="C176" s="274"/>
      <c r="D176" s="274"/>
      <c r="E176" s="275"/>
      <c r="F176" s="213"/>
      <c r="G176" s="274"/>
    </row>
    <row r="177" spans="1:7" ht="20.149999999999999" customHeight="1" x14ac:dyDescent="0.3">
      <c r="A177" s="274"/>
      <c r="B177" s="274"/>
      <c r="C177" s="274"/>
      <c r="D177" s="274"/>
      <c r="E177" s="275"/>
      <c r="F177" s="213"/>
      <c r="G177" s="274"/>
    </row>
    <row r="178" spans="1:7" ht="20.149999999999999" customHeight="1" x14ac:dyDescent="0.3">
      <c r="A178" s="274"/>
      <c r="B178" s="274"/>
      <c r="C178" s="274"/>
      <c r="D178" s="274"/>
      <c r="E178" s="275"/>
      <c r="F178" s="213"/>
      <c r="G178" s="274"/>
    </row>
    <row r="179" spans="1:7" ht="20.149999999999999" customHeight="1" x14ac:dyDescent="0.3">
      <c r="A179" s="274"/>
      <c r="B179" s="274"/>
      <c r="C179" s="274"/>
      <c r="D179" s="274"/>
      <c r="E179" s="275"/>
      <c r="F179" s="213"/>
      <c r="G179" s="274"/>
    </row>
    <row r="180" spans="1:7" ht="20.149999999999999" customHeight="1" x14ac:dyDescent="0.3">
      <c r="A180" s="274"/>
      <c r="B180" s="274"/>
      <c r="C180" s="274"/>
      <c r="D180" s="274"/>
      <c r="E180" s="275"/>
      <c r="F180" s="213"/>
      <c r="G180" s="274"/>
    </row>
    <row r="181" spans="1:7" ht="20.149999999999999" customHeight="1" x14ac:dyDescent="0.3">
      <c r="A181" s="274"/>
      <c r="B181" s="274"/>
      <c r="C181" s="274"/>
      <c r="D181" s="274"/>
      <c r="E181" s="275"/>
      <c r="F181" s="213"/>
      <c r="G181" s="274"/>
    </row>
    <row r="182" spans="1:7" ht="20.149999999999999" customHeight="1" x14ac:dyDescent="0.3">
      <c r="A182" s="274"/>
      <c r="B182" s="274"/>
      <c r="C182" s="274"/>
      <c r="D182" s="274"/>
      <c r="E182" s="275"/>
      <c r="F182" s="213"/>
      <c r="G182" s="274"/>
    </row>
    <row r="183" spans="1:7" ht="20.149999999999999" customHeight="1" x14ac:dyDescent="0.3">
      <c r="A183" s="274"/>
      <c r="B183" s="274"/>
      <c r="C183" s="274"/>
      <c r="D183" s="274"/>
      <c r="E183" s="275"/>
      <c r="F183" s="213"/>
      <c r="G183" s="274"/>
    </row>
    <row r="184" spans="1:7" ht="20.149999999999999" customHeight="1" x14ac:dyDescent="0.3">
      <c r="A184" s="274"/>
      <c r="B184" s="274"/>
      <c r="C184" s="274"/>
      <c r="D184" s="274"/>
      <c r="E184" s="275"/>
      <c r="F184" s="213"/>
      <c r="G184" s="274"/>
    </row>
    <row r="185" spans="1:7" ht="20.149999999999999" customHeight="1" x14ac:dyDescent="0.3">
      <c r="A185" s="274"/>
      <c r="B185" s="274"/>
      <c r="C185" s="274"/>
      <c r="D185" s="274"/>
      <c r="E185" s="275"/>
      <c r="F185" s="213"/>
      <c r="G185" s="274"/>
    </row>
    <row r="186" spans="1:7" ht="20.149999999999999" customHeight="1" x14ac:dyDescent="0.3">
      <c r="A186" s="274"/>
      <c r="B186" s="274"/>
      <c r="C186" s="274"/>
      <c r="D186" s="274"/>
      <c r="E186" s="275"/>
      <c r="F186" s="213"/>
      <c r="G186" s="274"/>
    </row>
    <row r="187" spans="1:7" ht="20.149999999999999" customHeight="1" x14ac:dyDescent="0.3">
      <c r="A187" s="274"/>
      <c r="B187" s="274"/>
      <c r="C187" s="274"/>
      <c r="D187" s="274"/>
      <c r="E187" s="275"/>
      <c r="F187" s="213"/>
      <c r="G187" s="274"/>
    </row>
    <row r="188" spans="1:7" ht="20.149999999999999" customHeight="1" x14ac:dyDescent="0.3">
      <c r="A188" s="274"/>
      <c r="B188" s="274"/>
      <c r="C188" s="274"/>
      <c r="D188" s="274"/>
      <c r="E188" s="275"/>
      <c r="F188" s="213"/>
      <c r="G188" s="274"/>
    </row>
    <row r="189" spans="1:7" ht="20.149999999999999" customHeight="1" x14ac:dyDescent="0.3">
      <c r="A189" s="274"/>
      <c r="B189" s="274"/>
      <c r="C189" s="274"/>
      <c r="D189" s="274"/>
      <c r="E189" s="275"/>
      <c r="F189" s="213"/>
      <c r="G189" s="274"/>
    </row>
    <row r="190" spans="1:7" ht="20.149999999999999" customHeight="1" x14ac:dyDescent="0.3">
      <c r="A190" s="274"/>
      <c r="B190" s="274"/>
      <c r="C190" s="274"/>
      <c r="D190" s="274"/>
      <c r="E190" s="275"/>
      <c r="F190" s="213"/>
      <c r="G190" s="274"/>
    </row>
    <row r="191" spans="1:7" ht="20.149999999999999" customHeight="1" x14ac:dyDescent="0.3">
      <c r="A191" s="274"/>
      <c r="B191" s="274"/>
      <c r="C191" s="274"/>
      <c r="D191" s="274"/>
      <c r="E191" s="275"/>
      <c r="F191" s="213"/>
      <c r="G191" s="274"/>
    </row>
    <row r="192" spans="1:7" ht="20.149999999999999" customHeight="1" x14ac:dyDescent="0.3">
      <c r="A192" s="274"/>
      <c r="B192" s="274"/>
      <c r="C192" s="274"/>
      <c r="D192" s="274"/>
      <c r="E192" s="275"/>
      <c r="F192" s="213"/>
      <c r="G192" s="274"/>
    </row>
    <row r="193" spans="1:7" ht="20.149999999999999" customHeight="1" x14ac:dyDescent="0.3">
      <c r="A193" s="274"/>
      <c r="B193" s="274"/>
      <c r="C193" s="274"/>
      <c r="D193" s="274"/>
      <c r="E193" s="275"/>
      <c r="F193" s="213"/>
      <c r="G193" s="274"/>
    </row>
    <row r="194" spans="1:7" ht="20.149999999999999" customHeight="1" x14ac:dyDescent="0.3">
      <c r="A194" s="274"/>
      <c r="B194" s="274"/>
      <c r="C194" s="274"/>
      <c r="D194" s="274"/>
      <c r="E194" s="275"/>
      <c r="F194" s="213"/>
      <c r="G194" s="274"/>
    </row>
    <row r="195" spans="1:7" ht="20.149999999999999" customHeight="1" x14ac:dyDescent="0.3">
      <c r="A195" s="274"/>
      <c r="B195" s="274"/>
      <c r="C195" s="274"/>
      <c r="D195" s="274"/>
      <c r="E195" s="275"/>
      <c r="F195" s="213"/>
      <c r="G195" s="274"/>
    </row>
    <row r="196" spans="1:7" ht="20.149999999999999" customHeight="1" x14ac:dyDescent="0.3">
      <c r="A196" s="274"/>
      <c r="B196" s="274"/>
      <c r="C196" s="274"/>
      <c r="D196" s="274"/>
      <c r="E196" s="275"/>
      <c r="F196" s="213"/>
      <c r="G196" s="274"/>
    </row>
    <row r="197" spans="1:7" ht="20.149999999999999" customHeight="1" x14ac:dyDescent="0.3">
      <c r="A197" s="274"/>
      <c r="B197" s="274"/>
      <c r="C197" s="274"/>
      <c r="D197" s="274"/>
      <c r="E197" s="275"/>
      <c r="F197" s="213"/>
      <c r="G197" s="274"/>
    </row>
    <row r="198" spans="1:7" ht="20.149999999999999" customHeight="1" x14ac:dyDescent="0.3">
      <c r="A198" s="274"/>
      <c r="B198" s="274"/>
      <c r="C198" s="274"/>
      <c r="D198" s="274"/>
      <c r="E198" s="275"/>
      <c r="F198" s="213"/>
      <c r="G198" s="274"/>
    </row>
    <row r="199" spans="1:7" ht="20.149999999999999" customHeight="1" x14ac:dyDescent="0.3">
      <c r="A199" s="274"/>
      <c r="B199" s="274"/>
      <c r="C199" s="274"/>
      <c r="D199" s="274"/>
      <c r="E199" s="275"/>
      <c r="F199" s="213"/>
      <c r="G199" s="274"/>
    </row>
    <row r="200" spans="1:7" ht="20.149999999999999" customHeight="1" x14ac:dyDescent="0.3">
      <c r="A200" s="274"/>
      <c r="B200" s="274"/>
      <c r="C200" s="274"/>
      <c r="D200" s="274"/>
      <c r="E200" s="275"/>
      <c r="F200" s="213"/>
      <c r="G200" s="274"/>
    </row>
    <row r="201" spans="1:7" ht="20.149999999999999" customHeight="1" x14ac:dyDescent="0.3">
      <c r="E201" s="254"/>
      <c r="F201" s="210"/>
    </row>
    <row r="202" spans="1:7" ht="20.149999999999999" customHeight="1" x14ac:dyDescent="0.3">
      <c r="E202" s="254"/>
      <c r="F202" s="210"/>
    </row>
    <row r="203" spans="1:7" ht="20.149999999999999" customHeight="1" x14ac:dyDescent="0.3">
      <c r="E203" s="254"/>
      <c r="F203" s="210"/>
    </row>
    <row r="204" spans="1:7" ht="20.149999999999999" customHeight="1" x14ac:dyDescent="0.3">
      <c r="E204" s="254"/>
      <c r="F204" s="210"/>
    </row>
    <row r="205" spans="1:7" ht="20.149999999999999" customHeight="1" x14ac:dyDescent="0.3">
      <c r="E205" s="254"/>
      <c r="F205" s="210"/>
    </row>
    <row r="206" spans="1:7" ht="20.149999999999999" customHeight="1" x14ac:dyDescent="0.3">
      <c r="E206" s="254"/>
      <c r="F206" s="210"/>
    </row>
    <row r="207" spans="1:7" ht="20.149999999999999" customHeight="1" x14ac:dyDescent="0.3">
      <c r="E207" s="254"/>
      <c r="F207" s="210"/>
    </row>
    <row r="208" spans="1:7" ht="20.149999999999999" customHeight="1" x14ac:dyDescent="0.3">
      <c r="E208" s="254"/>
      <c r="F208" s="210"/>
    </row>
    <row r="209" spans="5:6" ht="20.149999999999999" customHeight="1" x14ac:dyDescent="0.3">
      <c r="E209" s="254"/>
      <c r="F209" s="210"/>
    </row>
    <row r="210" spans="5:6" ht="20.149999999999999" customHeight="1" x14ac:dyDescent="0.3">
      <c r="E210" s="254"/>
      <c r="F210" s="210"/>
    </row>
    <row r="211" spans="5:6" ht="20.149999999999999" customHeight="1" x14ac:dyDescent="0.3">
      <c r="E211" s="254"/>
      <c r="F211" s="210"/>
    </row>
    <row r="212" spans="5:6" ht="20.149999999999999" customHeight="1" x14ac:dyDescent="0.3">
      <c r="E212" s="254"/>
      <c r="F212" s="210"/>
    </row>
    <row r="213" spans="5:6" ht="20.149999999999999" customHeight="1" x14ac:dyDescent="0.3">
      <c r="E213" s="254"/>
      <c r="F213" s="210"/>
    </row>
    <row r="214" spans="5:6" ht="20.149999999999999" customHeight="1" x14ac:dyDescent="0.3">
      <c r="E214" s="254"/>
      <c r="F214" s="210"/>
    </row>
    <row r="215" spans="5:6" ht="20.149999999999999" customHeight="1" x14ac:dyDescent="0.3">
      <c r="E215" s="254"/>
      <c r="F215" s="210"/>
    </row>
    <row r="216" spans="5:6" ht="20.149999999999999" customHeight="1" x14ac:dyDescent="0.3">
      <c r="E216" s="254"/>
      <c r="F216" s="210"/>
    </row>
    <row r="217" spans="5:6" ht="20.149999999999999" customHeight="1" x14ac:dyDescent="0.3">
      <c r="E217" s="254"/>
      <c r="F217" s="210"/>
    </row>
    <row r="218" spans="5:6" ht="20.149999999999999" customHeight="1" x14ac:dyDescent="0.3">
      <c r="E218" s="254"/>
      <c r="F218" s="210"/>
    </row>
    <row r="219" spans="5:6" ht="20.149999999999999" customHeight="1" x14ac:dyDescent="0.3">
      <c r="E219" s="254"/>
      <c r="F219" s="210"/>
    </row>
    <row r="220" spans="5:6" ht="20.149999999999999" customHeight="1" x14ac:dyDescent="0.3">
      <c r="E220" s="254"/>
      <c r="F220" s="210"/>
    </row>
    <row r="221" spans="5:6" ht="20.149999999999999" customHeight="1" x14ac:dyDescent="0.3">
      <c r="E221" s="254"/>
      <c r="F221" s="210"/>
    </row>
    <row r="222" spans="5:6" ht="20.149999999999999" customHeight="1" x14ac:dyDescent="0.3">
      <c r="E222" s="254"/>
      <c r="F222" s="210"/>
    </row>
    <row r="223" spans="5:6" ht="20.149999999999999" customHeight="1" x14ac:dyDescent="0.3">
      <c r="E223" s="254"/>
      <c r="F223" s="210"/>
    </row>
    <row r="224" spans="5:6" ht="20.149999999999999" customHeight="1" x14ac:dyDescent="0.3">
      <c r="E224" s="254"/>
      <c r="F224" s="210"/>
    </row>
    <row r="225" spans="5:6" ht="20.149999999999999" customHeight="1" x14ac:dyDescent="0.3">
      <c r="E225" s="254"/>
      <c r="F225" s="210"/>
    </row>
    <row r="226" spans="5:6" ht="20.149999999999999" customHeight="1" x14ac:dyDescent="0.3">
      <c r="E226" s="254"/>
      <c r="F226" s="210"/>
    </row>
    <row r="227" spans="5:6" ht="20.149999999999999" customHeight="1" x14ac:dyDescent="0.3">
      <c r="E227" s="254"/>
      <c r="F227" s="210"/>
    </row>
  </sheetData>
  <sheetProtection algorithmName="SHA-512" hashValue="6jhTRqAdKuKhSGRRF1lPLfL9cpwdZg73Diwt/lsq74KC6ntdoqLdc24MDkD2bg9+Qy5T3YmvsBao63pFsbRhyw==" saltValue="523IpOPafe6IgauPU6f0QA==" spinCount="100000" sheet="1" objects="1" scenarios="1"/>
  <mergeCells count="90">
    <mergeCell ref="A121:A125"/>
    <mergeCell ref="A41:A76"/>
    <mergeCell ref="A78:A89"/>
    <mergeCell ref="B77:H77"/>
    <mergeCell ref="D47:E47"/>
    <mergeCell ref="D48:E48"/>
    <mergeCell ref="D49:E49"/>
    <mergeCell ref="D88:E88"/>
    <mergeCell ref="D83:E83"/>
    <mergeCell ref="B67:H67"/>
    <mergeCell ref="D78:E78"/>
    <mergeCell ref="D79:E79"/>
    <mergeCell ref="D46:E46"/>
    <mergeCell ref="D45:E45"/>
    <mergeCell ref="G110:G111"/>
    <mergeCell ref="G113:G114"/>
    <mergeCell ref="A91:A108"/>
    <mergeCell ref="A110:A116"/>
    <mergeCell ref="B109:H109"/>
    <mergeCell ref="B92:H92"/>
    <mergeCell ref="D53:E53"/>
    <mergeCell ref="D54:E54"/>
    <mergeCell ref="D55:E55"/>
    <mergeCell ref="D56:E56"/>
    <mergeCell ref="D81:E81"/>
    <mergeCell ref="B90:H90"/>
    <mergeCell ref="D61:E61"/>
    <mergeCell ref="D52:E52"/>
    <mergeCell ref="D84:E84"/>
    <mergeCell ref="D86:E86"/>
    <mergeCell ref="D62:E62"/>
    <mergeCell ref="D63:E63"/>
    <mergeCell ref="D64:E64"/>
    <mergeCell ref="D57:E57"/>
    <mergeCell ref="D58:E58"/>
    <mergeCell ref="D59:E59"/>
    <mergeCell ref="D60:E60"/>
    <mergeCell ref="D17:E17"/>
    <mergeCell ref="D18:E18"/>
    <mergeCell ref="D20:E20"/>
    <mergeCell ref="D21:E21"/>
    <mergeCell ref="B22:H22"/>
    <mergeCell ref="B31:H31"/>
    <mergeCell ref="G71:G72"/>
    <mergeCell ref="B40:H40"/>
    <mergeCell ref="D19:E19"/>
    <mergeCell ref="D32:E32"/>
    <mergeCell ref="D33:E33"/>
    <mergeCell ref="D34:E34"/>
    <mergeCell ref="D35:E35"/>
    <mergeCell ref="D36:E36"/>
    <mergeCell ref="B70:H70"/>
    <mergeCell ref="B23:B24"/>
    <mergeCell ref="B25:B26"/>
    <mergeCell ref="B29:B30"/>
    <mergeCell ref="B27:B28"/>
    <mergeCell ref="D41:E41"/>
    <mergeCell ref="D44:E44"/>
    <mergeCell ref="A2:H2"/>
    <mergeCell ref="D13:E13"/>
    <mergeCell ref="D14:E14"/>
    <mergeCell ref="D15:E15"/>
    <mergeCell ref="D6:E6"/>
    <mergeCell ref="D4:E4"/>
    <mergeCell ref="D3:E3"/>
    <mergeCell ref="B7:H7"/>
    <mergeCell ref="D8:E8"/>
    <mergeCell ref="D9:E9"/>
    <mergeCell ref="D10:E10"/>
    <mergeCell ref="D11:E11"/>
    <mergeCell ref="D12:E12"/>
    <mergeCell ref="A4:A6"/>
    <mergeCell ref="D5:H5"/>
    <mergeCell ref="A8:A39"/>
    <mergeCell ref="D16:E16"/>
    <mergeCell ref="D42:E42"/>
    <mergeCell ref="D43:E43"/>
    <mergeCell ref="D106:E106"/>
    <mergeCell ref="D97:E97"/>
    <mergeCell ref="D98:E98"/>
    <mergeCell ref="D94:E94"/>
    <mergeCell ref="D91:E91"/>
    <mergeCell ref="D104:E104"/>
    <mergeCell ref="D105:E105"/>
    <mergeCell ref="B101:H101"/>
    <mergeCell ref="D102:E102"/>
    <mergeCell ref="D103:E103"/>
    <mergeCell ref="D93:E93"/>
    <mergeCell ref="D96:E96"/>
    <mergeCell ref="B74:H74"/>
  </mergeCells>
  <dataValidations count="23">
    <dataValidation type="list" allowBlank="1" showInputMessage="1" showErrorMessage="1" sqref="C6" xr:uid="{8F4ED19B-5AF9-4E3C-8831-866311FCD03D}">
      <formula1>"Select, # of Cycles, Years, Months, Days"</formula1>
    </dataValidation>
    <dataValidation type="list" allowBlank="1" showInputMessage="1" showErrorMessage="1" sqref="D41" xr:uid="{00000000-0002-0000-0400-00000D000000}">
      <formula1>"Simple, Intermediate, Advanced"</formula1>
    </dataValidation>
    <dataValidation type="list" allowBlank="1" showInputMessage="1" showErrorMessage="1" sqref="D8" xr:uid="{F4C0893D-8837-429D-8D70-B2640ECDA2B1}">
      <formula1>"Select, Metal, Polymer, Fiber, Ceramic"</formula1>
    </dataValidation>
    <dataValidation type="list" allowBlank="1" showInputMessage="1" showErrorMessage="1" sqref="D9" xr:uid="{27D5DF0D-2F34-4887-A3E8-A0D997687D29}">
      <formula1>INDIRECT("Material_"&amp;$D$8)</formula1>
    </dataValidation>
    <dataValidation type="list" allowBlank="1" showInputMessage="1" showErrorMessage="1" sqref="D10" xr:uid="{23D53BA8-9607-4E64-8E86-D8C5C34B5AB9}">
      <formula1>INDIRECT("Form_"&amp;$D$8)</formula1>
    </dataValidation>
    <dataValidation type="list" allowBlank="1" showInputMessage="1" showErrorMessage="1" sqref="D15" xr:uid="{C6EDEE6B-B5BA-4BE1-BBC1-48CB5A50EEAC}">
      <formula1>INDIRECT("Second_"&amp;$D$8)</formula1>
    </dataValidation>
    <dataValidation type="list" allowBlank="1" showInputMessage="1" showErrorMessage="1" sqref="D16" xr:uid="{9742752C-C322-4BA0-8BF5-3D9A9BF9B977}">
      <formula1>INDIRECT("Material_"&amp;$D$15)</formula1>
    </dataValidation>
    <dataValidation type="list" allowBlank="1" showInputMessage="1" showErrorMessage="1" sqref="D17" xr:uid="{6D2AD64C-173D-4047-B36D-001934B819A9}">
      <formula1>INDIRECT("Form_"&amp;$D$15)</formula1>
    </dataValidation>
    <dataValidation type="decimal" allowBlank="1" showInputMessage="1" showErrorMessage="1" sqref="D14 D21" xr:uid="{07EBD693-7EEE-4ADA-8D82-489A507269CF}">
      <formula1>0</formula1>
      <formula2>1</formula2>
    </dataValidation>
    <dataValidation type="decimal" operator="greaterThanOrEqual" allowBlank="1" showInputMessage="1" showErrorMessage="1" sqref="D30:F30 D28:F28 D26:F26 D24:F24 D12:D13 D19:D20" xr:uid="{95769E6F-2C2D-4778-AF80-4A361DED2BA0}">
      <formula1>0</formula1>
    </dataValidation>
    <dataValidation type="list" allowBlank="1" showInputMessage="1" showErrorMessage="1" sqref="D11 D18" xr:uid="{3777DDDB-95DF-4A5D-961F-5225DF595212}">
      <formula1>"Primary, Secondary, Market Mix"</formula1>
    </dataValidation>
    <dataValidation type="list" allowBlank="1" showInputMessage="1" showErrorMessage="1" sqref="D102:E102" xr:uid="{5DDD8292-D75E-4FA1-9C9E-474BA2C1510B}">
      <formula1>"Yes, No"</formula1>
    </dataValidation>
    <dataValidation type="list" allowBlank="1" showInputMessage="1" showErrorMessage="1" sqref="D94" xr:uid="{703B1936-D640-441D-A2FE-1799EC6209F1}">
      <formula1>Use_Trans</formula1>
    </dataValidation>
    <dataValidation type="list" allowBlank="1" showInputMessage="1" showErrorMessage="1" sqref="D103" xr:uid="{80C544AA-40C5-454E-BCCB-9644C0DC03F3}">
      <formula1>"Electric to Thermal, Electric to Mechanical, Fossil fuel to Thermal, Fossil fuel to Mechanical"</formula1>
    </dataValidation>
    <dataValidation type="list" allowBlank="1" showInputMessage="1" showErrorMessage="1" sqref="D93" xr:uid="{B683166F-EE54-423A-9825-B657D56DD5A3}">
      <formula1>yes_no</formula1>
    </dataValidation>
    <dataValidation type="list" allowBlank="1" showInputMessage="1" showErrorMessage="1" sqref="D81" xr:uid="{F06DA6D4-DE78-4ED9-959C-2C0D8E65B494}">
      <formula1>Transportation_2</formula1>
    </dataValidation>
    <dataValidation type="list" allowBlank="1" showInputMessage="1" showErrorMessage="1" sqref="F84 D79" xr:uid="{51BFAC19-1F60-4893-B034-79CE6FEAF44E}">
      <formula1>Transportation</formula1>
    </dataValidation>
    <dataValidation type="list" allowBlank="1" showInputMessage="1" showErrorMessage="1" sqref="D84:E84" xr:uid="{C684B79B-C1C9-41ED-9134-899725824227}">
      <formula1>TransportationB</formula1>
    </dataValidation>
    <dataValidation type="list" allowBlank="1" showInputMessage="1" showErrorMessage="1" sqref="D86" xr:uid="{2D344A91-30D9-4B5F-B459-62F5B731C922}">
      <formula1>TransportationB_2</formula1>
    </dataValidation>
    <dataValidation type="list" allowBlank="1" showInputMessage="1" showErrorMessage="1" sqref="C130" xr:uid="{DBBE5746-6EB6-442F-8B74-C2F17B4A46C8}">
      <formula1>"kg, tonne"</formula1>
    </dataValidation>
    <dataValidation type="list" allowBlank="1" showInputMessage="1" showErrorMessage="1" sqref="C129" xr:uid="{2780AEC0-7F84-4C92-A915-85EC0269EEC8}">
      <formula1>unitSizeList</formula1>
    </dataValidation>
    <dataValidation type="list" allowBlank="1" showInputMessage="1" showErrorMessage="1" sqref="D78:E78" xr:uid="{D550F4E4-C2FE-46A3-A134-7194C7E8AD71}">
      <formula1>"Simple, Intermediate"</formula1>
    </dataValidation>
    <dataValidation type="list" allowBlank="1" showInputMessage="1" showErrorMessage="1" sqref="D42:E42" xr:uid="{6968FB3B-85F9-4D45-8ADD-0CC0D04B70C3}">
      <formula1>"Select, Binder Jetting, Powder Bed Fusion, Vat Photopolymerization, Material Extrusion, Directed Energy Deposition, Material Jetting, Sheet Lamination"</formula1>
    </dataValidation>
  </dataValidations>
  <pageMargins left="0.7" right="0.7" top="0.75" bottom="0.75" header="0.3" footer="0.3"/>
  <pageSetup scale="13" orientation="portrait" r:id="rId1"/>
  <ignoredErrors>
    <ignoredError sqref="D34:D3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96" r:id="rId4" name="Check Box 24">
              <controlPr locked="0" defaultSize="0" autoFill="0" autoLine="0" autoPict="0">
                <anchor moveWithCells="1">
                  <from>
                    <xdr:col>5</xdr:col>
                    <xdr:colOff>95250</xdr:colOff>
                    <xdr:row>120</xdr:row>
                    <xdr:rowOff>76200</xdr:rowOff>
                  </from>
                  <to>
                    <xdr:col>5</xdr:col>
                    <xdr:colOff>469900</xdr:colOff>
                    <xdr:row>120</xdr:row>
                    <xdr:rowOff>438150</xdr:rowOff>
                  </to>
                </anchor>
              </controlPr>
            </control>
          </mc:Choice>
        </mc:AlternateContent>
        <mc:AlternateContent xmlns:mc="http://schemas.openxmlformats.org/markup-compatibility/2006">
          <mc:Choice Requires="x14">
            <control shapeId="3097" r:id="rId5" name="Check Box 25">
              <controlPr locked="0" defaultSize="0" autoFill="0" autoLine="0" autoPict="0">
                <anchor moveWithCells="1">
                  <from>
                    <xdr:col>5</xdr:col>
                    <xdr:colOff>95250</xdr:colOff>
                    <xdr:row>121</xdr:row>
                    <xdr:rowOff>76200</xdr:rowOff>
                  </from>
                  <to>
                    <xdr:col>5</xdr:col>
                    <xdr:colOff>469900</xdr:colOff>
                    <xdr:row>121</xdr:row>
                    <xdr:rowOff>438150</xdr:rowOff>
                  </to>
                </anchor>
              </controlPr>
            </control>
          </mc:Choice>
        </mc:AlternateContent>
        <mc:AlternateContent xmlns:mc="http://schemas.openxmlformats.org/markup-compatibility/2006">
          <mc:Choice Requires="x14">
            <control shapeId="3098" r:id="rId6" name="Check Box 26">
              <controlPr locked="0" defaultSize="0" autoFill="0" autoLine="0" autoPict="0">
                <anchor moveWithCells="1">
                  <from>
                    <xdr:col>5</xdr:col>
                    <xdr:colOff>95250</xdr:colOff>
                    <xdr:row>122</xdr:row>
                    <xdr:rowOff>76200</xdr:rowOff>
                  </from>
                  <to>
                    <xdr:col>5</xdr:col>
                    <xdr:colOff>469900</xdr:colOff>
                    <xdr:row>122</xdr:row>
                    <xdr:rowOff>438150</xdr:rowOff>
                  </to>
                </anchor>
              </controlPr>
            </control>
          </mc:Choice>
        </mc:AlternateContent>
        <mc:AlternateContent xmlns:mc="http://schemas.openxmlformats.org/markup-compatibility/2006">
          <mc:Choice Requires="x14">
            <control shapeId="3099" r:id="rId7" name="Check Box 27">
              <controlPr locked="0" defaultSize="0" autoFill="0" autoLine="0" autoPict="0">
                <anchor moveWithCells="1">
                  <from>
                    <xdr:col>5</xdr:col>
                    <xdr:colOff>95250</xdr:colOff>
                    <xdr:row>123</xdr:row>
                    <xdr:rowOff>76200</xdr:rowOff>
                  </from>
                  <to>
                    <xdr:col>5</xdr:col>
                    <xdr:colOff>469900</xdr:colOff>
                    <xdr:row>123</xdr:row>
                    <xdr:rowOff>438150</xdr:rowOff>
                  </to>
                </anchor>
              </controlPr>
            </control>
          </mc:Choice>
        </mc:AlternateContent>
        <mc:AlternateContent xmlns:mc="http://schemas.openxmlformats.org/markup-compatibility/2006">
          <mc:Choice Requires="x14">
            <control shapeId="3100" r:id="rId8" name="Check Box 28">
              <controlPr locked="0" defaultSize="0" autoFill="0" autoLine="0" autoPict="0">
                <anchor moveWithCells="1">
                  <from>
                    <xdr:col>5</xdr:col>
                    <xdr:colOff>95250</xdr:colOff>
                    <xdr:row>124</xdr:row>
                    <xdr:rowOff>76200</xdr:rowOff>
                  </from>
                  <to>
                    <xdr:col>5</xdr:col>
                    <xdr:colOff>469900</xdr:colOff>
                    <xdr:row>124</xdr:row>
                    <xdr:rowOff>438150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B36F5-74A6-4E6E-A9EF-C6AB51B888D1}">
  <sheetPr codeName="Sheet9">
    <tabColor theme="6"/>
    <pageSetUpPr fitToPage="1"/>
  </sheetPr>
  <dimension ref="A1:N208"/>
  <sheetViews>
    <sheetView zoomScale="55" zoomScaleNormal="55" workbookViewId="0">
      <selection activeCell="D11" sqref="D11:E11"/>
    </sheetView>
  </sheetViews>
  <sheetFormatPr defaultColWidth="0" defaultRowHeight="20.149999999999999" customHeight="1" x14ac:dyDescent="0.35"/>
  <cols>
    <col min="1" max="1" width="14.6328125" style="248" customWidth="1"/>
    <col min="2" max="2" width="60.7265625" style="248" customWidth="1"/>
    <col min="3" max="5" width="25.7265625" style="248" customWidth="1"/>
    <col min="6" max="6" width="16.7265625" style="254" customWidth="1"/>
    <col min="7" max="7" width="90.7265625" style="248" customWidth="1"/>
    <col min="8" max="8" width="55.7265625" style="248" customWidth="1"/>
    <col min="9" max="9" width="10.7265625" style="248" customWidth="1"/>
    <col min="10" max="10" width="25.7265625" style="248" customWidth="1"/>
    <col min="11" max="11" width="10.7265625" style="248" customWidth="1"/>
    <col min="12" max="14" width="0" style="248" hidden="1" customWidth="1"/>
    <col min="15" max="16384" width="9.1796875" style="248" hidden="1"/>
  </cols>
  <sheetData>
    <row r="1" spans="1:11" s="242" customFormat="1" ht="90" customHeight="1" x14ac:dyDescent="0.3">
      <c r="A1" s="335" t="s">
        <v>932</v>
      </c>
      <c r="B1" s="335"/>
      <c r="C1" s="335"/>
      <c r="D1" s="335"/>
      <c r="E1" s="335"/>
      <c r="F1" s="335"/>
      <c r="G1" s="335"/>
      <c r="H1" s="336"/>
      <c r="I1" s="210"/>
      <c r="J1" s="210"/>
      <c r="K1" s="210"/>
    </row>
    <row r="2" spans="1:11" s="242" customFormat="1" ht="50.15" customHeight="1" x14ac:dyDescent="0.3">
      <c r="A2" s="483" t="s">
        <v>908</v>
      </c>
      <c r="B2" s="483"/>
      <c r="C2" s="483"/>
      <c r="D2" s="483"/>
      <c r="E2" s="483"/>
      <c r="F2" s="483"/>
      <c r="G2" s="483"/>
      <c r="H2" s="483"/>
      <c r="I2" s="210"/>
      <c r="J2" s="210"/>
      <c r="K2" s="210"/>
    </row>
    <row r="3" spans="1:11" s="295" customFormat="1" ht="75" customHeight="1" x14ac:dyDescent="0.3">
      <c r="A3" s="337" t="s">
        <v>115</v>
      </c>
      <c r="B3" s="337" t="s">
        <v>112</v>
      </c>
      <c r="C3" s="338" t="s">
        <v>2</v>
      </c>
      <c r="D3" s="455" t="s">
        <v>1008</v>
      </c>
      <c r="E3" s="455"/>
      <c r="F3" s="338"/>
      <c r="G3" s="338" t="s">
        <v>229</v>
      </c>
      <c r="H3" s="338" t="s">
        <v>228</v>
      </c>
      <c r="I3" s="210"/>
      <c r="J3" s="294"/>
      <c r="K3" s="294"/>
    </row>
    <row r="4" spans="1:11" s="242" customFormat="1" ht="40" customHeight="1" x14ac:dyDescent="0.3">
      <c r="A4" s="453" t="s">
        <v>117</v>
      </c>
      <c r="B4" s="339" t="s">
        <v>0</v>
      </c>
      <c r="C4" s="339" t="s">
        <v>113</v>
      </c>
      <c r="D4" s="447" t="s">
        <v>961</v>
      </c>
      <c r="E4" s="447"/>
      <c r="F4" s="340"/>
      <c r="G4" s="339" t="s">
        <v>270</v>
      </c>
      <c r="H4" s="341"/>
      <c r="I4" s="210"/>
      <c r="J4" s="312" t="s">
        <v>636</v>
      </c>
      <c r="K4" s="249"/>
    </row>
    <row r="5" spans="1:11" s="242" customFormat="1" ht="40" customHeight="1" x14ac:dyDescent="0.35">
      <c r="A5" s="453"/>
      <c r="B5" s="339" t="s">
        <v>1</v>
      </c>
      <c r="C5" s="339" t="s">
        <v>116</v>
      </c>
      <c r="D5" s="454" t="s">
        <v>966</v>
      </c>
      <c r="E5" s="454"/>
      <c r="F5" s="454"/>
      <c r="G5" s="454"/>
      <c r="H5" s="454"/>
      <c r="I5" s="248"/>
      <c r="J5" s="250" t="s">
        <v>635</v>
      </c>
      <c r="K5" s="251"/>
    </row>
    <row r="6" spans="1:11" s="242" customFormat="1" ht="40" customHeight="1" x14ac:dyDescent="0.35">
      <c r="A6" s="453"/>
      <c r="B6" s="342" t="s">
        <v>892</v>
      </c>
      <c r="C6" s="408" t="str">
        <f>IF(scenarioChoice="CM/AM", 'CM Calculator (BL)'!C6,'AM Calculator (BL)'!C6)</f>
        <v>Years</v>
      </c>
      <c r="D6" s="447">
        <v>15</v>
      </c>
      <c r="E6" s="447"/>
      <c r="F6" s="340"/>
      <c r="G6" s="339" t="s">
        <v>114</v>
      </c>
      <c r="H6" s="332"/>
      <c r="I6" s="248"/>
      <c r="J6" s="313" t="s">
        <v>227</v>
      </c>
      <c r="K6" s="249"/>
    </row>
    <row r="7" spans="1:11" s="242" customFormat="1" ht="50.15" customHeight="1" x14ac:dyDescent="0.35">
      <c r="A7" s="344"/>
      <c r="B7" s="450" t="s">
        <v>968</v>
      </c>
      <c r="C7" s="450"/>
      <c r="D7" s="450"/>
      <c r="E7" s="450"/>
      <c r="F7" s="450"/>
      <c r="G7" s="450"/>
      <c r="H7" s="450"/>
      <c r="I7" s="248"/>
      <c r="J7" s="314" t="s">
        <v>887</v>
      </c>
      <c r="K7" s="248"/>
    </row>
    <row r="8" spans="1:11" s="242" customFormat="1" ht="40" customHeight="1" x14ac:dyDescent="0.35">
      <c r="A8" s="441" t="s">
        <v>60</v>
      </c>
      <c r="B8" s="345" t="s">
        <v>403</v>
      </c>
      <c r="C8" s="346" t="s">
        <v>14</v>
      </c>
      <c r="D8" s="458" t="s">
        <v>385</v>
      </c>
      <c r="E8" s="458"/>
      <c r="F8" s="347"/>
      <c r="G8" s="346" t="s">
        <v>525</v>
      </c>
      <c r="H8" s="333"/>
      <c r="I8" s="248"/>
      <c r="J8" s="315" t="s">
        <v>991</v>
      </c>
      <c r="K8" s="248"/>
    </row>
    <row r="9" spans="1:11" s="242" customFormat="1" ht="40" customHeight="1" x14ac:dyDescent="0.35">
      <c r="A9" s="441"/>
      <c r="B9" s="348" t="s">
        <v>436</v>
      </c>
      <c r="C9" s="349" t="s">
        <v>14</v>
      </c>
      <c r="D9" s="446" t="s">
        <v>551</v>
      </c>
      <c r="E9" s="446"/>
      <c r="F9" s="340"/>
      <c r="G9" s="346" t="s">
        <v>969</v>
      </c>
      <c r="H9" s="333"/>
      <c r="I9" s="248"/>
      <c r="J9" s="248"/>
      <c r="K9" s="248"/>
    </row>
    <row r="10" spans="1:11" s="242" customFormat="1" ht="40" customHeight="1" x14ac:dyDescent="0.35">
      <c r="A10" s="441"/>
      <c r="B10" s="348" t="str">
        <f>"Starting Form - "&amp;D9</f>
        <v>Starting Form - Titanium (Ti6Al4V)</v>
      </c>
      <c r="C10" s="349" t="s">
        <v>14</v>
      </c>
      <c r="D10" s="456" t="s">
        <v>395</v>
      </c>
      <c r="E10" s="456"/>
      <c r="F10" s="350"/>
      <c r="G10" s="346" t="s">
        <v>783</v>
      </c>
      <c r="H10" s="333"/>
      <c r="I10" s="248"/>
      <c r="J10" s="248"/>
      <c r="K10" s="248"/>
    </row>
    <row r="11" spans="1:11" s="242" customFormat="1" ht="40" customHeight="1" x14ac:dyDescent="0.35">
      <c r="A11" s="441"/>
      <c r="B11" s="348" t="str">
        <f>"Source - "&amp;D9</f>
        <v>Source - Titanium (Ti6Al4V)</v>
      </c>
      <c r="C11" s="349" t="s">
        <v>14</v>
      </c>
      <c r="D11" s="446" t="s">
        <v>405</v>
      </c>
      <c r="E11" s="446"/>
      <c r="F11" s="340"/>
      <c r="G11" s="346" t="s">
        <v>526</v>
      </c>
      <c r="H11" s="333"/>
      <c r="I11" s="248"/>
      <c r="J11" s="248"/>
      <c r="K11" s="248"/>
    </row>
    <row r="12" spans="1:11" s="284" customFormat="1" ht="40" customHeight="1" x14ac:dyDescent="0.35">
      <c r="A12" s="441"/>
      <c r="B12" s="348" t="str">
        <f>"Mass Conusmed -  "&amp;D9</f>
        <v>Mass Conusmed -  Titanium (Ti6Al4V)</v>
      </c>
      <c r="C12" s="349" t="str">
        <f>IF('Intro - Start Here'!$C$15="Metric","kg","lb")&amp;"/part"</f>
        <v>lb/part</v>
      </c>
      <c r="D12" s="451">
        <v>1.26</v>
      </c>
      <c r="E12" s="451"/>
      <c r="F12" s="351"/>
      <c r="G12" s="346" t="s">
        <v>970</v>
      </c>
      <c r="H12" s="333" t="s">
        <v>1012</v>
      </c>
      <c r="I12" s="248"/>
      <c r="J12" s="248"/>
      <c r="K12" s="248"/>
    </row>
    <row r="13" spans="1:11" s="284" customFormat="1" ht="40" customHeight="1" x14ac:dyDescent="0.35">
      <c r="A13" s="441"/>
      <c r="B13" s="348" t="str">
        <f>"Final Part Mass - "&amp;D9</f>
        <v>Final Part Mass - Titanium (Ti6Al4V)</v>
      </c>
      <c r="C13" s="349" t="str">
        <f>IF('Intro - Start Here'!$C$15="Metric","kg","lb")&amp;"/part"</f>
        <v>lb/part</v>
      </c>
      <c r="D13" s="484">
        <v>0.84</v>
      </c>
      <c r="E13" s="484"/>
      <c r="F13" s="351"/>
      <c r="G13" s="346" t="s">
        <v>784</v>
      </c>
      <c r="H13" s="333"/>
      <c r="I13" s="248"/>
      <c r="J13" s="248"/>
      <c r="K13" s="248"/>
    </row>
    <row r="14" spans="1:11" s="284" customFormat="1" ht="40" customHeight="1" x14ac:dyDescent="0.35">
      <c r="A14" s="441"/>
      <c r="B14" s="348" t="str">
        <f>"Recycled In-house Scrap - "&amp;D9</f>
        <v>Recycled In-house Scrap - Titanium (Ti6Al4V)</v>
      </c>
      <c r="C14" s="349" t="s">
        <v>5</v>
      </c>
      <c r="D14" s="457">
        <v>0</v>
      </c>
      <c r="E14" s="457"/>
      <c r="F14" s="352"/>
      <c r="G14" s="346" t="s">
        <v>971</v>
      </c>
      <c r="H14" s="333" t="s">
        <v>1011</v>
      </c>
      <c r="I14" s="248"/>
      <c r="J14" s="248"/>
      <c r="K14" s="248"/>
    </row>
    <row r="15" spans="1:11" s="242" customFormat="1" ht="40" customHeight="1" x14ac:dyDescent="0.35">
      <c r="A15" s="441"/>
      <c r="B15" s="345" t="s">
        <v>404</v>
      </c>
      <c r="C15" s="346" t="s">
        <v>14</v>
      </c>
      <c r="D15" s="458" t="s">
        <v>208</v>
      </c>
      <c r="E15" s="458"/>
      <c r="F15" s="347"/>
      <c r="G15" s="346" t="s">
        <v>527</v>
      </c>
      <c r="H15" s="333"/>
      <c r="I15" s="248"/>
      <c r="J15" s="248"/>
      <c r="K15" s="248"/>
    </row>
    <row r="16" spans="1:11" s="242" customFormat="1" ht="40" hidden="1" customHeight="1" x14ac:dyDescent="0.35">
      <c r="A16" s="441"/>
      <c r="B16" s="348" t="s">
        <v>437</v>
      </c>
      <c r="C16" s="346" t="s">
        <v>14</v>
      </c>
      <c r="D16" s="446" t="s">
        <v>14</v>
      </c>
      <c r="E16" s="446"/>
      <c r="F16" s="340"/>
      <c r="G16" s="346" t="s">
        <v>928</v>
      </c>
      <c r="H16" s="346"/>
      <c r="I16" s="248"/>
      <c r="J16" s="248"/>
      <c r="K16" s="248"/>
    </row>
    <row r="17" spans="1:11" s="242" customFormat="1" ht="40" hidden="1" customHeight="1" x14ac:dyDescent="0.35">
      <c r="A17" s="441"/>
      <c r="B17" s="348" t="str">
        <f>"Starting Form - "&amp;D16</f>
        <v>Starting Form - Select</v>
      </c>
      <c r="C17" s="346" t="s">
        <v>14</v>
      </c>
      <c r="D17" s="456" t="s">
        <v>14</v>
      </c>
      <c r="E17" s="456"/>
      <c r="F17" s="350"/>
      <c r="G17" s="346" t="s">
        <v>785</v>
      </c>
      <c r="H17" s="346"/>
      <c r="I17" s="248"/>
      <c r="J17" s="248"/>
      <c r="K17" s="248"/>
    </row>
    <row r="18" spans="1:11" s="242" customFormat="1" ht="40" hidden="1" customHeight="1" x14ac:dyDescent="0.35">
      <c r="A18" s="441"/>
      <c r="B18" s="348" t="str">
        <f>"Source - "&amp;D16</f>
        <v>Source - Select</v>
      </c>
      <c r="C18" s="346" t="s">
        <v>14</v>
      </c>
      <c r="D18" s="446" t="s">
        <v>405</v>
      </c>
      <c r="E18" s="446"/>
      <c r="F18" s="340"/>
      <c r="G18" s="346" t="s">
        <v>528</v>
      </c>
      <c r="H18" s="346"/>
      <c r="I18" s="248"/>
      <c r="J18" s="248"/>
      <c r="K18" s="248"/>
    </row>
    <row r="19" spans="1:11" s="284" customFormat="1" ht="40" hidden="1" customHeight="1" x14ac:dyDescent="0.35">
      <c r="A19" s="441"/>
      <c r="B19" s="353" t="str">
        <f>D16&amp;" Consumed to produce final part"</f>
        <v>Select Consumed to produce final part</v>
      </c>
      <c r="C19" s="349" t="str">
        <f>IF('Intro - Start Here'!$C$15="Metric","kg","lb")&amp;"/part"</f>
        <v>lb/part</v>
      </c>
      <c r="D19" s="451">
        <v>0</v>
      </c>
      <c r="E19" s="451"/>
      <c r="F19" s="351"/>
      <c r="G19" s="346" t="s">
        <v>529</v>
      </c>
      <c r="H19" s="346"/>
      <c r="I19" s="248"/>
      <c r="J19" s="248"/>
      <c r="K19" s="248"/>
    </row>
    <row r="20" spans="1:11" s="284" customFormat="1" ht="40" hidden="1" customHeight="1" x14ac:dyDescent="0.35">
      <c r="A20" s="441"/>
      <c r="B20" s="353" t="str">
        <f>"Mass of "&amp;D16&amp;" in final part"</f>
        <v>Mass of Select in final part</v>
      </c>
      <c r="C20" s="349" t="str">
        <f>IF('Intro - Start Here'!$C$15="Metric","kg","lb")&amp;"/part"</f>
        <v>lb/part</v>
      </c>
      <c r="D20" s="451">
        <v>0</v>
      </c>
      <c r="E20" s="451"/>
      <c r="F20" s="351"/>
      <c r="G20" s="346" t="s">
        <v>530</v>
      </c>
      <c r="H20" s="346"/>
      <c r="I20" s="248"/>
      <c r="J20" s="248"/>
      <c r="K20" s="248"/>
    </row>
    <row r="21" spans="1:11" s="284" customFormat="1" ht="40" hidden="1" customHeight="1" x14ac:dyDescent="0.35">
      <c r="A21" s="441"/>
      <c r="B21" s="353" t="str">
        <f>D16&amp;" recycled (in-house) for use in this product"</f>
        <v>Select recycled (in-house) for use in this product</v>
      </c>
      <c r="C21" s="349" t="s">
        <v>5</v>
      </c>
      <c r="D21" s="457">
        <v>1</v>
      </c>
      <c r="E21" s="457"/>
      <c r="F21" s="352"/>
      <c r="G21" s="346" t="s">
        <v>531</v>
      </c>
      <c r="H21" s="346"/>
      <c r="I21" s="248"/>
      <c r="J21" s="248"/>
      <c r="K21" s="248"/>
    </row>
    <row r="22" spans="1:11" s="284" customFormat="1" ht="50.15" customHeight="1" x14ac:dyDescent="0.35">
      <c r="A22" s="441"/>
      <c r="B22" s="450" t="s">
        <v>972</v>
      </c>
      <c r="C22" s="450"/>
      <c r="D22" s="450"/>
      <c r="E22" s="450"/>
      <c r="F22" s="450"/>
      <c r="G22" s="450"/>
      <c r="H22" s="450"/>
      <c r="I22" s="248"/>
      <c r="J22" s="248"/>
      <c r="K22" s="248"/>
    </row>
    <row r="23" spans="1:11" s="284" customFormat="1" ht="40" customHeight="1" x14ac:dyDescent="0.35">
      <c r="A23" s="441"/>
      <c r="B23" s="442" t="str">
        <f>"Embodied Energy and Carbon of "&amp;D9&amp;", "&amp;D10&amp;", "&amp;D11</f>
        <v>Embodied Energy and Carbon of Titanium (Ti6Al4V), Powder, Primary</v>
      </c>
      <c r="C23" s="349" t="str">
        <f t="shared" ref="C23:C30" si="0">IF(unitChoice="Metric","MJ/kg","Btu/lb") &amp; "          "&amp; IF(unitChoice="Metric","kg/kg","kg/lb")</f>
        <v>Btu/lb          kg/lb</v>
      </c>
      <c r="D23" s="355" t="str">
        <f xml:space="preserve"> ROUND('HIDE - Lists &amp; Lookups'!AE11,1) &amp; " - " &amp; ROUND('HIDE - Lists &amp; Lookups'!AF11,1)</f>
        <v>295141.1 - 318356.8</v>
      </c>
      <c r="E23" s="355" t="str">
        <f xml:space="preserve"> ROUND('HIDE - Lists &amp; Lookups'!AH11,1) &amp; " - " &amp; ROUND('HIDE - Lists &amp; Lookups'!AI11,1)</f>
        <v>21.5 - 22.7</v>
      </c>
      <c r="F23" s="356"/>
      <c r="G23" s="346" t="str">
        <f>"Embodied Impact Ranges for " &amp;D9&amp;", "&amp;D10&amp;", "&amp;D11 &amp; " from Ashby or other sources (see Material EE tab)"</f>
        <v>Embodied Impact Ranges for Titanium (Ti6Al4V), Powder, Primary from Ashby or other sources (see Material EE tab)</v>
      </c>
      <c r="H23" s="333"/>
      <c r="I23" s="248"/>
      <c r="J23" s="248"/>
      <c r="K23" s="248"/>
    </row>
    <row r="24" spans="1:11" s="284" customFormat="1" ht="40" customHeight="1" x14ac:dyDescent="0.35">
      <c r="A24" s="441"/>
      <c r="B24" s="442"/>
      <c r="C24" s="349" t="str">
        <f t="shared" si="0"/>
        <v>Btu/lb          kg/lb</v>
      </c>
      <c r="D24" s="358">
        <v>295141.06527360214</v>
      </c>
      <c r="E24" s="358">
        <v>21.500303907249322</v>
      </c>
      <c r="F24" s="347"/>
      <c r="G24" s="346" t="s">
        <v>818</v>
      </c>
      <c r="H24" s="333"/>
      <c r="I24" s="248"/>
      <c r="J24" s="248"/>
      <c r="K24" s="248"/>
    </row>
    <row r="25" spans="1:11" s="284" customFormat="1" ht="40" hidden="1" customHeight="1" x14ac:dyDescent="0.35">
      <c r="A25" s="441"/>
      <c r="B25" s="442" t="str">
        <f>"Embodied Energy and Carbon of "&amp;D9&amp;", "&amp;D10&amp;", Recycled Engineered Scrap"</f>
        <v>Embodied Energy and Carbon of Titanium (Ti6Al4V), Powder, Recycled Engineered Scrap</v>
      </c>
      <c r="C25" s="349" t="str">
        <f t="shared" si="0"/>
        <v>Btu/lb          kg/lb</v>
      </c>
      <c r="D25" s="397" t="str">
        <f xml:space="preserve"> ROUND('HIDE - Lists &amp; Lookups'!AE12,1) &amp; " - " &amp; ROUND('HIDE - Lists &amp; Lookups'!AF12,1)</f>
        <v>35795.3 - 59011</v>
      </c>
      <c r="E25" s="397" t="str">
        <f xml:space="preserve"> ROUND('HIDE - Lists &amp; Lookups'!AH12,1) &amp; " - " &amp; ROUND('HIDE - Lists &amp; Lookups'!AI12,1)</f>
        <v>2.7 - 3.9</v>
      </c>
      <c r="F25" s="340"/>
      <c r="G25" s="346" t="str">
        <f>"Embodied Impact Ranges for recycled " &amp;D9&amp; " from Ashby or other sources (see Material EE tab)"</f>
        <v>Embodied Impact Ranges for recycled Titanium (Ti6Al4V) from Ashby or other sources (see Material EE tab)</v>
      </c>
      <c r="H25" s="333"/>
      <c r="I25" s="248"/>
      <c r="J25" s="248"/>
      <c r="K25" s="248"/>
    </row>
    <row r="26" spans="1:11" s="284" customFormat="1" ht="40" hidden="1" customHeight="1" x14ac:dyDescent="0.35">
      <c r="A26" s="441"/>
      <c r="B26" s="442"/>
      <c r="C26" s="349" t="str">
        <f t="shared" si="0"/>
        <v>Btu/lb          kg/lb</v>
      </c>
      <c r="D26" s="358"/>
      <c r="E26" s="358"/>
      <c r="F26" s="347"/>
      <c r="G26" s="346" t="s">
        <v>819</v>
      </c>
      <c r="H26" s="333"/>
      <c r="I26" s="248"/>
      <c r="J26" s="248"/>
      <c r="K26" s="248"/>
    </row>
    <row r="27" spans="1:11" s="284" customFormat="1" ht="40" hidden="1" customHeight="1" x14ac:dyDescent="0.35">
      <c r="A27" s="441"/>
      <c r="B27" s="442" t="str">
        <f>"Embodied Energy and Carbon of "&amp;D16&amp;", "&amp;D17&amp;", "&amp;D18 &amp;" Database Range"</f>
        <v>Embodied Energy and Carbon of Select, Select, Primary Database Range</v>
      </c>
      <c r="C27" s="349" t="str">
        <f t="shared" si="0"/>
        <v>Btu/lb          kg/lb</v>
      </c>
      <c r="D27" s="397" t="str">
        <f>IFERROR( ROUND('HIDE - Lists &amp; Lookups'!AE13,1) &amp; " - " &amp; ROUND('HIDE - Lists &amp; Lookups'!AF13,1), "Error")</f>
        <v>0 - 0</v>
      </c>
      <c r="E27" s="397" t="str">
        <f>IFERROR( ROUND('HIDE - Lists &amp; Lookups'!AH13,1) &amp; " - " &amp; ROUND('HIDE - Lists &amp; Lookups'!AI13,1), "Error")</f>
        <v>0 - 0</v>
      </c>
      <c r="F27" s="340"/>
      <c r="G27" s="346" t="str">
        <f>"Embodied Impact Ranges of "&amp;D16&amp;", "&amp;D17&amp;", "&amp;D18 &amp; " from Ashby or other sources (see  Material EE tab)"</f>
        <v>Embodied Impact Ranges of Select, Select, Primary from Ashby or other sources (see  Material EE tab)</v>
      </c>
      <c r="H27" s="346"/>
      <c r="I27" s="248"/>
      <c r="J27" s="248"/>
      <c r="K27" s="248"/>
    </row>
    <row r="28" spans="1:11" s="284" customFormat="1" ht="40" hidden="1" customHeight="1" x14ac:dyDescent="0.35">
      <c r="A28" s="441"/>
      <c r="B28" s="442"/>
      <c r="C28" s="349" t="str">
        <f t="shared" si="0"/>
        <v>Btu/lb          kg/lb</v>
      </c>
      <c r="D28" s="358">
        <v>0</v>
      </c>
      <c r="E28" s="358">
        <v>0</v>
      </c>
      <c r="F28" s="347"/>
      <c r="G28" s="346" t="s">
        <v>820</v>
      </c>
      <c r="H28" s="349"/>
      <c r="I28" s="248"/>
      <c r="J28" s="248"/>
      <c r="K28" s="248"/>
    </row>
    <row r="29" spans="1:11" s="284" customFormat="1" ht="40" hidden="1" customHeight="1" x14ac:dyDescent="0.35">
      <c r="A29" s="441"/>
      <c r="B29" s="442" t="str">
        <f>"Embodied Energy and Carbon of "&amp;D16&amp;", "&amp;D17&amp;", Recycled Engineered Scrap"</f>
        <v>Embodied Energy and Carbon of Select, Select, Recycled Engineered Scrap</v>
      </c>
      <c r="C29" s="349" t="str">
        <f t="shared" si="0"/>
        <v>Btu/lb          kg/lb</v>
      </c>
      <c r="D29" s="397" t="str">
        <f>IFERROR( ROUND('HIDE - Lists &amp; Lookups'!AE14,1) &amp; " - " &amp; ROUND('HIDE - Lists &amp; Lookups'!AF14,1), "Error")</f>
        <v>0 - 0</v>
      </c>
      <c r="E29" s="397" t="str">
        <f>IFERROR( ROUND('HIDE - Lists &amp; Lookups'!AH14,1) &amp; " - " &amp; ROUND('HIDE - Lists &amp; Lookups'!AI14,1), "Error")</f>
        <v>0 - 0</v>
      </c>
      <c r="F29" s="340"/>
      <c r="G29" s="346" t="str">
        <f>"Embodied Impact Ranges for recycled " &amp;D16&amp; " from Ashby or other sources (see  Material EE tab)"</f>
        <v>Embodied Impact Ranges for recycled Select from Ashby or other sources (see  Material EE tab)</v>
      </c>
      <c r="H29" s="346"/>
      <c r="I29" s="248"/>
      <c r="J29" s="248"/>
      <c r="K29" s="248"/>
    </row>
    <row r="30" spans="1:11" s="284" customFormat="1" ht="40" hidden="1" customHeight="1" x14ac:dyDescent="0.35">
      <c r="A30" s="441"/>
      <c r="B30" s="442"/>
      <c r="C30" s="349" t="str">
        <f t="shared" si="0"/>
        <v>Btu/lb          kg/lb</v>
      </c>
      <c r="D30" s="358">
        <v>0</v>
      </c>
      <c r="E30" s="358">
        <v>0</v>
      </c>
      <c r="F30" s="347"/>
      <c r="G30" s="346" t="s">
        <v>821</v>
      </c>
      <c r="H30" s="349"/>
      <c r="I30" s="248"/>
      <c r="J30" s="248"/>
      <c r="K30" s="248"/>
    </row>
    <row r="31" spans="1:11" s="284" customFormat="1" ht="50.15" customHeight="1" x14ac:dyDescent="0.35">
      <c r="A31" s="441"/>
      <c r="B31" s="450" t="s">
        <v>973</v>
      </c>
      <c r="C31" s="450"/>
      <c r="D31" s="450"/>
      <c r="E31" s="450"/>
      <c r="F31" s="450"/>
      <c r="G31" s="450"/>
      <c r="H31" s="450"/>
      <c r="I31" s="248"/>
      <c r="J31" s="248"/>
      <c r="K31" s="248"/>
    </row>
    <row r="32" spans="1:11" s="242" customFormat="1" ht="40" customHeight="1" x14ac:dyDescent="0.35">
      <c r="A32" s="441"/>
      <c r="B32" s="349" t="s">
        <v>284</v>
      </c>
      <c r="C32" s="349" t="str">
        <f>IF('Intro - Start Here'!$C$15="Metric","kg","lb")&amp;"/part"</f>
        <v>lb/part</v>
      </c>
      <c r="D32" s="473">
        <f>IF(D15="None", D12, SUM(D12,D19))</f>
        <v>1.26</v>
      </c>
      <c r="E32" s="473"/>
      <c r="F32" s="359"/>
      <c r="G32" s="346" t="s">
        <v>787</v>
      </c>
      <c r="H32" s="330"/>
      <c r="I32" s="248"/>
      <c r="J32" s="248"/>
      <c r="K32" s="248"/>
    </row>
    <row r="33" spans="1:14" s="242" customFormat="1" ht="40" customHeight="1" x14ac:dyDescent="0.35">
      <c r="A33" s="441"/>
      <c r="B33" s="349" t="s">
        <v>205</v>
      </c>
      <c r="C33" s="349" t="str">
        <f>IF('Intro - Start Here'!$C$15="Metric","kg","lb")&amp;"/part"</f>
        <v>lb/part</v>
      </c>
      <c r="D33" s="459">
        <f>IF(D15="None",D13,SUM(D13,D20))</f>
        <v>0.84</v>
      </c>
      <c r="E33" s="459"/>
      <c r="F33" s="359"/>
      <c r="G33" s="346" t="s">
        <v>786</v>
      </c>
      <c r="H33" s="330"/>
      <c r="I33" s="248"/>
      <c r="J33" s="248"/>
      <c r="K33" s="248"/>
    </row>
    <row r="34" spans="1:14" s="242" customFormat="1" ht="40" customHeight="1" x14ac:dyDescent="0.35">
      <c r="A34" s="441"/>
      <c r="B34" s="349" t="s">
        <v>789</v>
      </c>
      <c r="C34" s="349" t="s">
        <v>33</v>
      </c>
      <c r="D34" s="460">
        <f>IF(D33&gt;0,D32/D33,0)</f>
        <v>1.5</v>
      </c>
      <c r="E34" s="460"/>
      <c r="F34" s="360"/>
      <c r="G34" s="346" t="s">
        <v>285</v>
      </c>
      <c r="H34" s="330"/>
      <c r="I34" s="248"/>
      <c r="J34" s="248"/>
      <c r="K34" s="248"/>
    </row>
    <row r="35" spans="1:14" s="242" customFormat="1" ht="40" customHeight="1" x14ac:dyDescent="0.35">
      <c r="A35" s="441"/>
      <c r="B35" s="349" t="s">
        <v>790</v>
      </c>
      <c r="C35" s="349" t="str">
        <f>IF('Intro - Start Here'!$C$15="Metric","kg","lb")&amp;"/part"</f>
        <v>lb/part</v>
      </c>
      <c r="D35" s="460">
        <f>D32-D33</f>
        <v>0.42000000000000004</v>
      </c>
      <c r="E35" s="460"/>
      <c r="F35" s="360"/>
      <c r="G35" s="346" t="s">
        <v>788</v>
      </c>
      <c r="H35" s="330"/>
      <c r="I35" s="248"/>
      <c r="J35" s="248"/>
      <c r="K35" s="248"/>
    </row>
    <row r="36" spans="1:14" s="242" customFormat="1" ht="40" customHeight="1" x14ac:dyDescent="0.35">
      <c r="A36" s="441"/>
      <c r="B36" s="349" t="s">
        <v>791</v>
      </c>
      <c r="C36" s="349" t="s">
        <v>5</v>
      </c>
      <c r="D36" s="461">
        <f>(D14*D12+IF(OR(D15="None",D15="Select", D15 = "Select First Material"),0,D21*D19))/(D12+IF(OR(D15="None",D15="Select", D15 = "Select First Material"),0,D19))</f>
        <v>0</v>
      </c>
      <c r="E36" s="461"/>
      <c r="F36" s="350"/>
      <c r="G36" s="346" t="s">
        <v>521</v>
      </c>
      <c r="H36" s="330"/>
      <c r="I36" s="248"/>
      <c r="J36" s="248"/>
      <c r="K36" s="248"/>
    </row>
    <row r="37" spans="1:14" s="242" customFormat="1" ht="40" hidden="1" customHeight="1" x14ac:dyDescent="0.35">
      <c r="A37" s="441"/>
      <c r="B37" s="349" t="str">
        <f>D9&amp;" Material Impact Contribution"</f>
        <v>Titanium (Ti6Al4V) Material Impact Contribution</v>
      </c>
      <c r="C37" s="346" t="str">
        <f>IF('Intro - Start Here'!$C$15="Metric","MJ","Btu")&amp;"/part"&amp; "          "&amp; "kg/part"</f>
        <v>Btu/part          kg/part</v>
      </c>
      <c r="D37" s="361">
        <f xml:space="preserve"> D13*D24 + (D12-D13)*(1-D14)*D24  + (D12-D13)* D14*D26</f>
        <v>371877.74224473874</v>
      </c>
      <c r="E37" s="361">
        <f xml:space="preserve"> D13*E24 + (D12-D13)*(1-D14)*E24  + (D12-D13)* D14*E26</f>
        <v>27.090382923134143</v>
      </c>
      <c r="F37" s="351"/>
      <c r="G37" s="346" t="s">
        <v>522</v>
      </c>
      <c r="H37" s="330"/>
      <c r="I37" s="248"/>
      <c r="J37" s="248"/>
      <c r="K37" s="248"/>
    </row>
    <row r="38" spans="1:14" s="242" customFormat="1" ht="40" hidden="1" customHeight="1" x14ac:dyDescent="0.35">
      <c r="A38" s="441"/>
      <c r="B38" s="349" t="str">
        <f>D16&amp;" Material Impact Contribution"</f>
        <v>Select Material Impact Contribution</v>
      </c>
      <c r="C38" s="346" t="str">
        <f>IF('Intro - Start Here'!$C$15="Metric","MJ","Btu")&amp;"/part"&amp; "          "&amp; "kg/part"</f>
        <v>Btu/part          kg/part</v>
      </c>
      <c r="D38" s="361">
        <f>IFERROR( D20*D28 + (D19-D20)*(1-D21)*D28  + (D19-D20)* D21*D30, "Error")</f>
        <v>0</v>
      </c>
      <c r="E38" s="361">
        <f xml:space="preserve"> IFERROR(D20*E28 + (D19-D20)*(1-D21)*E28  + (D19-D20)* D21*E30, "Error")</f>
        <v>0</v>
      </c>
      <c r="F38" s="351"/>
      <c r="G38" s="346" t="s">
        <v>523</v>
      </c>
      <c r="H38" s="330"/>
      <c r="I38" s="248"/>
      <c r="J38" s="248"/>
      <c r="K38" s="248"/>
    </row>
    <row r="39" spans="1:14" s="242" customFormat="1" ht="40" customHeight="1" x14ac:dyDescent="0.35">
      <c r="A39" s="441"/>
      <c r="B39" s="362" t="s">
        <v>792</v>
      </c>
      <c r="C39" s="362" t="str">
        <f>IF('Intro - Start Here'!$C$15="Metric","MJ","Btu")&amp;"/part"&amp; "          "&amp; "kg/part"</f>
        <v>Btu/part          kg/part</v>
      </c>
      <c r="D39" s="364">
        <f>IFERROR(D37+IF(D15="None", 0,D38), "Error")</f>
        <v>371877.74224473874</v>
      </c>
      <c r="E39" s="364">
        <f>IFERROR(E37+IF(D15="None", 0,E38), "Error")</f>
        <v>27.090382923134143</v>
      </c>
      <c r="F39" s="364"/>
      <c r="G39" s="362" t="s">
        <v>799</v>
      </c>
      <c r="H39" s="365"/>
      <c r="I39" s="248"/>
      <c r="J39" s="248"/>
      <c r="K39" s="248"/>
    </row>
    <row r="40" spans="1:14" s="242" customFormat="1" ht="50.15" customHeight="1" x14ac:dyDescent="0.3">
      <c r="A40" s="403"/>
      <c r="B40" s="449" t="s">
        <v>824</v>
      </c>
      <c r="C40" s="449"/>
      <c r="D40" s="449"/>
      <c r="E40" s="449"/>
      <c r="F40" s="449"/>
      <c r="G40" s="449"/>
      <c r="H40" s="449"/>
      <c r="I40" s="248"/>
      <c r="J40" s="210"/>
      <c r="K40" s="210"/>
      <c r="L40" s="151"/>
      <c r="M40" s="151"/>
      <c r="N40" s="151"/>
    </row>
    <row r="41" spans="1:14" s="242" customFormat="1" ht="40" customHeight="1" x14ac:dyDescent="0.3">
      <c r="A41" s="463" t="s">
        <v>206</v>
      </c>
      <c r="B41" s="349" t="s">
        <v>79</v>
      </c>
      <c r="C41" s="349" t="s">
        <v>14</v>
      </c>
      <c r="D41" s="446" t="s">
        <v>63</v>
      </c>
      <c r="E41" s="446"/>
      <c r="F41" s="340"/>
      <c r="G41" s="349" t="s">
        <v>594</v>
      </c>
      <c r="H41" s="330"/>
      <c r="I41" s="248"/>
      <c r="J41" s="210"/>
      <c r="K41" s="210"/>
      <c r="L41" s="151"/>
      <c r="M41" s="151"/>
      <c r="N41" s="151"/>
    </row>
    <row r="42" spans="1:14" s="242" customFormat="1" ht="40" customHeight="1" x14ac:dyDescent="0.35">
      <c r="A42" s="463"/>
      <c r="B42" s="349" t="s">
        <v>800</v>
      </c>
      <c r="C42" s="349" t="s">
        <v>14</v>
      </c>
      <c r="D42" s="471" t="s">
        <v>256</v>
      </c>
      <c r="E42" s="471"/>
      <c r="F42" s="367"/>
      <c r="G42" s="349" t="s">
        <v>832</v>
      </c>
      <c r="H42" s="333"/>
      <c r="I42" s="248"/>
      <c r="J42" s="248"/>
      <c r="K42" s="248"/>
    </row>
    <row r="43" spans="1:14" s="242" customFormat="1" ht="40" customHeight="1" x14ac:dyDescent="0.35">
      <c r="A43" s="463"/>
      <c r="B43" s="349" t="s">
        <v>587</v>
      </c>
      <c r="C43" s="349" t="s">
        <v>588</v>
      </c>
      <c r="D43" s="447">
        <v>6</v>
      </c>
      <c r="E43" s="447"/>
      <c r="F43" s="340"/>
      <c r="G43" s="349" t="s">
        <v>833</v>
      </c>
      <c r="H43" s="333"/>
      <c r="I43" s="248"/>
      <c r="J43" s="248"/>
      <c r="K43" s="248"/>
    </row>
    <row r="44" spans="1:14" s="242" customFormat="1" ht="40" hidden="1" customHeight="1" x14ac:dyDescent="0.35">
      <c r="A44" s="463"/>
      <c r="B44" s="349" t="s">
        <v>589</v>
      </c>
      <c r="C44" s="349" t="str">
        <f>IF('Intro - Start Here'!$C$15="Metric","kg","lb"&amp;"/hr")</f>
        <v>lb/hr</v>
      </c>
      <c r="D44" s="447"/>
      <c r="E44" s="447"/>
      <c r="F44" s="340"/>
      <c r="G44" s="349" t="s">
        <v>831</v>
      </c>
      <c r="H44" s="333"/>
      <c r="I44" s="248"/>
      <c r="J44" s="248"/>
      <c r="K44" s="248"/>
    </row>
    <row r="45" spans="1:14" s="242" customFormat="1" ht="40" hidden="1" customHeight="1" x14ac:dyDescent="0.35">
      <c r="A45" s="463"/>
      <c r="B45" s="368" t="s">
        <v>591</v>
      </c>
      <c r="C45" s="349" t="s">
        <v>293</v>
      </c>
      <c r="D45" s="552">
        <f>IF(D41="Simple", D32*(1/D44)*D43, D46)</f>
        <v>43.5</v>
      </c>
      <c r="E45" s="552"/>
      <c r="F45" s="340"/>
      <c r="G45" s="349" t="s">
        <v>834</v>
      </c>
      <c r="H45" s="333"/>
      <c r="I45" s="248"/>
      <c r="J45" s="248"/>
      <c r="K45" s="248"/>
    </row>
    <row r="46" spans="1:14" s="242" customFormat="1" ht="40" customHeight="1" x14ac:dyDescent="0.35">
      <c r="A46" s="463"/>
      <c r="B46" s="339" t="s">
        <v>591</v>
      </c>
      <c r="C46" s="349" t="s">
        <v>293</v>
      </c>
      <c r="D46" s="447">
        <v>43.5</v>
      </c>
      <c r="E46" s="447"/>
      <c r="F46" s="340"/>
      <c r="G46" s="349" t="s">
        <v>835</v>
      </c>
      <c r="H46" s="333"/>
      <c r="I46" s="248"/>
      <c r="J46" s="248"/>
      <c r="K46" s="248"/>
    </row>
    <row r="47" spans="1:14" s="242" customFormat="1" ht="40" customHeight="1" x14ac:dyDescent="0.35">
      <c r="A47" s="463"/>
      <c r="B47" s="349" t="s">
        <v>590</v>
      </c>
      <c r="C47" s="349" t="s">
        <v>293</v>
      </c>
      <c r="D47" s="447">
        <v>4</v>
      </c>
      <c r="E47" s="447"/>
      <c r="F47" s="340"/>
      <c r="G47" s="349" t="s">
        <v>592</v>
      </c>
      <c r="H47" s="333"/>
      <c r="I47" s="248"/>
      <c r="J47" s="248"/>
      <c r="K47" s="248"/>
    </row>
    <row r="48" spans="1:14" s="242" customFormat="1" ht="40" customHeight="1" x14ac:dyDescent="0.35">
      <c r="A48" s="463"/>
      <c r="B48" s="349" t="s">
        <v>607</v>
      </c>
      <c r="C48" s="349" t="s">
        <v>246</v>
      </c>
      <c r="D48" s="447">
        <v>7</v>
      </c>
      <c r="E48" s="447"/>
      <c r="F48" s="340"/>
      <c r="G48" s="349" t="s">
        <v>901</v>
      </c>
      <c r="H48" s="333"/>
      <c r="I48" s="248"/>
      <c r="J48" s="248"/>
      <c r="K48" s="248"/>
    </row>
    <row r="49" spans="1:11" s="242" customFormat="1" ht="40" customHeight="1" x14ac:dyDescent="0.35">
      <c r="A49" s="463"/>
      <c r="B49" s="349" t="s">
        <v>593</v>
      </c>
      <c r="C49" s="349" t="s">
        <v>246</v>
      </c>
      <c r="D49" s="447">
        <v>4</v>
      </c>
      <c r="E49" s="447"/>
      <c r="F49" s="340"/>
      <c r="G49" s="349" t="s">
        <v>902</v>
      </c>
      <c r="H49" s="333"/>
      <c r="I49" s="248"/>
      <c r="J49" s="248"/>
      <c r="K49" s="248"/>
    </row>
    <row r="50" spans="1:11" s="242" customFormat="1" ht="40" customHeight="1" x14ac:dyDescent="0.35">
      <c r="A50" s="463"/>
      <c r="B50" s="349" t="s">
        <v>830</v>
      </c>
      <c r="C50" s="349" t="str">
        <f>IF('Intro - Start Here'!$C$15="Metric","MJ","Btu"&amp;"/build")</f>
        <v>Btu/build</v>
      </c>
      <c r="D50" s="404">
        <f>IF(unitChoice = "Metric",3.6,3412.14163)*(D45*D48+D47*D49)</f>
        <v>1093591.3924150001</v>
      </c>
      <c r="E50" s="404">
        <f>(D45*D48+D47*D49)*(1/1000)*'Use Phase'!N18</f>
        <v>119.56957706997125</v>
      </c>
      <c r="F50" s="340"/>
      <c r="G50" s="349" t="s">
        <v>836</v>
      </c>
      <c r="H50" s="333"/>
      <c r="I50" s="248"/>
      <c r="J50" s="248"/>
      <c r="K50" s="248"/>
    </row>
    <row r="51" spans="1:11" s="242" customFormat="1" ht="40" customHeight="1" x14ac:dyDescent="0.35">
      <c r="A51" s="463"/>
      <c r="B51" s="370" t="s">
        <v>911</v>
      </c>
      <c r="C51" s="370" t="str">
        <f>IF('Intro - Start Here'!$C$15="Metric","MJ","Btu")&amp;"/part"&amp; "     "&amp; "kg/part"</f>
        <v>Btu/part     kg/part</v>
      </c>
      <c r="D51" s="405">
        <f>D50/D43</f>
        <v>182265.2320691667</v>
      </c>
      <c r="E51" s="405">
        <f>E50/D43</f>
        <v>19.928262844995206</v>
      </c>
      <c r="F51" s="373"/>
      <c r="G51" s="345" t="s">
        <v>837</v>
      </c>
      <c r="H51" s="333"/>
      <c r="I51" s="248"/>
      <c r="J51" s="248"/>
      <c r="K51" s="248"/>
    </row>
    <row r="52" spans="1:11" s="242" customFormat="1" ht="40" hidden="1" customHeight="1" x14ac:dyDescent="0.35">
      <c r="A52" s="463"/>
      <c r="B52" s="349" t="s">
        <v>595</v>
      </c>
      <c r="C52" s="349" t="s">
        <v>293</v>
      </c>
      <c r="D52" s="447">
        <v>0.5</v>
      </c>
      <c r="E52" s="447"/>
      <c r="F52" s="340"/>
      <c r="G52" s="349" t="s">
        <v>592</v>
      </c>
      <c r="H52" s="346"/>
      <c r="I52" s="248"/>
      <c r="J52" s="248"/>
      <c r="K52" s="248"/>
    </row>
    <row r="53" spans="1:11" s="242" customFormat="1" ht="40" hidden="1" customHeight="1" x14ac:dyDescent="0.35">
      <c r="A53" s="463"/>
      <c r="B53" s="349" t="s">
        <v>903</v>
      </c>
      <c r="C53" s="349" t="s">
        <v>534</v>
      </c>
      <c r="D53" s="447">
        <v>0</v>
      </c>
      <c r="E53" s="447"/>
      <c r="F53" s="340"/>
      <c r="G53" s="346" t="s">
        <v>985</v>
      </c>
      <c r="H53" s="346"/>
      <c r="I53" s="248"/>
      <c r="J53" s="248"/>
      <c r="K53" s="248"/>
    </row>
    <row r="54" spans="1:11" s="242" customFormat="1" ht="40" hidden="1" customHeight="1" x14ac:dyDescent="0.35">
      <c r="A54" s="463"/>
      <c r="B54" s="349" t="s">
        <v>596</v>
      </c>
      <c r="C54" s="349" t="s">
        <v>535</v>
      </c>
      <c r="D54" s="447">
        <f>380/25.4</f>
        <v>14.960629921259843</v>
      </c>
      <c r="E54" s="447"/>
      <c r="F54" s="340"/>
      <c r="G54" s="349" t="s">
        <v>538</v>
      </c>
      <c r="H54" s="346"/>
      <c r="I54" s="248"/>
      <c r="J54" s="248"/>
      <c r="K54" s="248"/>
    </row>
    <row r="55" spans="1:11" s="242" customFormat="1" ht="40" hidden="1" customHeight="1" x14ac:dyDescent="0.35">
      <c r="A55" s="463"/>
      <c r="B55" s="349" t="s">
        <v>533</v>
      </c>
      <c r="C55" s="349" t="s">
        <v>536</v>
      </c>
      <c r="D55" s="447">
        <f>(50/1000)*(1/25.4)</f>
        <v>1.968503937007874E-3</v>
      </c>
      <c r="E55" s="447"/>
      <c r="F55" s="340"/>
      <c r="G55" s="349" t="s">
        <v>825</v>
      </c>
      <c r="H55" s="346"/>
      <c r="I55" s="248"/>
      <c r="J55" s="248"/>
      <c r="K55" s="248"/>
    </row>
    <row r="56" spans="1:11" s="242" customFormat="1" ht="40" hidden="1" customHeight="1" x14ac:dyDescent="0.35">
      <c r="A56" s="463"/>
      <c r="B56" s="349" t="s">
        <v>597</v>
      </c>
      <c r="C56" s="349" t="s">
        <v>537</v>
      </c>
      <c r="D56" s="447">
        <f>8000 *(1/25.4)</f>
        <v>314.96062992125985</v>
      </c>
      <c r="E56" s="447"/>
      <c r="F56" s="340"/>
      <c r="G56" s="349" t="s">
        <v>838</v>
      </c>
      <c r="H56" s="346"/>
      <c r="I56" s="248"/>
      <c r="J56" s="248"/>
      <c r="K56" s="248"/>
    </row>
    <row r="57" spans="1:11" s="242" customFormat="1" ht="40" hidden="1" customHeight="1" x14ac:dyDescent="0.35">
      <c r="A57" s="463"/>
      <c r="B57" s="349" t="s">
        <v>904</v>
      </c>
      <c r="C57" s="349" t="s">
        <v>536</v>
      </c>
      <c r="D57" s="447">
        <f>2*(200*200)/(250/1000) *(1/25.4)</f>
        <v>12598.425196850394</v>
      </c>
      <c r="E57" s="447"/>
      <c r="F57" s="340"/>
      <c r="G57" s="349" t="s">
        <v>840</v>
      </c>
      <c r="H57" s="346"/>
      <c r="I57" s="248"/>
      <c r="J57" s="248"/>
      <c r="K57" s="248"/>
    </row>
    <row r="58" spans="1:11" s="242" customFormat="1" ht="40" hidden="1" customHeight="1" x14ac:dyDescent="0.35">
      <c r="A58" s="463"/>
      <c r="B58" s="349" t="s">
        <v>593</v>
      </c>
      <c r="C58" s="349" t="s">
        <v>246</v>
      </c>
      <c r="D58" s="447">
        <f>D60-3</f>
        <v>16.170250336881629</v>
      </c>
      <c r="E58" s="447"/>
      <c r="F58" s="340"/>
      <c r="G58" s="349" t="s">
        <v>902</v>
      </c>
      <c r="H58" s="346"/>
      <c r="I58" s="248"/>
      <c r="J58" s="248"/>
      <c r="K58" s="248"/>
    </row>
    <row r="59" spans="1:11" s="242" customFormat="1" ht="40" hidden="1" customHeight="1" x14ac:dyDescent="0.35">
      <c r="A59" s="463"/>
      <c r="B59" s="349" t="s">
        <v>905</v>
      </c>
      <c r="C59" s="349" t="s">
        <v>246</v>
      </c>
      <c r="D59" s="447">
        <f>32*400*SQRT(3)/1000</f>
        <v>22.170250336881629</v>
      </c>
      <c r="E59" s="447"/>
      <c r="F59" s="340"/>
      <c r="G59" s="349" t="s">
        <v>906</v>
      </c>
      <c r="H59" s="346"/>
      <c r="I59" s="248"/>
      <c r="J59" s="248"/>
      <c r="K59" s="248"/>
    </row>
    <row r="60" spans="1:11" s="242" customFormat="1" ht="40" hidden="1" customHeight="1" x14ac:dyDescent="0.35">
      <c r="A60" s="463"/>
      <c r="B60" s="349" t="s">
        <v>598</v>
      </c>
      <c r="C60" s="349" t="s">
        <v>246</v>
      </c>
      <c r="D60" s="447">
        <f>D59-3</f>
        <v>19.170250336881629</v>
      </c>
      <c r="E60" s="447"/>
      <c r="F60" s="340"/>
      <c r="G60" s="349" t="s">
        <v>907</v>
      </c>
      <c r="H60" s="346"/>
      <c r="I60" s="248"/>
      <c r="J60" s="248"/>
      <c r="K60" s="248"/>
    </row>
    <row r="61" spans="1:11" s="242" customFormat="1" ht="40" hidden="1" customHeight="1" x14ac:dyDescent="0.35">
      <c r="A61" s="463"/>
      <c r="B61" s="349" t="s">
        <v>599</v>
      </c>
      <c r="C61" s="349"/>
      <c r="D61" s="475">
        <f>ROUNDUP(D54/D55,0)</f>
        <v>7600</v>
      </c>
      <c r="E61" s="475"/>
      <c r="F61" s="340"/>
      <c r="G61" s="349" t="s">
        <v>826</v>
      </c>
      <c r="H61" s="346"/>
      <c r="I61" s="248"/>
      <c r="J61" s="248"/>
      <c r="K61" s="248"/>
    </row>
    <row r="62" spans="1:11" s="242" customFormat="1" ht="40" hidden="1" customHeight="1" x14ac:dyDescent="0.35">
      <c r="A62" s="463"/>
      <c r="B62" s="349" t="s">
        <v>604</v>
      </c>
      <c r="C62" s="349" t="s">
        <v>605</v>
      </c>
      <c r="D62" s="475">
        <f>D57/D56</f>
        <v>40</v>
      </c>
      <c r="E62" s="475"/>
      <c r="F62" s="340"/>
      <c r="G62" s="349" t="s">
        <v>827</v>
      </c>
      <c r="H62" s="346"/>
      <c r="I62" s="248"/>
      <c r="J62" s="248"/>
      <c r="K62" s="248"/>
    </row>
    <row r="63" spans="1:11" s="242" customFormat="1" ht="40" hidden="1" customHeight="1" x14ac:dyDescent="0.35">
      <c r="A63" s="463"/>
      <c r="B63" s="349" t="s">
        <v>600</v>
      </c>
      <c r="C63" s="349" t="s">
        <v>605</v>
      </c>
      <c r="D63" s="475">
        <f>D53+D62</f>
        <v>40</v>
      </c>
      <c r="E63" s="475"/>
      <c r="F63" s="340"/>
      <c r="G63" s="349" t="s">
        <v>828</v>
      </c>
      <c r="H63" s="346"/>
      <c r="I63" s="248"/>
      <c r="J63" s="248"/>
      <c r="K63" s="248"/>
    </row>
    <row r="64" spans="1:11" s="242" customFormat="1" ht="40" hidden="1" customHeight="1" x14ac:dyDescent="0.35">
      <c r="A64" s="463"/>
      <c r="B64" s="349" t="s">
        <v>601</v>
      </c>
      <c r="C64" s="349" t="s">
        <v>293</v>
      </c>
      <c r="D64" s="475">
        <f>(D63/3600)*D61+D52/60</f>
        <v>84.452777777777783</v>
      </c>
      <c r="E64" s="475"/>
      <c r="F64" s="340"/>
      <c r="G64" s="349" t="s">
        <v>829</v>
      </c>
      <c r="H64" s="346"/>
      <c r="I64" s="248"/>
      <c r="J64" s="248"/>
      <c r="K64" s="248"/>
    </row>
    <row r="65" spans="1:11" s="242" customFormat="1" ht="40" hidden="1" customHeight="1" x14ac:dyDescent="0.35">
      <c r="A65" s="463"/>
      <c r="B65" s="349" t="s">
        <v>602</v>
      </c>
      <c r="C65" s="349" t="str">
        <f>IF('Intro - Start Here'!$C$15="Metric","MJ","Btu")&amp;"/build"&amp; "     "&amp; "kg/build"</f>
        <v>Btu/build     kg/build</v>
      </c>
      <c r="D65" s="374">
        <f>IF(unitChoice = "Metric",(1/1000),0.947817)*((D62*D59 + D53*D60)*D61 + (D52*60)*D58)</f>
        <v>6388515.2028647559</v>
      </c>
      <c r="E65" s="374">
        <f>((D62*D59 + D53*D60)*D61 + (D52*60)*D58)*(1/(3600*1000)) *'Use Phase'!N18</f>
        <v>698.49869199166176</v>
      </c>
      <c r="F65" s="340"/>
      <c r="G65" s="349" t="s">
        <v>836</v>
      </c>
      <c r="H65" s="346"/>
      <c r="I65" s="248"/>
      <c r="J65" s="248"/>
      <c r="K65" s="248"/>
    </row>
    <row r="66" spans="1:11" s="242" customFormat="1" ht="40" hidden="1" customHeight="1" x14ac:dyDescent="0.35">
      <c r="A66" s="463"/>
      <c r="B66" s="377" t="s">
        <v>603</v>
      </c>
      <c r="C66" s="377" t="str">
        <f>IF('Intro - Start Here'!$C$15="Metric","MJ","Btu")&amp;"/part"&amp; "          "&amp; "kg/part"</f>
        <v>Btu/part          kg/part</v>
      </c>
      <c r="D66" s="378">
        <f>D65/$D43</f>
        <v>1064752.5338107927</v>
      </c>
      <c r="E66" s="378">
        <f>E65/$D43</f>
        <v>116.41644866527696</v>
      </c>
      <c r="F66" s="378"/>
      <c r="G66" s="377" t="s">
        <v>837</v>
      </c>
      <c r="H66" s="377"/>
      <c r="I66" s="248"/>
      <c r="J66" s="248"/>
      <c r="K66" s="248"/>
    </row>
    <row r="67" spans="1:11" s="242" customFormat="1" ht="50.15" customHeight="1" x14ac:dyDescent="0.35">
      <c r="A67" s="463"/>
      <c r="B67" s="485" t="s">
        <v>59</v>
      </c>
      <c r="C67" s="485"/>
      <c r="D67" s="485"/>
      <c r="E67" s="485"/>
      <c r="F67" s="485"/>
      <c r="G67" s="485"/>
      <c r="H67" s="485"/>
      <c r="I67" s="248"/>
      <c r="J67" s="248"/>
      <c r="K67" s="248"/>
    </row>
    <row r="68" spans="1:11" s="242" customFormat="1" ht="40" customHeight="1" x14ac:dyDescent="0.35">
      <c r="A68" s="463"/>
      <c r="B68" s="339" t="s">
        <v>912</v>
      </c>
      <c r="C68" s="349" t="str">
        <f>IF('Intro - Start Here'!$C$15="Metric","MJ","Btu")&amp;"/part"&amp; "          "&amp; "kg/part"</f>
        <v>Btu/part          kg/part</v>
      </c>
      <c r="D68" s="375">
        <f>IF(D41="Advanced",D66,D51)</f>
        <v>182265.2320691667</v>
      </c>
      <c r="E68" s="375">
        <f>IF(D41="Advanced",E66,E51)</f>
        <v>19.928262844995206</v>
      </c>
      <c r="F68" s="376"/>
      <c r="G68" s="349" t="s">
        <v>239</v>
      </c>
      <c r="H68" s="332"/>
      <c r="I68" s="248"/>
      <c r="J68" s="248"/>
      <c r="K68" s="248"/>
    </row>
    <row r="69" spans="1:11" s="242" customFormat="1" ht="40" customHeight="1" x14ac:dyDescent="0.35">
      <c r="A69" s="463"/>
      <c r="B69" s="377" t="s">
        <v>913</v>
      </c>
      <c r="C69" s="377" t="s">
        <v>909</v>
      </c>
      <c r="D69" s="378">
        <f>IF(D32=0,0,(D68/D32))</f>
        <v>144654.94608664024</v>
      </c>
      <c r="E69" s="378">
        <f>IF(D32=0,0,(E68/D32))</f>
        <v>15.816081623012069</v>
      </c>
      <c r="F69" s="378"/>
      <c r="G69" s="377" t="s">
        <v>240</v>
      </c>
      <c r="H69" s="379"/>
      <c r="I69" s="248"/>
      <c r="J69" s="248"/>
      <c r="K69" s="248"/>
    </row>
    <row r="70" spans="1:11" s="242" customFormat="1" ht="50.15" customHeight="1" x14ac:dyDescent="0.35">
      <c r="A70" s="463"/>
      <c r="B70" s="449" t="s">
        <v>975</v>
      </c>
      <c r="C70" s="449"/>
      <c r="D70" s="449"/>
      <c r="E70" s="449"/>
      <c r="F70" s="449"/>
      <c r="G70" s="449"/>
      <c r="H70" s="449"/>
      <c r="I70" s="248"/>
      <c r="J70" s="248"/>
      <c r="K70" s="248"/>
    </row>
    <row r="71" spans="1:11" s="242" customFormat="1" ht="60" customHeight="1" x14ac:dyDescent="0.35">
      <c r="A71" s="463"/>
      <c r="B71" s="346" t="s">
        <v>806</v>
      </c>
      <c r="C71" s="349" t="str">
        <f>IF('Intro - Start Here'!$C$15="Metric","MJ","Btu")&amp;"/part"&amp; "          "&amp; "kg/part"</f>
        <v>Btu/part          kg/part</v>
      </c>
      <c r="D71" s="358">
        <v>559590.96</v>
      </c>
      <c r="E71" s="380">
        <v>61.183808547504789</v>
      </c>
      <c r="F71" s="381"/>
      <c r="G71" s="442" t="s">
        <v>807</v>
      </c>
      <c r="H71" s="330" t="s">
        <v>1010</v>
      </c>
      <c r="I71" s="248"/>
      <c r="J71" s="248"/>
      <c r="K71" s="248"/>
    </row>
    <row r="72" spans="1:11" s="242" customFormat="1" ht="60" customHeight="1" x14ac:dyDescent="0.35">
      <c r="A72" s="463"/>
      <c r="B72" s="346" t="s">
        <v>914</v>
      </c>
      <c r="C72" s="349" t="str">
        <f>IF('Intro - Start Here'!$C$15="Metric","MJ","Btu")&amp;"/part"&amp; "          "&amp; "kg/part"</f>
        <v>Btu/part          kg/part</v>
      </c>
      <c r="D72" s="358">
        <v>1444.3799999999999</v>
      </c>
      <c r="E72" s="380">
        <v>0.13335</v>
      </c>
      <c r="F72" s="381"/>
      <c r="G72" s="442"/>
      <c r="H72" s="330"/>
      <c r="I72" s="248"/>
      <c r="J72" s="248"/>
      <c r="K72" s="248"/>
    </row>
    <row r="73" spans="1:11" s="242" customFormat="1" ht="40" customHeight="1" x14ac:dyDescent="0.35">
      <c r="A73" s="463"/>
      <c r="B73" s="346" t="s">
        <v>915</v>
      </c>
      <c r="C73" s="349" t="str">
        <f>IF('Intro - Start Here'!$C$15="Metric","MJ","Btu")&amp;"/part"&amp; "          "&amp; "kg/part"</f>
        <v>Btu/part          kg/part</v>
      </c>
      <c r="D73" s="361">
        <f>SUM(AMa_post_power_E,AMa_post_specific_E)</f>
        <v>561035.34</v>
      </c>
      <c r="E73" s="361">
        <f>SUM(AMa_post_power_C,AMa_post_specific_C)</f>
        <v>61.317158547504789</v>
      </c>
      <c r="F73" s="351"/>
      <c r="G73" s="346" t="s">
        <v>798</v>
      </c>
      <c r="H73" s="330"/>
      <c r="I73" s="248"/>
      <c r="J73" s="248"/>
      <c r="K73" s="248"/>
    </row>
    <row r="74" spans="1:11" s="242" customFormat="1" ht="50.15" customHeight="1" x14ac:dyDescent="0.35">
      <c r="A74" s="463"/>
      <c r="B74" s="449" t="s">
        <v>976</v>
      </c>
      <c r="C74" s="449"/>
      <c r="D74" s="449"/>
      <c r="E74" s="449"/>
      <c r="F74" s="449"/>
      <c r="G74" s="449"/>
      <c r="H74" s="449"/>
      <c r="I74" s="248"/>
      <c r="J74" s="248"/>
      <c r="K74" s="248"/>
    </row>
    <row r="75" spans="1:11" s="242" customFormat="1" ht="60" customHeight="1" x14ac:dyDescent="0.35">
      <c r="A75" s="463"/>
      <c r="B75" s="349" t="s">
        <v>916</v>
      </c>
      <c r="C75" s="349" t="str">
        <f>IF('Intro - Start Here'!$C$15="Metric","MJ","Btu")&amp;"/part"&amp; "          "&amp; "kg/part"</f>
        <v>Btu/part          kg/part</v>
      </c>
      <c r="D75" s="358">
        <v>2058.8206100000002</v>
      </c>
      <c r="E75" s="380">
        <v>0.19486999999999999</v>
      </c>
      <c r="F75" s="347"/>
      <c r="G75" s="349" t="s">
        <v>794</v>
      </c>
      <c r="H75" s="330"/>
      <c r="I75" s="248"/>
      <c r="J75" s="248"/>
      <c r="K75" s="248"/>
    </row>
    <row r="76" spans="1:11" s="242" customFormat="1" ht="40" customHeight="1" x14ac:dyDescent="0.35">
      <c r="A76" s="463"/>
      <c r="B76" s="362" t="s">
        <v>917</v>
      </c>
      <c r="C76" s="362" t="s">
        <v>910</v>
      </c>
      <c r="D76" s="364">
        <f>D73+D68+D75</f>
        <v>745359.39267916675</v>
      </c>
      <c r="E76" s="364">
        <f>E73+E68+E75</f>
        <v>81.440291392499987</v>
      </c>
      <c r="F76" s="364"/>
      <c r="G76" s="362" t="s">
        <v>233</v>
      </c>
      <c r="H76" s="365"/>
      <c r="I76" s="248"/>
      <c r="J76" s="248"/>
      <c r="K76" s="248"/>
    </row>
    <row r="77" spans="1:11" s="242" customFormat="1" ht="50.15" customHeight="1" x14ac:dyDescent="0.35">
      <c r="A77" s="406"/>
      <c r="B77" s="468" t="s">
        <v>986</v>
      </c>
      <c r="C77" s="468"/>
      <c r="D77" s="468"/>
      <c r="E77" s="468"/>
      <c r="F77" s="468"/>
      <c r="G77" s="468"/>
      <c r="H77" s="468"/>
      <c r="I77" s="248"/>
      <c r="J77" s="248"/>
      <c r="K77" s="248"/>
    </row>
    <row r="78" spans="1:11" s="242" customFormat="1" ht="40" customHeight="1" x14ac:dyDescent="0.35">
      <c r="A78" s="452" t="s">
        <v>64</v>
      </c>
      <c r="B78" s="349" t="s">
        <v>79</v>
      </c>
      <c r="C78" s="349" t="s">
        <v>14</v>
      </c>
      <c r="D78" s="446" t="s">
        <v>62</v>
      </c>
      <c r="E78" s="446"/>
      <c r="F78" s="340"/>
      <c r="G78" s="349" t="s">
        <v>271</v>
      </c>
      <c r="H78" s="330"/>
      <c r="I78" s="248"/>
      <c r="J78" s="248"/>
      <c r="K78" s="248"/>
    </row>
    <row r="79" spans="1:11" s="242" customFormat="1" ht="40" customHeight="1" x14ac:dyDescent="0.35">
      <c r="A79" s="452"/>
      <c r="B79" s="349" t="s">
        <v>776</v>
      </c>
      <c r="C79" s="349" t="s">
        <v>14</v>
      </c>
      <c r="D79" s="446" t="s">
        <v>43</v>
      </c>
      <c r="E79" s="446"/>
      <c r="F79" s="340"/>
      <c r="G79" s="349" t="s">
        <v>814</v>
      </c>
      <c r="H79" s="330"/>
      <c r="I79" s="248"/>
      <c r="J79" s="248"/>
      <c r="K79" s="248"/>
    </row>
    <row r="80" spans="1:11" s="242" customFormat="1" ht="40" customHeight="1" x14ac:dyDescent="0.35">
      <c r="A80" s="452"/>
      <c r="B80" s="349" t="s">
        <v>777</v>
      </c>
      <c r="C80" s="349" t="str">
        <f>IF('Intro - Start Here'!$C$15="Metric","MJ/kg","Btu/lb")&amp;IF(D79="Spacecraft","",IF('Intro - Start Here'!$C$15="Metric","-km","-mi"))&amp;"       "&amp;IF(unitChoice="Metric","kg/kg","kg/lb")&amp;IF(D79="Spacecraft","",IF('Intro - Start Here'!$C$15="Metric","-km","-mi"))</f>
        <v>Btu/lb-mi       kg/lb-mi</v>
      </c>
      <c r="D80" s="375">
        <f>VLOOKUP(D79,TransportationEE,2,FALSE)*IF(unitChoice="Metric",1,'Use Phase'!$K$23)</f>
        <v>3.0627328334267716</v>
      </c>
      <c r="E80" s="383">
        <f>VLOOKUP(D79,TransportationEE,5,FALSE)*IF(unitChoice="Metric",1,'Use Phase'!$O$21)</f>
        <v>9.4272710405588219E-5</v>
      </c>
      <c r="F80" s="376"/>
      <c r="G80" s="349" t="s">
        <v>811</v>
      </c>
      <c r="H80" s="330"/>
      <c r="I80" s="248"/>
      <c r="J80" s="248"/>
      <c r="K80" s="248"/>
    </row>
    <row r="81" spans="1:11" s="242" customFormat="1" ht="40" hidden="1" customHeight="1" x14ac:dyDescent="0.35">
      <c r="A81" s="452"/>
      <c r="B81" s="349" t="s">
        <v>776</v>
      </c>
      <c r="C81" s="349" t="s">
        <v>14</v>
      </c>
      <c r="D81" s="446" t="s">
        <v>81</v>
      </c>
      <c r="E81" s="446"/>
      <c r="F81" s="340"/>
      <c r="G81" s="349" t="s">
        <v>234</v>
      </c>
      <c r="H81" s="330"/>
      <c r="I81" s="248"/>
      <c r="J81" s="248"/>
      <c r="K81" s="248"/>
    </row>
    <row r="82" spans="1:11" s="242" customFormat="1" ht="40" hidden="1" customHeight="1" x14ac:dyDescent="0.35">
      <c r="A82" s="452"/>
      <c r="B82" s="349" t="s">
        <v>777</v>
      </c>
      <c r="C82" s="349" t="str">
        <f>IF('Intro - Start Here'!$C$15="Metric","MJ/kg","Btu/lb")&amp;IF(D81="Spacecraft","",IF('Intro - Start Here'!$C$15="Metric","-km","-mi"))&amp;"       "&amp;IF(unitChoice="Metric","kg/kg","kg/lb")&amp;IF(D81="Spacecraft","",IF('Intro - Start Here'!$C$15="Metric","-km","-mi"))</f>
        <v>Btu/lb-mi       kg/lb-mi</v>
      </c>
      <c r="D82" s="384">
        <f>VLOOKUP(D81,TransportationEE_2,2,FALSE)*IF(unitChoice="Metric",1,IF(D81="Spacecraft",'Use Phase'!$K$21,'Use Phase'!$K$23))</f>
        <v>0.11070324800000002</v>
      </c>
      <c r="E82" s="385">
        <f>VLOOKUP(D81,TransportationEE_2,4,FALSE)*IF(unitChoice="Metric",1,IF(D81="Spacecraft",'Use Phase'!$O$23,'Use Phase'!$O$21))</f>
        <v>1.0949778193067285E-5</v>
      </c>
      <c r="F82" s="351"/>
      <c r="G82" s="349" t="s">
        <v>241</v>
      </c>
      <c r="H82" s="330"/>
      <c r="I82" s="248"/>
      <c r="J82" s="248"/>
      <c r="K82" s="248"/>
    </row>
    <row r="83" spans="1:11" s="242" customFormat="1" ht="40" customHeight="1" x14ac:dyDescent="0.35">
      <c r="A83" s="452"/>
      <c r="B83" s="346" t="s">
        <v>897</v>
      </c>
      <c r="C83" s="349" t="str">
        <f>IF('Intro - Start Here'!$C$15="Metric","km","mi")</f>
        <v>mi</v>
      </c>
      <c r="D83" s="445">
        <v>3107</v>
      </c>
      <c r="E83" s="445"/>
      <c r="F83" s="347"/>
      <c r="G83" s="349" t="s">
        <v>813</v>
      </c>
      <c r="H83" s="330"/>
      <c r="I83" s="248"/>
      <c r="J83" s="248"/>
      <c r="K83" s="248"/>
    </row>
    <row r="84" spans="1:11" s="242" customFormat="1" ht="40" customHeight="1" x14ac:dyDescent="0.35">
      <c r="A84" s="452"/>
      <c r="B84" s="346" t="s">
        <v>780</v>
      </c>
      <c r="C84" s="349" t="s">
        <v>14</v>
      </c>
      <c r="D84" s="446" t="s">
        <v>41</v>
      </c>
      <c r="E84" s="446"/>
      <c r="F84" s="340"/>
      <c r="G84" s="349" t="s">
        <v>816</v>
      </c>
      <c r="H84" s="330"/>
      <c r="I84" s="248"/>
      <c r="J84" s="248"/>
      <c r="K84" s="248"/>
    </row>
    <row r="85" spans="1:11" s="242" customFormat="1" ht="40" customHeight="1" x14ac:dyDescent="0.35">
      <c r="A85" s="452"/>
      <c r="B85" s="346" t="s">
        <v>777</v>
      </c>
      <c r="C85" s="349" t="str">
        <f>IF('Intro - Start Here'!$C$15="Metric","MJ/kg","Btu/lb")&amp;IF(D84="Spacecraft","",IF('Intro - Start Here'!$C$15="Metric","-km","-mi"))&amp;"       "&amp;IF(unitChoice="Metric","kg/kg","kg/lb")&amp;IF(D84="Spacecraft","",IF('Intro - Start Here'!$C$15="Metric","-km","-mi"))</f>
        <v>Btu/lb-mi       kg/lb-mi</v>
      </c>
      <c r="D85" s="375">
        <f>VLOOKUP(D84,TransportationEE,2,FALSE)*IF(unitChoice="Metric",1,'Use Phase'!$K$23)</f>
        <v>8.4408185689090303</v>
      </c>
      <c r="E85" s="383">
        <f>VLOOKUP(D84,TransportationEE,5,FALSE)*IF(unitChoice="Metric",1,'Use Phase'!$O$21)</f>
        <v>2.5981333920090848E-4</v>
      </c>
      <c r="F85" s="376"/>
      <c r="G85" s="349" t="s">
        <v>812</v>
      </c>
      <c r="H85" s="330"/>
      <c r="I85" s="248"/>
      <c r="J85" s="248"/>
      <c r="K85" s="248"/>
    </row>
    <row r="86" spans="1:11" s="242" customFormat="1" ht="40" hidden="1" customHeight="1" x14ac:dyDescent="0.35">
      <c r="A86" s="452"/>
      <c r="B86" s="346" t="s">
        <v>780</v>
      </c>
      <c r="C86" s="349" t="s">
        <v>14</v>
      </c>
      <c r="D86" s="446" t="s">
        <v>87</v>
      </c>
      <c r="E86" s="446"/>
      <c r="F86" s="340"/>
      <c r="G86" s="349" t="s">
        <v>242</v>
      </c>
      <c r="H86" s="330"/>
      <c r="I86" s="248"/>
      <c r="J86" s="248"/>
      <c r="K86" s="248"/>
    </row>
    <row r="87" spans="1:11" s="242" customFormat="1" ht="40" hidden="1" customHeight="1" x14ac:dyDescent="0.35">
      <c r="A87" s="452"/>
      <c r="B87" s="346" t="s">
        <v>777</v>
      </c>
      <c r="C87" s="349" t="str">
        <f>IF('Intro - Start Here'!$C$15="Metric","MJ/kg","Btu/lb")&amp;IF(D86="Spacecraft","",IF('Intro - Start Here'!$C$15="Metric","-km","-mi"))&amp;"       "&amp;IF(unitChoice="Metric","kg/kg","kg/lb")&amp;IF(D86="Spacecraft","",IF('Intro - Start Here'!$C$15="Metric","-km","-mi"))</f>
        <v>Btu/lb-mi       kg/lb-mi</v>
      </c>
      <c r="D87" s="384">
        <f>VLOOKUP(D86,TransportationEE_2,2,FALSE)*IF(unitChoice="Metric",1,IF(D86="Spacecraft",'Use Phase'!$K$21,'Use Phase'!$K$23))</f>
        <v>0.65038158199999996</v>
      </c>
      <c r="E87" s="385">
        <f>VLOOKUP(D86,TransportationEE_2,4,FALSE)*IF(unitChoice="Metric",1,IF(D86="Spacecraft",'Use Phase'!$O$23,'Use Phase'!$O$21))</f>
        <v>4.8909009262367215E-5</v>
      </c>
      <c r="F87" s="351"/>
      <c r="G87" s="386" t="s">
        <v>243</v>
      </c>
      <c r="H87" s="331"/>
      <c r="I87" s="248"/>
      <c r="J87" s="248"/>
      <c r="K87" s="248"/>
    </row>
    <row r="88" spans="1:11" s="242" customFormat="1" ht="40" customHeight="1" x14ac:dyDescent="0.35">
      <c r="A88" s="452"/>
      <c r="B88" s="346" t="s">
        <v>898</v>
      </c>
      <c r="C88" s="349" t="str">
        <f>IF('Intro - Start Here'!$C$15="Metric","km","mi")</f>
        <v>mi</v>
      </c>
      <c r="D88" s="445">
        <v>870</v>
      </c>
      <c r="E88" s="445"/>
      <c r="F88" s="347"/>
      <c r="G88" s="349" t="s">
        <v>815</v>
      </c>
      <c r="H88" s="330"/>
      <c r="I88" s="248"/>
      <c r="J88" s="248"/>
      <c r="K88" s="248"/>
    </row>
    <row r="89" spans="1:11" s="242" customFormat="1" ht="40" customHeight="1" x14ac:dyDescent="0.35">
      <c r="A89" s="452"/>
      <c r="B89" s="362" t="s">
        <v>778</v>
      </c>
      <c r="C89" s="362" t="str">
        <f>IF('Intro - Start Here'!$C$15="Metric","MJ","Btu")&amp;"/part"&amp; "          "&amp; "kg/part"</f>
        <v>Btu/part          kg/part</v>
      </c>
      <c r="D89" s="364">
        <f>IF(D78="Simple",D33*(D80*D83+D85*D88),IF(D81="Spacecraft",D33*(D82+D87*D88),IF(D86="Spacecraft",D33*(D82*D83+D87),D33*(D82*D83+D87*D88))))</f>
        <v>14161.915377462581</v>
      </c>
      <c r="E89" s="553">
        <f>IF(D78="Simple",D33*(E80*D83+E85*D88),IF(D81="Spacecraft",D33*(E82+E87*D88),IF(D86="Spacecraft",D33*(E82*D83+E87),D33*(E82*D83+E87*D88))))</f>
        <v>0.43591204972136055</v>
      </c>
      <c r="F89" s="364"/>
      <c r="G89" s="362" t="s">
        <v>235</v>
      </c>
      <c r="H89" s="365"/>
      <c r="I89" s="248"/>
      <c r="J89" s="248"/>
      <c r="K89" s="248"/>
    </row>
    <row r="90" spans="1:11" s="242" customFormat="1" ht="50.15" customHeight="1" x14ac:dyDescent="0.35">
      <c r="A90" s="402"/>
      <c r="B90" s="472" t="s">
        <v>987</v>
      </c>
      <c r="C90" s="472"/>
      <c r="D90" s="472"/>
      <c r="E90" s="472"/>
      <c r="F90" s="472"/>
      <c r="G90" s="472"/>
      <c r="H90" s="472"/>
      <c r="I90" s="248"/>
      <c r="J90" s="248"/>
      <c r="K90" s="248"/>
    </row>
    <row r="91" spans="1:11" s="242" customFormat="1" ht="40" customHeight="1" x14ac:dyDescent="0.35">
      <c r="A91" s="476" t="s">
        <v>118</v>
      </c>
      <c r="B91" s="346" t="s">
        <v>779</v>
      </c>
      <c r="C91" s="339" t="str">
        <f>C6</f>
        <v>Years</v>
      </c>
      <c r="D91" s="469">
        <f>D6</f>
        <v>15</v>
      </c>
      <c r="E91" s="469"/>
      <c r="F91" s="347"/>
      <c r="G91" s="339" t="s">
        <v>782</v>
      </c>
      <c r="H91" s="332"/>
      <c r="I91" s="248"/>
      <c r="J91" s="248"/>
      <c r="K91" s="248"/>
    </row>
    <row r="92" spans="1:11" s="242" customFormat="1" ht="50.15" customHeight="1" x14ac:dyDescent="0.35">
      <c r="A92" s="476"/>
      <c r="B92" s="472" t="s">
        <v>989</v>
      </c>
      <c r="C92" s="472"/>
      <c r="D92" s="472"/>
      <c r="E92" s="472"/>
      <c r="F92" s="472"/>
      <c r="G92" s="472"/>
      <c r="H92" s="472"/>
      <c r="I92" s="248"/>
      <c r="J92" s="248"/>
      <c r="K92" s="248"/>
    </row>
    <row r="93" spans="1:11" s="242" customFormat="1" ht="40" customHeight="1" x14ac:dyDescent="0.35">
      <c r="A93" s="476"/>
      <c r="B93" s="339" t="s">
        <v>899</v>
      </c>
      <c r="C93" s="339" t="s">
        <v>14</v>
      </c>
      <c r="D93" s="446" t="s">
        <v>101</v>
      </c>
      <c r="E93" s="446"/>
      <c r="F93" s="340"/>
      <c r="G93" s="346" t="s">
        <v>822</v>
      </c>
      <c r="H93" s="332"/>
      <c r="I93" s="248"/>
      <c r="J93" s="248"/>
      <c r="K93" s="248"/>
    </row>
    <row r="94" spans="1:11" s="242" customFormat="1" ht="40" customHeight="1" x14ac:dyDescent="0.35">
      <c r="A94" s="476"/>
      <c r="B94" s="346" t="s">
        <v>781</v>
      </c>
      <c r="C94" s="339" t="s">
        <v>14</v>
      </c>
      <c r="D94" s="446" t="s">
        <v>95</v>
      </c>
      <c r="E94" s="446"/>
      <c r="F94" s="340"/>
      <c r="G94" s="346" t="s">
        <v>236</v>
      </c>
      <c r="H94" s="332"/>
      <c r="I94" s="248"/>
      <c r="J94" s="248"/>
      <c r="K94" s="248"/>
    </row>
    <row r="95" spans="1:11" s="242" customFormat="1" ht="40" customHeight="1" x14ac:dyDescent="0.35">
      <c r="A95" s="476"/>
      <c r="B95" s="339" t="s">
        <v>852</v>
      </c>
      <c r="C95" s="349" t="str">
        <f>IF('Intro - Start Here'!$C$15="Metric","MJ/kg","Btu/lb")&amp;IF(D94="Spacecraft","",IF('Intro - Start Here'!$C$15="Metric","-km","-mi"))&amp;"       "&amp;IF(unitChoice="Metric","kg/kg","kg/lb")&amp;IF(D94="Spacecraft","",IF('Intro - Start Here'!$C$15="Metric","-km","-mi"))</f>
        <v>Btu/lb-mi       kg/lb-mi</v>
      </c>
      <c r="D95" s="369">
        <f>VLOOKUP(D94,'Use Phase'!$A$4:$D$25,2,FALSE)*IF(unitChoice="Metric",1,IF(D94="Spacecraft",'Use Phase'!$K$21,'Use Phase'!$K$23))</f>
        <v>2.1822377762</v>
      </c>
      <c r="E95" s="390">
        <f>VLOOKUP(D94,'Use Phase'!$A$4:$D$25,4,FALSE)*IF(unitChoice="Metric",1,IF(D94="Spacecraft",'Use Phase'!$O$23,'Use Phase'!$O$21))</f>
        <v>1.5811914602074467E-4</v>
      </c>
      <c r="F95" s="351"/>
      <c r="G95" s="346" t="s">
        <v>639</v>
      </c>
      <c r="H95" s="333"/>
      <c r="I95" s="248"/>
      <c r="J95" s="248"/>
      <c r="K95" s="248"/>
    </row>
    <row r="96" spans="1:11" s="242" customFormat="1" ht="40" customHeight="1" x14ac:dyDescent="0.35">
      <c r="A96" s="476"/>
      <c r="B96" s="339" t="s">
        <v>103</v>
      </c>
      <c r="C96" s="339" t="str">
        <f>IF('Intro - Start Here'!$C$15="Metric","km","mi")&amp;"/day"</f>
        <v>mi/day</v>
      </c>
      <c r="D96" s="470">
        <v>4971</v>
      </c>
      <c r="E96" s="470"/>
      <c r="F96" s="381"/>
      <c r="G96" s="346" t="s">
        <v>287</v>
      </c>
      <c r="H96" s="333"/>
      <c r="I96" s="248"/>
      <c r="J96" s="248"/>
      <c r="K96" s="248"/>
    </row>
    <row r="97" spans="1:11" s="242" customFormat="1" ht="40" customHeight="1" x14ac:dyDescent="0.35">
      <c r="A97" s="476"/>
      <c r="B97" s="339" t="s">
        <v>104</v>
      </c>
      <c r="C97" s="339" t="s">
        <v>286</v>
      </c>
      <c r="D97" s="470">
        <v>255</v>
      </c>
      <c r="E97" s="470"/>
      <c r="F97" s="381"/>
      <c r="G97" s="346" t="s">
        <v>287</v>
      </c>
      <c r="H97" s="332"/>
      <c r="I97" s="248"/>
      <c r="J97" s="248"/>
      <c r="K97" s="248"/>
    </row>
    <row r="98" spans="1:11" s="242" customFormat="1" ht="40" hidden="1" customHeight="1" x14ac:dyDescent="0.35">
      <c r="A98" s="476"/>
      <c r="B98" s="339" t="s">
        <v>900</v>
      </c>
      <c r="C98" s="339" t="s">
        <v>253</v>
      </c>
      <c r="D98" s="447">
        <v>12</v>
      </c>
      <c r="E98" s="447"/>
      <c r="F98" s="340"/>
      <c r="G98" s="346" t="s">
        <v>254</v>
      </c>
      <c r="H98" s="332"/>
      <c r="I98" s="248"/>
      <c r="J98" s="248"/>
      <c r="K98" s="248"/>
    </row>
    <row r="99" spans="1:11" s="242" customFormat="1" ht="40" customHeight="1" x14ac:dyDescent="0.35">
      <c r="A99" s="476"/>
      <c r="B99" s="339" t="s">
        <v>823</v>
      </c>
      <c r="C99" s="339" t="str">
        <f>IF('Intro - Start Here'!$C$15="Metric","MJ/kg","Btu/lb")</f>
        <v>Btu/lb</v>
      </c>
      <c r="D99" s="391">
        <f>IF(D94="Spacecraft", (D95*D98*D91), (D95*D96*D97*D91))</f>
        <v>41493232.744500019</v>
      </c>
      <c r="E99" s="391">
        <f>IF(D94="Spacecraft", (E95*D98*D91), (E95*D96*D97*D91))</f>
        <v>3006.4893013743908</v>
      </c>
      <c r="F99" s="392"/>
      <c r="G99" s="346" t="s">
        <v>244</v>
      </c>
      <c r="H99" s="333"/>
      <c r="I99" s="248"/>
      <c r="J99" s="248"/>
      <c r="K99" s="248"/>
    </row>
    <row r="100" spans="1:11" s="242" customFormat="1" ht="40" customHeight="1" x14ac:dyDescent="0.35">
      <c r="A100" s="476"/>
      <c r="B100" s="387" t="s">
        <v>919</v>
      </c>
      <c r="C100" s="387" t="str">
        <f>IF('Intro - Start Here'!$C$15="Metric","MJ","Btu")&amp;"/part"&amp; "          "&amp; "kg/part"</f>
        <v>Btu/part          kg/part</v>
      </c>
      <c r="D100" s="388">
        <f>D99*D33</f>
        <v>34854315.505380012</v>
      </c>
      <c r="E100" s="388">
        <f>E99*D33</f>
        <v>2525.451013154488</v>
      </c>
      <c r="F100" s="388"/>
      <c r="G100" s="387" t="s">
        <v>244</v>
      </c>
      <c r="H100" s="379"/>
      <c r="I100" s="248"/>
      <c r="J100" s="248"/>
      <c r="K100" s="248"/>
    </row>
    <row r="101" spans="1:11" s="242" customFormat="1" ht="50.15" customHeight="1" x14ac:dyDescent="0.35">
      <c r="A101" s="476"/>
      <c r="B101" s="486" t="s">
        <v>990</v>
      </c>
      <c r="C101" s="486"/>
      <c r="D101" s="486"/>
      <c r="E101" s="486"/>
      <c r="F101" s="486"/>
      <c r="G101" s="486"/>
      <c r="H101" s="486"/>
      <c r="I101" s="248"/>
      <c r="J101" s="248"/>
      <c r="K101" s="248"/>
    </row>
    <row r="102" spans="1:11" s="242" customFormat="1" ht="40" customHeight="1" x14ac:dyDescent="0.35">
      <c r="A102" s="476"/>
      <c r="B102" s="339" t="s">
        <v>801</v>
      </c>
      <c r="C102" s="339" t="s">
        <v>14</v>
      </c>
      <c r="D102" s="446" t="s">
        <v>102</v>
      </c>
      <c r="E102" s="446"/>
      <c r="F102" s="340"/>
      <c r="G102" s="339" t="s">
        <v>237</v>
      </c>
      <c r="H102" s="393"/>
      <c r="I102" s="248"/>
      <c r="J102" s="248"/>
      <c r="K102" s="248"/>
    </row>
    <row r="103" spans="1:11" s="242" customFormat="1" ht="40" hidden="1" customHeight="1" x14ac:dyDescent="0.35">
      <c r="A103" s="476"/>
      <c r="B103" s="339" t="s">
        <v>802</v>
      </c>
      <c r="C103" s="339" t="s">
        <v>14</v>
      </c>
      <c r="D103" s="446" t="s">
        <v>14</v>
      </c>
      <c r="E103" s="446"/>
      <c r="F103" s="340"/>
      <c r="G103" s="339" t="s">
        <v>817</v>
      </c>
      <c r="H103" s="339"/>
      <c r="I103" s="248"/>
      <c r="J103" s="248"/>
      <c r="K103" s="248"/>
    </row>
    <row r="104" spans="1:11" s="242" customFormat="1" ht="40" hidden="1" customHeight="1" x14ac:dyDescent="0.35">
      <c r="A104" s="476"/>
      <c r="B104" s="339" t="str">
        <f>IF(ISNUMBER(SEARCH("Thermal",D103)), "Average energy use by the system while in operation", "Average power drawn by system while in Operation")</f>
        <v>Average power drawn by system while in Operation</v>
      </c>
      <c r="C104" s="339" t="str">
        <f>IF(OR(D103="Electric to Thermal", D103="Electric to Mechanical"),"kW",IF(unitChoice="Metric","MJ/hr", "Btu/hr"))</f>
        <v>Btu/hr</v>
      </c>
      <c r="D104" s="447"/>
      <c r="E104" s="447"/>
      <c r="F104" s="340"/>
      <c r="G104" s="339" t="s">
        <v>624</v>
      </c>
      <c r="H104" s="346"/>
      <c r="I104" s="248"/>
      <c r="J104" s="248"/>
      <c r="K104" s="248"/>
    </row>
    <row r="105" spans="1:11" s="242" customFormat="1" ht="40" hidden="1" customHeight="1" x14ac:dyDescent="0.35">
      <c r="A105" s="476"/>
      <c r="B105" s="339" t="s">
        <v>329</v>
      </c>
      <c r="C105" s="339" t="s">
        <v>286</v>
      </c>
      <c r="D105" s="447"/>
      <c r="E105" s="447"/>
      <c r="F105" s="340"/>
      <c r="G105" s="339" t="s">
        <v>331</v>
      </c>
      <c r="H105" s="339"/>
      <c r="I105" s="248"/>
      <c r="J105" s="248"/>
      <c r="K105" s="248"/>
    </row>
    <row r="106" spans="1:11" s="242" customFormat="1" ht="40" hidden="1" customHeight="1" x14ac:dyDescent="0.35">
      <c r="A106" s="476"/>
      <c r="B106" s="339" t="s">
        <v>330</v>
      </c>
      <c r="C106" s="339" t="s">
        <v>107</v>
      </c>
      <c r="D106" s="447"/>
      <c r="E106" s="447"/>
      <c r="F106" s="340"/>
      <c r="G106" s="339" t="s">
        <v>331</v>
      </c>
      <c r="H106" s="339"/>
      <c r="I106" s="248"/>
      <c r="J106" s="248"/>
      <c r="K106" s="248"/>
    </row>
    <row r="107" spans="1:11" s="242" customFormat="1" ht="40" hidden="1" customHeight="1" x14ac:dyDescent="0.35">
      <c r="A107" s="476"/>
      <c r="B107" s="387" t="s">
        <v>918</v>
      </c>
      <c r="C107" s="387" t="str">
        <f>IF('Intro - Start Here'!$C$15="Metric","MJ","Btu")&amp;"/part"&amp; "          "&amp; "kg/part"</f>
        <v>Btu/part          kg/part</v>
      </c>
      <c r="D107" s="388">
        <f>D104*D105*D106*D91*IF(OR(D103="Electric to Thermal", D103="Electric to Mechanical"),IF(unitChoice="Metric", 3.6,3412.14163),1)</f>
        <v>0</v>
      </c>
      <c r="E107" s="388">
        <f>D104*D105*D106*D91*IF(OR(D103="Electric to Thermal", D103="Electric to Mechanical"),(1/1000)*'Use Phase'!$N$18,'Use Phase'!$N$12*IF(unitChoice="Metric",947.817/(1000000),1/1000000))</f>
        <v>0</v>
      </c>
      <c r="F107" s="388"/>
      <c r="G107" s="387"/>
      <c r="H107" s="377"/>
      <c r="I107" s="248"/>
      <c r="J107" s="248"/>
      <c r="K107" s="248"/>
    </row>
    <row r="108" spans="1:11" s="242" customFormat="1" ht="40" customHeight="1" x14ac:dyDescent="0.35">
      <c r="A108" s="476"/>
      <c r="B108" s="362" t="s">
        <v>920</v>
      </c>
      <c r="C108" s="362" t="str">
        <f>IF('Intro - Start Here'!$C$15="Metric","MJ","Btu")&amp;"/part"&amp; "          "&amp; "kg/part"</f>
        <v>Btu/part          kg/part</v>
      </c>
      <c r="D108" s="364">
        <f>IF(D93="yes",D100,0)+IF(D102="yes",D107,0)</f>
        <v>34854315.505380012</v>
      </c>
      <c r="E108" s="364">
        <f>IF(D93="yes",E100,0)+IF(D102="yes",E107,0)</f>
        <v>2525.451013154488</v>
      </c>
      <c r="F108" s="364"/>
      <c r="G108" s="362" t="s">
        <v>238</v>
      </c>
      <c r="H108" s="365"/>
      <c r="I108" s="248"/>
      <c r="J108" s="248"/>
      <c r="K108" s="248"/>
    </row>
    <row r="109" spans="1:11" s="242" customFormat="1" ht="50.15" customHeight="1" x14ac:dyDescent="0.35">
      <c r="A109" s="407"/>
      <c r="B109" s="467" t="s">
        <v>981</v>
      </c>
      <c r="C109" s="467"/>
      <c r="D109" s="467"/>
      <c r="E109" s="467"/>
      <c r="F109" s="467"/>
      <c r="G109" s="467"/>
      <c r="H109" s="467"/>
      <c r="I109" s="248"/>
      <c r="J109" s="248"/>
      <c r="K109" s="248"/>
    </row>
    <row r="110" spans="1:11" s="242" customFormat="1" ht="60" customHeight="1" x14ac:dyDescent="0.35">
      <c r="A110" s="462" t="s">
        <v>280</v>
      </c>
      <c r="B110" s="339" t="s">
        <v>921</v>
      </c>
      <c r="C110" s="346" t="str">
        <f>IF('Intro - Start Here'!$C$15="Metric","MJ","Btu")&amp;"/part"&amp; "          "&amp; "kg/part"</f>
        <v>Btu/part          kg/part</v>
      </c>
      <c r="D110" s="358">
        <v>-154709.80578386068</v>
      </c>
      <c r="E110" s="358">
        <v>-11.612364225671545</v>
      </c>
      <c r="F110" s="347"/>
      <c r="G110" s="440" t="s">
        <v>982</v>
      </c>
      <c r="H110" s="333" t="s">
        <v>1013</v>
      </c>
      <c r="I110" s="248"/>
      <c r="J110" s="248"/>
      <c r="K110" s="248"/>
    </row>
    <row r="111" spans="1:11" s="242" customFormat="1" ht="60" customHeight="1" x14ac:dyDescent="0.35">
      <c r="A111" s="462"/>
      <c r="B111" s="339" t="s">
        <v>922</v>
      </c>
      <c r="C111" s="346" t="str">
        <f>IF('Intro - Start Here'!$C$15="Metric","MJ","Btu")&amp;"/part"&amp; "          "&amp; "kg/part"</f>
        <v>Btu/part          kg/part</v>
      </c>
      <c r="D111" s="358">
        <v>2.9131200000000002</v>
      </c>
      <c r="E111" s="358">
        <v>0</v>
      </c>
      <c r="F111" s="347"/>
      <c r="G111" s="440"/>
      <c r="H111" s="333"/>
      <c r="I111" s="248"/>
      <c r="J111" s="248"/>
      <c r="K111" s="248"/>
    </row>
    <row r="112" spans="1:11" s="242" customFormat="1" ht="40" hidden="1" customHeight="1" x14ac:dyDescent="0.35">
      <c r="A112" s="462"/>
      <c r="B112" s="377" t="s">
        <v>923</v>
      </c>
      <c r="C112" s="377" t="str">
        <f>IF('Intro - Start Here'!$C$15="Metric","MJ","Btu")&amp;"/part"&amp; "          "&amp; "kg/part"</f>
        <v>Btu/part          kg/part</v>
      </c>
      <c r="D112" s="378">
        <f>SUM(D110:D111)</f>
        <v>-154706.89266386066</v>
      </c>
      <c r="E112" s="378">
        <f>SUM(E110:E111)</f>
        <v>-11.612364225671545</v>
      </c>
      <c r="F112" s="378"/>
      <c r="G112" s="377" t="s">
        <v>808</v>
      </c>
      <c r="H112" s="379"/>
      <c r="I112" s="248"/>
      <c r="J112" s="248"/>
      <c r="K112" s="248"/>
    </row>
    <row r="113" spans="1:11" s="242" customFormat="1" ht="40" hidden="1" customHeight="1" x14ac:dyDescent="0.35">
      <c r="A113" s="462"/>
      <c r="B113" s="339" t="s">
        <v>924</v>
      </c>
      <c r="C113" s="346" t="str">
        <f>IF('Intro - Start Here'!$C$15="Metric","MJ","Btu")&amp;"/part"&amp; "          "&amp; "kg/part"</f>
        <v>Btu/part          kg/part</v>
      </c>
      <c r="D113" s="358">
        <v>0</v>
      </c>
      <c r="E113" s="358">
        <v>0</v>
      </c>
      <c r="F113" s="347"/>
      <c r="G113" s="440" t="s">
        <v>983</v>
      </c>
      <c r="H113" s="333"/>
      <c r="I113" s="248"/>
      <c r="J113" s="248"/>
      <c r="K113" s="248"/>
    </row>
    <row r="114" spans="1:11" s="242" customFormat="1" ht="40" hidden="1" customHeight="1" x14ac:dyDescent="0.35">
      <c r="A114" s="462"/>
      <c r="B114" s="339" t="s">
        <v>925</v>
      </c>
      <c r="C114" s="346" t="str">
        <f>IF('Intro - Start Here'!$C$15="Metric","MJ","Btu")&amp;"/part"&amp; "          "&amp; "kg/part"</f>
        <v>Btu/part          kg/part</v>
      </c>
      <c r="D114" s="358">
        <v>0</v>
      </c>
      <c r="E114" s="358">
        <v>0</v>
      </c>
      <c r="F114" s="347"/>
      <c r="G114" s="440"/>
      <c r="H114" s="333"/>
      <c r="I114" s="248"/>
      <c r="J114" s="248"/>
      <c r="K114" s="248"/>
    </row>
    <row r="115" spans="1:11" s="242" customFormat="1" ht="40" hidden="1" customHeight="1" x14ac:dyDescent="0.35">
      <c r="A115" s="462"/>
      <c r="B115" s="377" t="s">
        <v>926</v>
      </c>
      <c r="C115" s="377" t="str">
        <f>IF('Intro - Start Here'!$C$15="Metric","MJ","Btu")&amp;"/part"&amp; "          "&amp; "kg/part"</f>
        <v>Btu/part          kg/part</v>
      </c>
      <c r="D115" s="378">
        <f>SUM(D113:D114)</f>
        <v>0</v>
      </c>
      <c r="E115" s="378">
        <f>SUM(E113:E114)</f>
        <v>0</v>
      </c>
      <c r="F115" s="378"/>
      <c r="G115" s="377" t="s">
        <v>809</v>
      </c>
      <c r="H115" s="379"/>
      <c r="I115" s="248"/>
      <c r="J115" s="248"/>
      <c r="K115" s="248"/>
    </row>
    <row r="116" spans="1:11" s="242" customFormat="1" ht="40" customHeight="1" x14ac:dyDescent="0.35">
      <c r="A116" s="462"/>
      <c r="B116" s="362" t="s">
        <v>927</v>
      </c>
      <c r="C116" s="362" t="str">
        <f>IF('Intro - Start Here'!$C$15="Metric","MJ","Btu")&amp;"/part"&amp; "          "&amp; "kg/part"</f>
        <v>Btu/part          kg/part</v>
      </c>
      <c r="D116" s="364">
        <f>D112+IF(D15="None", 0,D115)</f>
        <v>-154706.89266386066</v>
      </c>
      <c r="E116" s="364">
        <f>E112+IF(D15="None", 0,E115)</f>
        <v>-11.612364225671545</v>
      </c>
      <c r="F116" s="364"/>
      <c r="G116" s="362" t="s">
        <v>810</v>
      </c>
      <c r="H116" s="365"/>
      <c r="I116" s="248"/>
      <c r="J116" s="248"/>
      <c r="K116" s="248"/>
    </row>
    <row r="117" spans="1:11" ht="20.149999999999999" customHeight="1" x14ac:dyDescent="0.3">
      <c r="E117" s="254"/>
      <c r="F117" s="210"/>
    </row>
    <row r="118" spans="1:11" ht="20.149999999999999" customHeight="1" x14ac:dyDescent="0.3">
      <c r="E118" s="254"/>
      <c r="F118" s="210"/>
    </row>
    <row r="119" spans="1:11" ht="20.149999999999999" customHeight="1" thickBot="1" x14ac:dyDescent="0.4"/>
    <row r="120" spans="1:11" s="242" customFormat="1" ht="40" customHeight="1" thickTop="1" x14ac:dyDescent="0.3">
      <c r="A120" s="285"/>
      <c r="B120" s="286"/>
      <c r="C120" s="286"/>
      <c r="D120" s="286" t="str">
        <f>"Stage Energy ("&amp;C129&amp;"/part)"</f>
        <v>Stage Energy (Btu/part)</v>
      </c>
      <c r="E120" s="286" t="str">
        <f>"Stage Carbon ("&amp;C130&amp;"/part)"</f>
        <v>Stage Carbon (kg/part)</v>
      </c>
      <c r="F120" s="287" t="s">
        <v>846</v>
      </c>
      <c r="G120" s="248"/>
      <c r="H120" s="248"/>
      <c r="I120" s="248"/>
      <c r="J120" s="248"/>
      <c r="K120" s="248"/>
    </row>
    <row r="121" spans="1:11" s="242" customFormat="1" ht="40" customHeight="1" x14ac:dyDescent="0.3">
      <c r="A121" s="477" t="s">
        <v>844</v>
      </c>
      <c r="B121" s="258" t="s">
        <v>245</v>
      </c>
      <c r="C121" s="252" t="str">
        <f>IF('Intro - Start Here'!$C$15="Metric","MJ","Btu")&amp;"/part"&amp; "          "&amp; "kg/part"</f>
        <v>Btu/part          kg/part</v>
      </c>
      <c r="D121" s="259">
        <f>IFERROR(D39*$D$177, 0)</f>
        <v>371877.74224473874</v>
      </c>
      <c r="E121" s="296">
        <f>IFERROR(E39*$E$177, 0)</f>
        <v>27.090382923134143</v>
      </c>
      <c r="F121" s="260"/>
      <c r="G121" s="248"/>
      <c r="H121" s="248"/>
      <c r="I121" s="248"/>
      <c r="J121" s="248"/>
      <c r="K121" s="248"/>
    </row>
    <row r="122" spans="1:11" s="242" customFormat="1" ht="40" customHeight="1" x14ac:dyDescent="0.3">
      <c r="A122" s="477"/>
      <c r="B122" s="261" t="s">
        <v>206</v>
      </c>
      <c r="C122" s="252" t="str">
        <f>IF('Intro - Start Here'!$C$15="Metric","MJ","Btu")&amp;"/part"&amp; "          "&amp; "kg/part"</f>
        <v>Btu/part          kg/part</v>
      </c>
      <c r="D122" s="259">
        <f>D76*$D$177</f>
        <v>745359.39267916675</v>
      </c>
      <c r="E122" s="296">
        <f>E76*$E$177</f>
        <v>81.440291392499987</v>
      </c>
      <c r="F122" s="260"/>
      <c r="G122" s="248"/>
      <c r="H122" s="248"/>
      <c r="I122" s="248"/>
      <c r="J122" s="248"/>
      <c r="K122" s="248"/>
    </row>
    <row r="123" spans="1:11" s="242" customFormat="1" ht="40" customHeight="1" x14ac:dyDescent="0.3">
      <c r="A123" s="477"/>
      <c r="B123" s="262" t="s">
        <v>64</v>
      </c>
      <c r="C123" s="252" t="str">
        <f>IF('Intro - Start Here'!$C$15="Metric","MJ","Btu")&amp;"/part"&amp; "          "&amp; "kg/part"</f>
        <v>Btu/part          kg/part</v>
      </c>
      <c r="D123" s="259">
        <f>D89*$D$177</f>
        <v>14161.915377462581</v>
      </c>
      <c r="E123" s="296">
        <f>E89*$E$177</f>
        <v>0.43591204972136055</v>
      </c>
      <c r="F123" s="260"/>
      <c r="G123" s="248"/>
      <c r="H123" s="248"/>
      <c r="I123" s="248"/>
      <c r="J123" s="248"/>
      <c r="K123" s="248"/>
    </row>
    <row r="124" spans="1:11" s="242" customFormat="1" ht="40" customHeight="1" x14ac:dyDescent="0.3">
      <c r="A124" s="477"/>
      <c r="B124" s="288" t="s">
        <v>118</v>
      </c>
      <c r="C124" s="252" t="str">
        <f>IF('Intro - Start Here'!$C$15="Metric","MJ","Btu")&amp;"/part"&amp; "          "&amp; "kg/part"</f>
        <v>Btu/part          kg/part</v>
      </c>
      <c r="D124" s="259">
        <f>D108*$D$177</f>
        <v>34854315.505380012</v>
      </c>
      <c r="E124" s="296">
        <f>E108*$E$177</f>
        <v>2525.451013154488</v>
      </c>
      <c r="F124" s="260"/>
      <c r="G124" s="248"/>
      <c r="H124" s="248"/>
      <c r="I124" s="248"/>
      <c r="J124" s="248"/>
      <c r="K124" s="248"/>
    </row>
    <row r="125" spans="1:11" s="242" customFormat="1" ht="40" customHeight="1" thickBot="1" x14ac:dyDescent="0.35">
      <c r="A125" s="478"/>
      <c r="B125" s="264" t="s">
        <v>65</v>
      </c>
      <c r="C125" s="265" t="str">
        <f>IF('Intro - Start Here'!$C$15="Metric","MJ","Btu")&amp;"/part"&amp; "          "&amp; "kg/part"</f>
        <v>Btu/part          kg/part</v>
      </c>
      <c r="D125" s="266">
        <f>D116*$D$177</f>
        <v>-154706.89266386066</v>
      </c>
      <c r="E125" s="297">
        <f>E116*$E$177</f>
        <v>-11.612364225671545</v>
      </c>
      <c r="F125" s="267"/>
      <c r="G125" s="248"/>
      <c r="H125" s="248"/>
      <c r="I125" s="248"/>
      <c r="J125" s="248"/>
      <c r="K125" s="248"/>
    </row>
    <row r="126" spans="1:11" s="242" customFormat="1" ht="20.149999999999999" customHeight="1" thickTop="1" x14ac:dyDescent="0.3">
      <c r="A126" s="248"/>
      <c r="B126" s="248"/>
      <c r="C126" s="248"/>
      <c r="D126" s="248"/>
      <c r="E126" s="254"/>
      <c r="F126" s="210"/>
      <c r="G126" s="248"/>
      <c r="H126" s="248"/>
      <c r="I126" s="248"/>
      <c r="J126" s="248"/>
      <c r="K126" s="248"/>
    </row>
    <row r="127" spans="1:11" s="242" customFormat="1" ht="20.149999999999999" customHeight="1" thickBot="1" x14ac:dyDescent="0.35">
      <c r="A127" s="248"/>
      <c r="B127" s="248"/>
      <c r="C127" s="248"/>
      <c r="D127" s="248"/>
      <c r="E127" s="254"/>
      <c r="F127" s="210"/>
      <c r="G127" s="248"/>
      <c r="H127" s="248"/>
      <c r="I127" s="248"/>
      <c r="J127" s="248"/>
      <c r="K127" s="248"/>
    </row>
    <row r="128" spans="1:11" s="242" customFormat="1" ht="20.149999999999999" customHeight="1" x14ac:dyDescent="0.3">
      <c r="A128" s="248"/>
      <c r="B128" s="289" t="s">
        <v>847</v>
      </c>
      <c r="C128" s="290"/>
      <c r="D128" s="248"/>
      <c r="E128" s="254"/>
      <c r="F128" s="210"/>
      <c r="G128" s="248"/>
      <c r="H128" s="248"/>
      <c r="I128" s="248"/>
      <c r="J128" s="248"/>
      <c r="K128" s="248"/>
    </row>
    <row r="129" spans="1:11" s="242" customFormat="1" ht="20.149999999999999" customHeight="1" x14ac:dyDescent="0.3">
      <c r="A129" s="248"/>
      <c r="B129" s="291" t="s">
        <v>850</v>
      </c>
      <c r="C129" s="298" t="str">
        <f>IF(scenarioChoice="CM/AM",'CM Calculator (BL)'!C104,'AM Calculator (BL)'!C129)</f>
        <v>Btu</v>
      </c>
      <c r="D129" s="248"/>
      <c r="E129" s="254"/>
      <c r="F129" s="210"/>
      <c r="G129" s="248"/>
      <c r="H129" s="248"/>
      <c r="I129" s="248"/>
      <c r="J129" s="248"/>
      <c r="K129" s="248"/>
    </row>
    <row r="130" spans="1:11" s="242" customFormat="1" ht="20.149999999999999" customHeight="1" thickBot="1" x14ac:dyDescent="0.35">
      <c r="A130" s="248"/>
      <c r="B130" s="292" t="s">
        <v>851</v>
      </c>
      <c r="C130" s="299" t="str">
        <f>IF(scenarioChoice="CM/AM",'CM Calculator (BL)'!C105,'AM Calculator (BL)'!C130)</f>
        <v>kg</v>
      </c>
      <c r="D130" s="248"/>
      <c r="E130" s="254"/>
      <c r="F130" s="210"/>
      <c r="G130" s="248"/>
      <c r="H130" s="248"/>
      <c r="I130" s="248"/>
      <c r="J130" s="248"/>
      <c r="K130" s="248"/>
    </row>
    <row r="131" spans="1:11" ht="20.149999999999999" customHeight="1" x14ac:dyDescent="0.3">
      <c r="E131" s="254"/>
      <c r="F131" s="210"/>
    </row>
    <row r="132" spans="1:11" ht="20.149999999999999" customHeight="1" x14ac:dyDescent="0.3">
      <c r="E132" s="254"/>
      <c r="F132" s="210"/>
    </row>
    <row r="133" spans="1:11" ht="20.149999999999999" customHeight="1" x14ac:dyDescent="0.3">
      <c r="E133" s="254"/>
      <c r="F133" s="210"/>
    </row>
    <row r="134" spans="1:11" ht="20.149999999999999" customHeight="1" x14ac:dyDescent="0.3">
      <c r="E134" s="254"/>
      <c r="F134" s="210"/>
    </row>
    <row r="135" spans="1:11" ht="20.149999999999999" customHeight="1" x14ac:dyDescent="0.3">
      <c r="E135" s="254"/>
      <c r="F135" s="210"/>
    </row>
    <row r="136" spans="1:11" ht="20.149999999999999" customHeight="1" x14ac:dyDescent="0.3">
      <c r="E136" s="254"/>
      <c r="F136" s="210"/>
    </row>
    <row r="137" spans="1:11" ht="20.149999999999999" customHeight="1" x14ac:dyDescent="0.3">
      <c r="E137" s="254"/>
      <c r="F137" s="210"/>
    </row>
    <row r="138" spans="1:11" ht="20.149999999999999" customHeight="1" x14ac:dyDescent="0.3">
      <c r="E138" s="254"/>
      <c r="F138" s="210"/>
    </row>
    <row r="139" spans="1:11" ht="20.149999999999999" customHeight="1" x14ac:dyDescent="0.3">
      <c r="E139" s="254"/>
      <c r="F139" s="210"/>
    </row>
    <row r="140" spans="1:11" ht="20.149999999999999" customHeight="1" x14ac:dyDescent="0.3">
      <c r="E140" s="254"/>
      <c r="F140" s="210"/>
    </row>
    <row r="141" spans="1:11" ht="20.149999999999999" customHeight="1" x14ac:dyDescent="0.3">
      <c r="E141" s="254"/>
      <c r="F141" s="210"/>
    </row>
    <row r="142" spans="1:11" ht="20.149999999999999" customHeight="1" x14ac:dyDescent="0.3">
      <c r="E142" s="254"/>
      <c r="F142" s="210"/>
    </row>
    <row r="143" spans="1:11" ht="20.149999999999999" customHeight="1" x14ac:dyDescent="0.35">
      <c r="A143" s="482" t="s">
        <v>857</v>
      </c>
      <c r="B143" s="482"/>
      <c r="C143" s="482"/>
      <c r="D143" s="482"/>
      <c r="E143" s="482"/>
      <c r="F143" s="482"/>
    </row>
    <row r="144" spans="1:11" ht="20.149999999999999" customHeight="1" x14ac:dyDescent="0.3">
      <c r="C144" s="248" t="s">
        <v>859</v>
      </c>
      <c r="D144" s="248" t="s">
        <v>860</v>
      </c>
      <c r="E144" s="254" t="s">
        <v>33</v>
      </c>
      <c r="F144" s="210"/>
    </row>
    <row r="145" spans="1:11" ht="20.149999999999999" customHeight="1" thickBot="1" x14ac:dyDescent="0.4">
      <c r="A145" s="300"/>
      <c r="B145" s="300" t="s">
        <v>858</v>
      </c>
      <c r="C145" s="300">
        <f>IF(scenarioChoice="CM/AM", 'CM Calculator (BL)'!D6,'AM Calculator (BL)'!D6)</f>
        <v>15</v>
      </c>
      <c r="D145" s="300">
        <f>D6</f>
        <v>15</v>
      </c>
      <c r="E145" s="301">
        <f>IFERROR(C145/D145, "Enter Product Lifetime data in cells D6")</f>
        <v>1</v>
      </c>
      <c r="F145" s="300"/>
    </row>
    <row r="146" spans="1:11" s="242" customFormat="1" ht="40" customHeight="1" x14ac:dyDescent="0.3">
      <c r="A146" s="302"/>
      <c r="B146" s="303"/>
      <c r="C146" s="303"/>
      <c r="D146" s="303" t="str">
        <f>"Stage Energy ("&amp;C155&amp;"/part)"</f>
        <v>Stage Energy (Btu/part)</v>
      </c>
      <c r="E146" s="303" t="str">
        <f>"Stage Carbon ("&amp;C156&amp;"/part)"</f>
        <v>Stage Carbon (kg/part)</v>
      </c>
      <c r="F146" s="304" t="s">
        <v>846</v>
      </c>
      <c r="G146" s="248"/>
      <c r="H146" s="248"/>
      <c r="I146" s="248"/>
      <c r="J146" s="248"/>
      <c r="K146" s="248"/>
    </row>
    <row r="147" spans="1:11" s="242" customFormat="1" ht="40" customHeight="1" x14ac:dyDescent="0.3">
      <c r="A147" s="480" t="s">
        <v>844</v>
      </c>
      <c r="B147" s="258" t="s">
        <v>245</v>
      </c>
      <c r="C147" s="252" t="str">
        <f>IF('Intro - Start Here'!$C$15="Metric","MJ","Btu")&amp;"/part"&amp; "          "&amp; "kg/part"</f>
        <v>Btu/part          kg/part</v>
      </c>
      <c r="D147" s="259">
        <f>IFERROR(D121*$E$145, 0)</f>
        <v>371877.74224473874</v>
      </c>
      <c r="E147" s="296">
        <f>IFERROR(E121*$E$145, 0)</f>
        <v>27.090382923134143</v>
      </c>
      <c r="F147" s="305"/>
      <c r="G147" s="248"/>
      <c r="H147" s="248"/>
      <c r="I147" s="248"/>
      <c r="J147" s="248"/>
      <c r="K147" s="248"/>
    </row>
    <row r="148" spans="1:11" s="242" customFormat="1" ht="40" customHeight="1" x14ac:dyDescent="0.3">
      <c r="A148" s="480"/>
      <c r="B148" s="261" t="s">
        <v>206</v>
      </c>
      <c r="C148" s="252" t="str">
        <f>IF('Intro - Start Here'!$C$15="Metric","MJ","Btu")&amp;"/part"&amp; "          "&amp; "kg/part"</f>
        <v>Btu/part          kg/part</v>
      </c>
      <c r="D148" s="259">
        <f t="shared" ref="D148:E148" si="1">IFERROR(D122*$E$145, 0)</f>
        <v>745359.39267916675</v>
      </c>
      <c r="E148" s="296">
        <f t="shared" si="1"/>
        <v>81.440291392499987</v>
      </c>
      <c r="F148" s="305"/>
      <c r="G148" s="248"/>
      <c r="H148" s="248"/>
      <c r="I148" s="248"/>
      <c r="J148" s="248"/>
      <c r="K148" s="248"/>
    </row>
    <row r="149" spans="1:11" s="242" customFormat="1" ht="40" customHeight="1" x14ac:dyDescent="0.3">
      <c r="A149" s="480"/>
      <c r="B149" s="262" t="s">
        <v>64</v>
      </c>
      <c r="C149" s="252" t="str">
        <f>IF('Intro - Start Here'!$C$15="Metric","MJ","Btu")&amp;"/part"&amp; "          "&amp; "kg/part"</f>
        <v>Btu/part          kg/part</v>
      </c>
      <c r="D149" s="259">
        <f t="shared" ref="D149:E149" si="2">IFERROR(D123*$E$145, 0)</f>
        <v>14161.915377462581</v>
      </c>
      <c r="E149" s="296">
        <f t="shared" si="2"/>
        <v>0.43591204972136055</v>
      </c>
      <c r="F149" s="305"/>
      <c r="G149" s="248"/>
      <c r="H149" s="248"/>
      <c r="I149" s="248"/>
      <c r="J149" s="248"/>
      <c r="K149" s="248"/>
    </row>
    <row r="150" spans="1:11" s="242" customFormat="1" ht="40" customHeight="1" x14ac:dyDescent="0.3">
      <c r="A150" s="480"/>
      <c r="B150" s="288" t="s">
        <v>118</v>
      </c>
      <c r="C150" s="252" t="str">
        <f>IF('Intro - Start Here'!$C$15="Metric","MJ","Btu")&amp;"/part"&amp; "          "&amp; "kg/part"</f>
        <v>Btu/part          kg/part</v>
      </c>
      <c r="D150" s="259">
        <f t="shared" ref="D150:E150" si="3">IFERROR(D124*$E$145, 0)</f>
        <v>34854315.505380012</v>
      </c>
      <c r="E150" s="296">
        <f t="shared" si="3"/>
        <v>2525.451013154488</v>
      </c>
      <c r="F150" s="305"/>
      <c r="G150" s="248"/>
      <c r="H150" s="248"/>
      <c r="I150" s="248"/>
      <c r="J150" s="248"/>
      <c r="K150" s="248"/>
    </row>
    <row r="151" spans="1:11" s="242" customFormat="1" ht="40" customHeight="1" thickBot="1" x14ac:dyDescent="0.35">
      <c r="A151" s="481"/>
      <c r="B151" s="306" t="s">
        <v>65</v>
      </c>
      <c r="C151" s="307" t="str">
        <f>IF('Intro - Start Here'!$C$15="Metric","MJ","Btu")&amp;"/part"&amp; "          "&amp; "kg/part"</f>
        <v>Btu/part          kg/part</v>
      </c>
      <c r="D151" s="308">
        <f t="shared" ref="D151:E151" si="4">IFERROR(D125*$E$145, 0)</f>
        <v>-154706.89266386066</v>
      </c>
      <c r="E151" s="309">
        <f t="shared" si="4"/>
        <v>-11.612364225671545</v>
      </c>
      <c r="F151" s="310"/>
      <c r="G151" s="248"/>
      <c r="H151" s="248"/>
      <c r="I151" s="248"/>
      <c r="J151" s="248"/>
      <c r="K151" s="248"/>
    </row>
    <row r="152" spans="1:11" ht="20.149999999999999" customHeight="1" x14ac:dyDescent="0.3">
      <c r="E152" s="254"/>
      <c r="F152" s="210"/>
    </row>
    <row r="153" spans="1:11" ht="20.149999999999999" customHeight="1" thickBot="1" x14ac:dyDescent="0.35">
      <c r="E153" s="254"/>
      <c r="F153" s="210"/>
    </row>
    <row r="154" spans="1:11" s="242" customFormat="1" ht="20.149999999999999" customHeight="1" x14ac:dyDescent="0.3">
      <c r="A154" s="248"/>
      <c r="B154" s="289" t="s">
        <v>863</v>
      </c>
      <c r="C154" s="290"/>
      <c r="D154" s="248"/>
      <c r="E154" s="254"/>
      <c r="F154" s="210"/>
      <c r="G154" s="248"/>
      <c r="H154" s="248"/>
      <c r="I154" s="248"/>
      <c r="J154" s="248"/>
      <c r="K154" s="248"/>
    </row>
    <row r="155" spans="1:11" s="242" customFormat="1" ht="20.149999999999999" customHeight="1" x14ac:dyDescent="0.3">
      <c r="A155" s="248"/>
      <c r="B155" s="291" t="s">
        <v>850</v>
      </c>
      <c r="C155" s="298" t="str">
        <f>IF(scenarioChoice="CM/AM",'CM Calculator (BL)'!C104,'AM Calculator (BL)'!C129)</f>
        <v>Btu</v>
      </c>
      <c r="D155" s="248"/>
      <c r="E155" s="254"/>
      <c r="F155" s="210"/>
      <c r="G155" s="248"/>
      <c r="H155" s="248"/>
      <c r="I155" s="248"/>
      <c r="J155" s="248"/>
      <c r="K155" s="248"/>
    </row>
    <row r="156" spans="1:11" s="242" customFormat="1" ht="20.149999999999999" customHeight="1" thickBot="1" x14ac:dyDescent="0.35">
      <c r="A156" s="248"/>
      <c r="B156" s="292" t="s">
        <v>851</v>
      </c>
      <c r="C156" s="299" t="str">
        <f>IF(scenarioChoice="CM/AM",'CM Calculator (BL)'!C105,'AM Calculator (BL)'!C130)</f>
        <v>kg</v>
      </c>
      <c r="D156" s="248"/>
      <c r="E156" s="254"/>
      <c r="F156" s="210"/>
      <c r="G156" s="248"/>
      <c r="H156" s="248"/>
      <c r="I156" s="248"/>
      <c r="J156" s="248"/>
      <c r="K156" s="248"/>
    </row>
    <row r="157" spans="1:11" ht="20.149999999999999" customHeight="1" x14ac:dyDescent="0.3">
      <c r="E157" s="254"/>
      <c r="F157" s="210"/>
    </row>
    <row r="158" spans="1:11" ht="20.149999999999999" customHeight="1" x14ac:dyDescent="0.3">
      <c r="E158" s="254"/>
      <c r="F158" s="210"/>
    </row>
    <row r="159" spans="1:11" ht="20.149999999999999" customHeight="1" thickBot="1" x14ac:dyDescent="0.4">
      <c r="D159" s="25"/>
      <c r="E159" s="254"/>
      <c r="F159" s="210"/>
    </row>
    <row r="160" spans="1:11" s="242" customFormat="1" ht="20.149999999999999" customHeight="1" x14ac:dyDescent="0.35">
      <c r="A160" s="248"/>
      <c r="B160" s="253" t="s">
        <v>861</v>
      </c>
      <c r="C160" s="316">
        <f>IF('Intro - Start Here'!C14="CM/AM", ('CM Calculator (BL)'!$D$32-$D$32)/'CM Calculator (BL)'!$D$32,('AM Calculator (BL)'!D32-$D$32)/'AM Calculator (BL)'!D32)</f>
        <v>0.93437499999999996</v>
      </c>
      <c r="D160" s="25"/>
      <c r="E160" s="248"/>
      <c r="F160" s="210"/>
      <c r="G160" s="248"/>
      <c r="H160" s="248"/>
      <c r="I160" s="248"/>
      <c r="J160" s="248"/>
      <c r="K160" s="248"/>
    </row>
    <row r="161" spans="1:11" s="242" customFormat="1" ht="20.149999999999999" customHeight="1" thickBot="1" x14ac:dyDescent="0.35">
      <c r="A161" s="248"/>
      <c r="B161" s="311" t="s">
        <v>862</v>
      </c>
      <c r="C161" s="317">
        <f>IF('Intro - Start Here'!C14="CM/AM",('CM Calculator (BL)'!$D$33-$D$33)/'CM Calculator (BL)'!$D$33,('AM Calculator (BL)'!D33-$D$33)/'AM Calculator (BL)'!D33)</f>
        <v>0.65</v>
      </c>
      <c r="D161" s="248"/>
      <c r="E161" s="248"/>
      <c r="F161" s="210"/>
      <c r="G161" s="248"/>
      <c r="H161" s="248"/>
      <c r="I161" s="248"/>
      <c r="J161" s="248"/>
      <c r="K161" s="248"/>
    </row>
    <row r="162" spans="1:11" ht="20.149999999999999" customHeight="1" x14ac:dyDescent="0.3">
      <c r="E162" s="254"/>
      <c r="F162" s="210"/>
    </row>
    <row r="163" spans="1:11" ht="20.149999999999999" customHeight="1" x14ac:dyDescent="0.3">
      <c r="E163" s="254"/>
      <c r="F163" s="210"/>
    </row>
    <row r="164" spans="1:11" ht="20.149999999999999" customHeight="1" x14ac:dyDescent="0.3">
      <c r="E164" s="254"/>
      <c r="F164" s="210"/>
    </row>
    <row r="165" spans="1:11" ht="20.149999999999999" customHeight="1" x14ac:dyDescent="0.3">
      <c r="E165" s="254"/>
      <c r="F165" s="210"/>
    </row>
    <row r="166" spans="1:11" ht="20.149999999999999" customHeight="1" x14ac:dyDescent="0.3">
      <c r="E166" s="254"/>
      <c r="F166" s="210"/>
    </row>
    <row r="167" spans="1:11" ht="20.149999999999999" customHeight="1" x14ac:dyDescent="0.3">
      <c r="E167" s="254"/>
      <c r="F167" s="210"/>
    </row>
    <row r="168" spans="1:11" ht="20.149999999999999" customHeight="1" x14ac:dyDescent="0.3">
      <c r="E168" s="254"/>
      <c r="F168" s="210"/>
    </row>
    <row r="169" spans="1:11" ht="20.149999999999999" customHeight="1" x14ac:dyDescent="0.3">
      <c r="E169" s="254"/>
      <c r="F169" s="210"/>
    </row>
    <row r="170" spans="1:11" ht="20.149999999999999" customHeight="1" x14ac:dyDescent="0.3">
      <c r="E170" s="254"/>
      <c r="F170" s="210"/>
    </row>
    <row r="171" spans="1:11" ht="20.149999999999999" customHeight="1" x14ac:dyDescent="0.3">
      <c r="E171" s="254"/>
      <c r="F171" s="210"/>
    </row>
    <row r="172" spans="1:11" ht="20.149999999999999" customHeight="1" x14ac:dyDescent="0.3">
      <c r="E172" s="254"/>
      <c r="F172" s="210"/>
    </row>
    <row r="173" spans="1:11" ht="20.149999999999999" customHeight="1" x14ac:dyDescent="0.3">
      <c r="E173" s="254"/>
      <c r="F173" s="210"/>
    </row>
    <row r="174" spans="1:11" ht="20.149999999999999" customHeight="1" x14ac:dyDescent="0.3">
      <c r="A174" s="274"/>
      <c r="B174" s="274"/>
      <c r="C174" s="274"/>
      <c r="D174" s="274"/>
      <c r="E174" s="275"/>
      <c r="F174" s="213"/>
      <c r="G174" s="274"/>
    </row>
    <row r="175" spans="1:11" ht="20.149999999999999" customHeight="1" x14ac:dyDescent="0.3">
      <c r="A175" s="274"/>
      <c r="B175" s="274"/>
      <c r="C175" s="274"/>
      <c r="D175" s="274"/>
      <c r="E175" s="275"/>
      <c r="F175" s="213"/>
      <c r="G175" s="274"/>
    </row>
    <row r="176" spans="1:11" ht="20.149999999999999" customHeight="1" x14ac:dyDescent="0.3">
      <c r="A176" s="274"/>
      <c r="B176" s="116"/>
      <c r="C176" s="116" t="s">
        <v>845</v>
      </c>
      <c r="D176" s="116"/>
      <c r="E176" s="276"/>
      <c r="F176" s="213"/>
      <c r="G176" s="274"/>
    </row>
    <row r="177" spans="1:7" ht="20.149999999999999" customHeight="1" x14ac:dyDescent="0.3">
      <c r="A177" s="274"/>
      <c r="B177" s="116"/>
      <c r="C177" s="116"/>
      <c r="D177" s="116">
        <f>IF(C129="MMBtu",(1/1000000),IF(C129="GJ",(1/1000),1))</f>
        <v>1</v>
      </c>
      <c r="E177" s="276">
        <f>IF(C130="kg", 1, (1/1000))</f>
        <v>1</v>
      </c>
      <c r="F177" s="213"/>
      <c r="G177" s="274"/>
    </row>
    <row r="178" spans="1:7" ht="20.149999999999999" customHeight="1" x14ac:dyDescent="0.3">
      <c r="A178" s="274"/>
      <c r="B178" s="116" t="str">
        <f>B121</f>
        <v>Materials</v>
      </c>
      <c r="C178" s="116" t="b">
        <v>1</v>
      </c>
      <c r="D178" s="278">
        <f>C178*D121</f>
        <v>371877.74224473874</v>
      </c>
      <c r="E178" s="278">
        <f>C178*E121</f>
        <v>27.090382923134143</v>
      </c>
      <c r="F178" s="213"/>
      <c r="G178" s="274"/>
    </row>
    <row r="179" spans="1:7" ht="20.149999999999999" customHeight="1" x14ac:dyDescent="0.3">
      <c r="A179" s="274"/>
      <c r="B179" s="116" t="str">
        <f>B122</f>
        <v>Manufacturing</v>
      </c>
      <c r="C179" s="116" t="b">
        <v>1</v>
      </c>
      <c r="D179" s="278">
        <f>C179*D122</f>
        <v>745359.39267916675</v>
      </c>
      <c r="E179" s="278">
        <f>C179*E122</f>
        <v>81.440291392499987</v>
      </c>
      <c r="F179" s="213"/>
      <c r="G179" s="274"/>
    </row>
    <row r="180" spans="1:7" ht="20.149999999999999" customHeight="1" x14ac:dyDescent="0.3">
      <c r="A180" s="274"/>
      <c r="B180" s="116" t="str">
        <f>B123</f>
        <v>Transportation</v>
      </c>
      <c r="C180" s="116" t="b">
        <v>1</v>
      </c>
      <c r="D180" s="278">
        <f>C180*D123</f>
        <v>14161.915377462581</v>
      </c>
      <c r="E180" s="278">
        <f>C180*E123</f>
        <v>0.43591204972136055</v>
      </c>
      <c r="F180" s="213"/>
      <c r="G180" s="274"/>
    </row>
    <row r="181" spans="1:7" ht="20.149999999999999" customHeight="1" x14ac:dyDescent="0.3">
      <c r="A181" s="274"/>
      <c r="B181" s="116" t="str">
        <f>B124</f>
        <v>Use</v>
      </c>
      <c r="C181" s="116" t="b">
        <v>1</v>
      </c>
      <c r="D181" s="278">
        <f>C181*D124</f>
        <v>34854315.505380012</v>
      </c>
      <c r="E181" s="278">
        <f>C181*E124</f>
        <v>2525.451013154488</v>
      </c>
      <c r="F181" s="213"/>
      <c r="G181" s="274"/>
    </row>
    <row r="182" spans="1:7" ht="20.149999999999999" customHeight="1" x14ac:dyDescent="0.3">
      <c r="A182" s="274"/>
      <c r="B182" s="116" t="str">
        <f>B125</f>
        <v>Disposal</v>
      </c>
      <c r="C182" s="116" t="b">
        <v>1</v>
      </c>
      <c r="D182" s="278">
        <f>C182*D125</f>
        <v>-154706.89266386066</v>
      </c>
      <c r="E182" s="278">
        <f>C182*E125</f>
        <v>-11.612364225671545</v>
      </c>
      <c r="F182" s="213"/>
      <c r="G182" s="274"/>
    </row>
    <row r="183" spans="1:7" ht="20.149999999999999" customHeight="1" x14ac:dyDescent="0.3">
      <c r="A183" s="274"/>
      <c r="B183" s="116"/>
      <c r="C183" s="116"/>
      <c r="D183" s="116"/>
      <c r="E183" s="276"/>
      <c r="F183" s="213"/>
      <c r="G183" s="274"/>
    </row>
    <row r="184" spans="1:7" ht="20.149999999999999" customHeight="1" x14ac:dyDescent="0.3">
      <c r="A184" s="274"/>
      <c r="B184" s="116"/>
      <c r="C184" s="116"/>
      <c r="D184" s="116"/>
      <c r="E184" s="276"/>
      <c r="F184" s="213"/>
      <c r="G184" s="274"/>
    </row>
    <row r="185" spans="1:7" ht="20.149999999999999" customHeight="1" x14ac:dyDescent="0.3">
      <c r="A185" s="274"/>
      <c r="B185" s="116" t="str">
        <f>B178</f>
        <v>Materials</v>
      </c>
      <c r="C185" s="116"/>
      <c r="D185" s="279">
        <f t="shared" ref="D185:E188" si="5">D178/(D$178+D$179+D$180+D$181+IF(D$182&lt;0,0,D$182))</f>
        <v>1.0334038015816673E-2</v>
      </c>
      <c r="E185" s="279">
        <f t="shared" si="5"/>
        <v>1.0283253090957073E-2</v>
      </c>
      <c r="F185" s="213"/>
      <c r="G185" s="274"/>
    </row>
    <row r="186" spans="1:7" ht="20.149999999999999" customHeight="1" x14ac:dyDescent="0.3">
      <c r="A186" s="274"/>
      <c r="B186" s="116" t="str">
        <f>B179</f>
        <v>Manufacturing</v>
      </c>
      <c r="C186" s="116"/>
      <c r="D186" s="279">
        <f t="shared" si="5"/>
        <v>2.0712646723350679E-2</v>
      </c>
      <c r="E186" s="279">
        <f t="shared" si="5"/>
        <v>3.0913964212562022E-2</v>
      </c>
      <c r="F186" s="213"/>
      <c r="G186" s="274"/>
    </row>
    <row r="187" spans="1:7" ht="20.149999999999999" customHeight="1" x14ac:dyDescent="0.3">
      <c r="A187" s="274"/>
      <c r="B187" s="116" t="str">
        <f>B180</f>
        <v>Transportation</v>
      </c>
      <c r="C187" s="116"/>
      <c r="D187" s="279">
        <f t="shared" si="5"/>
        <v>3.9354270305094486E-4</v>
      </c>
      <c r="E187" s="279">
        <f t="shared" si="5"/>
        <v>1.6546809048072377E-4</v>
      </c>
      <c r="F187" s="213"/>
      <c r="G187" s="274"/>
    </row>
    <row r="188" spans="1:7" ht="20.149999999999999" customHeight="1" x14ac:dyDescent="0.35">
      <c r="A188" s="274"/>
      <c r="B188" s="116" t="str">
        <f>B181</f>
        <v>Use</v>
      </c>
      <c r="C188" s="116"/>
      <c r="D188" s="279">
        <f t="shared" si="5"/>
        <v>0.96855977255778181</v>
      </c>
      <c r="E188" s="279">
        <f t="shared" si="5"/>
        <v>0.95863731460600021</v>
      </c>
      <c r="F188" s="275"/>
      <c r="G188" s="274"/>
    </row>
    <row r="189" spans="1:7" ht="20.149999999999999" customHeight="1" x14ac:dyDescent="0.35">
      <c r="A189" s="274"/>
      <c r="B189" s="116" t="str">
        <f>B182</f>
        <v>Disposal</v>
      </c>
      <c r="C189" s="116"/>
      <c r="D189" s="279">
        <f>IF(D$182&lt;0,0,D$182)/(D$178+D$179+D$180+D$181+IF(D$182&lt;0,0,D$182))</f>
        <v>0</v>
      </c>
      <c r="E189" s="279">
        <f>IF(E$182&lt;0,0,E$182)/(E$178+E$179+E$180+E$181+IF(E$182&lt;0,0,E$182))</f>
        <v>0</v>
      </c>
      <c r="F189" s="275"/>
      <c r="G189" s="274"/>
    </row>
    <row r="190" spans="1:7" ht="20.149999999999999" customHeight="1" x14ac:dyDescent="0.35">
      <c r="A190" s="274"/>
      <c r="B190" s="274"/>
      <c r="C190" s="274"/>
      <c r="D190" s="274"/>
      <c r="E190" s="274"/>
      <c r="F190" s="275"/>
      <c r="G190" s="274"/>
    </row>
    <row r="191" spans="1:7" ht="20.149999999999999" customHeight="1" x14ac:dyDescent="0.35">
      <c r="A191" s="274"/>
      <c r="B191" s="274"/>
      <c r="C191" s="274"/>
      <c r="D191" s="274"/>
      <c r="E191" s="274"/>
      <c r="F191" s="275"/>
      <c r="G191" s="274"/>
    </row>
    <row r="192" spans="1:7" ht="20.149999999999999" customHeight="1" x14ac:dyDescent="0.35">
      <c r="A192" s="274"/>
      <c r="B192" s="274"/>
      <c r="C192" s="274"/>
      <c r="D192" s="274"/>
      <c r="E192" s="274"/>
      <c r="F192" s="275"/>
      <c r="G192" s="274"/>
    </row>
    <row r="193" spans="1:7" ht="20.149999999999999" customHeight="1" x14ac:dyDescent="0.35">
      <c r="A193" s="274"/>
      <c r="B193" s="274"/>
      <c r="C193" s="274"/>
      <c r="D193" s="274"/>
      <c r="E193" s="274"/>
      <c r="F193" s="275"/>
      <c r="G193" s="274"/>
    </row>
    <row r="194" spans="1:7" ht="20.149999999999999" customHeight="1" x14ac:dyDescent="0.35">
      <c r="A194" s="274"/>
      <c r="B194" s="274"/>
      <c r="C194" s="274"/>
      <c r="D194" s="274"/>
      <c r="E194" s="274"/>
      <c r="F194" s="275"/>
      <c r="G194" s="274"/>
    </row>
    <row r="195" spans="1:7" ht="20.149999999999999" customHeight="1" x14ac:dyDescent="0.35">
      <c r="A195" s="274"/>
      <c r="B195" s="274"/>
      <c r="C195" s="274"/>
      <c r="D195" s="274"/>
      <c r="E195" s="274"/>
      <c r="F195" s="275"/>
      <c r="G195" s="274"/>
    </row>
    <row r="196" spans="1:7" ht="20.149999999999999" customHeight="1" x14ac:dyDescent="0.35">
      <c r="A196" s="274"/>
      <c r="B196" s="274"/>
      <c r="C196" s="274"/>
      <c r="D196" s="274"/>
      <c r="E196" s="274"/>
      <c r="F196" s="275"/>
      <c r="G196" s="274"/>
    </row>
    <row r="197" spans="1:7" ht="20.149999999999999" customHeight="1" x14ac:dyDescent="0.35">
      <c r="A197" s="274"/>
      <c r="B197" s="274"/>
      <c r="C197" s="274"/>
      <c r="D197" s="274"/>
      <c r="E197" s="274"/>
      <c r="F197" s="275"/>
      <c r="G197" s="274"/>
    </row>
    <row r="198" spans="1:7" ht="20.149999999999999" customHeight="1" x14ac:dyDescent="0.35">
      <c r="A198" s="274"/>
      <c r="B198" s="274"/>
      <c r="C198" s="274"/>
      <c r="D198" s="274"/>
      <c r="E198" s="274"/>
      <c r="F198" s="275"/>
      <c r="G198" s="274"/>
    </row>
    <row r="199" spans="1:7" ht="20.149999999999999" customHeight="1" x14ac:dyDescent="0.35">
      <c r="A199" s="274"/>
      <c r="B199" s="274"/>
      <c r="C199" s="274"/>
      <c r="D199" s="274"/>
      <c r="E199" s="274"/>
      <c r="F199" s="275"/>
      <c r="G199" s="274"/>
    </row>
    <row r="200" spans="1:7" ht="20.149999999999999" customHeight="1" x14ac:dyDescent="0.35">
      <c r="A200" s="274"/>
      <c r="B200" s="274"/>
      <c r="C200" s="274"/>
      <c r="D200" s="274"/>
      <c r="E200" s="274"/>
      <c r="F200" s="275"/>
      <c r="G200" s="274"/>
    </row>
    <row r="201" spans="1:7" ht="20.149999999999999" customHeight="1" x14ac:dyDescent="0.35">
      <c r="A201" s="274"/>
      <c r="B201" s="274"/>
      <c r="C201" s="274"/>
      <c r="D201" s="274"/>
      <c r="E201" s="274"/>
      <c r="F201" s="275"/>
      <c r="G201" s="274"/>
    </row>
    <row r="202" spans="1:7" ht="20.149999999999999" customHeight="1" x14ac:dyDescent="0.35">
      <c r="A202" s="274"/>
      <c r="B202" s="274"/>
      <c r="C202" s="274"/>
      <c r="D202" s="274"/>
      <c r="E202" s="274"/>
      <c r="F202" s="275"/>
      <c r="G202" s="274"/>
    </row>
    <row r="203" spans="1:7" ht="20.149999999999999" customHeight="1" x14ac:dyDescent="0.35">
      <c r="A203" s="274"/>
      <c r="B203" s="274"/>
      <c r="C203" s="274"/>
      <c r="D203" s="274"/>
      <c r="E203" s="274"/>
      <c r="F203" s="275"/>
      <c r="G203" s="274"/>
    </row>
    <row r="204" spans="1:7" ht="20.149999999999999" customHeight="1" x14ac:dyDescent="0.35">
      <c r="A204" s="274"/>
      <c r="B204" s="274"/>
      <c r="C204" s="274"/>
      <c r="D204" s="274"/>
      <c r="E204" s="274"/>
      <c r="F204" s="275"/>
      <c r="G204" s="274"/>
    </row>
    <row r="205" spans="1:7" ht="20.149999999999999" customHeight="1" x14ac:dyDescent="0.35">
      <c r="A205" s="274"/>
      <c r="B205" s="274"/>
      <c r="C205" s="274"/>
      <c r="D205" s="274"/>
      <c r="E205" s="274"/>
      <c r="F205" s="275"/>
      <c r="G205" s="274"/>
    </row>
    <row r="206" spans="1:7" ht="20.149999999999999" customHeight="1" x14ac:dyDescent="0.35">
      <c r="A206" s="274"/>
      <c r="B206" s="274"/>
      <c r="C206" s="274"/>
      <c r="D206" s="274"/>
      <c r="E206" s="274"/>
      <c r="F206" s="275"/>
      <c r="G206" s="274"/>
    </row>
    <row r="207" spans="1:7" ht="20.149999999999999" customHeight="1" x14ac:dyDescent="0.35">
      <c r="A207" s="274"/>
      <c r="B207" s="274"/>
      <c r="C207" s="274"/>
      <c r="D207" s="274"/>
      <c r="E207" s="274"/>
      <c r="F207" s="275"/>
      <c r="G207" s="274"/>
    </row>
    <row r="208" spans="1:7" ht="20.149999999999999" customHeight="1" x14ac:dyDescent="0.35">
      <c r="A208" s="274"/>
      <c r="B208" s="274"/>
      <c r="C208" s="274"/>
      <c r="D208" s="274"/>
      <c r="E208" s="274"/>
      <c r="F208" s="275"/>
      <c r="G208" s="274"/>
    </row>
  </sheetData>
  <sheetProtection algorithmName="SHA-512" hashValue="XXaccd4R7i67ze3hosIwM5efOtxTtQDx7L20LU0GTW31vAWXy3ObiSxmZE9BDGvfjGYJo5UI6bdQLOe/f4yaLA==" saltValue="9tNRG+1iW6sSHMXMe499JQ==" spinCount="100000" sheet="1" objects="1" scenarios="1"/>
  <mergeCells count="92">
    <mergeCell ref="G110:G111"/>
    <mergeCell ref="G113:G114"/>
    <mergeCell ref="A4:A6"/>
    <mergeCell ref="D5:H5"/>
    <mergeCell ref="A110:A116"/>
    <mergeCell ref="D60:E60"/>
    <mergeCell ref="A78:A89"/>
    <mergeCell ref="D78:E78"/>
    <mergeCell ref="D79:E79"/>
    <mergeCell ref="D81:E81"/>
    <mergeCell ref="D83:E83"/>
    <mergeCell ref="D84:E84"/>
    <mergeCell ref="D86:E86"/>
    <mergeCell ref="D88:E88"/>
    <mergeCell ref="B74:H74"/>
    <mergeCell ref="D42:E42"/>
    <mergeCell ref="B77:H77"/>
    <mergeCell ref="B90:H90"/>
    <mergeCell ref="B109:H109"/>
    <mergeCell ref="B23:B24"/>
    <mergeCell ref="B25:B26"/>
    <mergeCell ref="B27:B28"/>
    <mergeCell ref="B29:B30"/>
    <mergeCell ref="D61:E61"/>
    <mergeCell ref="D62:E62"/>
    <mergeCell ref="D63:E63"/>
    <mergeCell ref="D64:E64"/>
    <mergeCell ref="D56:E56"/>
    <mergeCell ref="D57:E57"/>
    <mergeCell ref="D58:E58"/>
    <mergeCell ref="D59:E59"/>
    <mergeCell ref="G71:G72"/>
    <mergeCell ref="A91:A108"/>
    <mergeCell ref="D91:E91"/>
    <mergeCell ref="B92:H92"/>
    <mergeCell ref="D93:E93"/>
    <mergeCell ref="D94:E94"/>
    <mergeCell ref="D96:E96"/>
    <mergeCell ref="D97:E97"/>
    <mergeCell ref="D98:E98"/>
    <mergeCell ref="B101:H101"/>
    <mergeCell ref="D102:E102"/>
    <mergeCell ref="D103:E103"/>
    <mergeCell ref="D104:E104"/>
    <mergeCell ref="D105:E105"/>
    <mergeCell ref="D106:E106"/>
    <mergeCell ref="B40:H40"/>
    <mergeCell ref="D48:E48"/>
    <mergeCell ref="D49:E49"/>
    <mergeCell ref="B70:H70"/>
    <mergeCell ref="D43:E43"/>
    <mergeCell ref="D44:E44"/>
    <mergeCell ref="D45:E45"/>
    <mergeCell ref="D46:E46"/>
    <mergeCell ref="D47:E47"/>
    <mergeCell ref="D52:E52"/>
    <mergeCell ref="D53:E53"/>
    <mergeCell ref="D54:E54"/>
    <mergeCell ref="D55:E55"/>
    <mergeCell ref="B67:H67"/>
    <mergeCell ref="D6:E6"/>
    <mergeCell ref="D4:E4"/>
    <mergeCell ref="A2:H2"/>
    <mergeCell ref="D18:E18"/>
    <mergeCell ref="B7:H7"/>
    <mergeCell ref="D8:E8"/>
    <mergeCell ref="D9:E9"/>
    <mergeCell ref="D10:E10"/>
    <mergeCell ref="D11:E11"/>
    <mergeCell ref="D12:E12"/>
    <mergeCell ref="D13:E13"/>
    <mergeCell ref="D14:E14"/>
    <mergeCell ref="D15:E15"/>
    <mergeCell ref="D16:E16"/>
    <mergeCell ref="D17:E17"/>
    <mergeCell ref="D3:E3"/>
    <mergeCell ref="A121:A125"/>
    <mergeCell ref="A147:A151"/>
    <mergeCell ref="A143:F143"/>
    <mergeCell ref="A8:A39"/>
    <mergeCell ref="A41:A76"/>
    <mergeCell ref="D41:E41"/>
    <mergeCell ref="D19:E19"/>
    <mergeCell ref="D20:E20"/>
    <mergeCell ref="D21:E21"/>
    <mergeCell ref="B22:H22"/>
    <mergeCell ref="B31:H31"/>
    <mergeCell ref="D32:E32"/>
    <mergeCell ref="D33:E33"/>
    <mergeCell ref="D34:E34"/>
    <mergeCell ref="D35:E35"/>
    <mergeCell ref="D36:E36"/>
  </mergeCells>
  <dataValidations count="20">
    <dataValidation type="list" allowBlank="1" showInputMessage="1" showErrorMessage="1" sqref="F84 D79" xr:uid="{8FF653A3-46EF-4E58-B790-8B560DA42871}">
      <formula1>Transportation</formula1>
    </dataValidation>
    <dataValidation type="list" allowBlank="1" showInputMessage="1" showErrorMessage="1" sqref="D81" xr:uid="{BDD403BA-0241-4D68-B5D1-C03127B9BBA3}">
      <formula1>Transportation_2</formula1>
    </dataValidation>
    <dataValidation type="list" allowBlank="1" showInputMessage="1" showErrorMessage="1" sqref="D94" xr:uid="{A7BCEEF6-763C-4C34-836C-49DDACAAB6B4}">
      <formula1>Use_Trans</formula1>
    </dataValidation>
    <dataValidation type="list" allowBlank="1" showInputMessage="1" showErrorMessage="1" sqref="D11 D18" xr:uid="{F4539D5E-DE87-483C-B18F-4ADB25ADEB8A}">
      <formula1>"Primary, Secondary, Market Mix"</formula1>
    </dataValidation>
    <dataValidation type="decimal" operator="greaterThanOrEqual" allowBlank="1" showInputMessage="1" showErrorMessage="1" sqref="D30:F30 D28:F28 D26:F26 D24:F24 D12:D13 D19:D20" xr:uid="{66A12B0E-2347-438D-AE14-82B9FB1DA044}">
      <formula1>0</formula1>
    </dataValidation>
    <dataValidation type="decimal" allowBlank="1" showInputMessage="1" showErrorMessage="1" sqref="C160:C161 D14 D21" xr:uid="{18ACCDBB-9A32-4C11-A769-114F0A4B20EF}">
      <formula1>0</formula1>
      <formula2>1</formula2>
    </dataValidation>
    <dataValidation type="list" allowBlank="1" showInputMessage="1" showErrorMessage="1" sqref="D17" xr:uid="{A02D6260-E4F4-4F6F-BFF8-DC0FB747A843}">
      <formula1>INDIRECT("Form_"&amp;$D$15)</formula1>
    </dataValidation>
    <dataValidation type="list" allowBlank="1" showInputMessage="1" showErrorMessage="1" sqref="D16" xr:uid="{71F0F3E1-841A-4D7A-A371-6D507E863690}">
      <formula1>INDIRECT("Material_"&amp;$D$15)</formula1>
    </dataValidation>
    <dataValidation type="list" allowBlank="1" showInputMessage="1" showErrorMessage="1" sqref="D15" xr:uid="{78694565-B029-4E9D-9AA6-6B9363F1B843}">
      <formula1>INDIRECT("Second_"&amp;$D$8)</formula1>
    </dataValidation>
    <dataValidation type="list" allowBlank="1" showInputMessage="1" showErrorMessage="1" sqref="D10" xr:uid="{01D6FDD5-5B54-4E58-8CDC-37FA4A34EB88}">
      <formula1>INDIRECT("Form_"&amp;$D$8)</formula1>
    </dataValidation>
    <dataValidation type="list" allowBlank="1" showInputMessage="1" showErrorMessage="1" sqref="D9" xr:uid="{C7EB8CED-1021-4B47-9C68-2FF74E53793F}">
      <formula1>INDIRECT("Material_"&amp;$D$8)</formula1>
    </dataValidation>
    <dataValidation type="list" allowBlank="1" showInputMessage="1" showErrorMessage="1" sqref="D8" xr:uid="{16B84761-A157-4CF5-96C2-AB5C40F33EC4}">
      <formula1>"Select, Metal, Polymer, Fiber, Ceramic"</formula1>
    </dataValidation>
    <dataValidation type="list" allowBlank="1" showInputMessage="1" showErrorMessage="1" sqref="D41" xr:uid="{D51DAF22-D537-438B-A48E-601ADF928753}">
      <formula1>"Simple, Intermediate, Advanced"</formula1>
    </dataValidation>
    <dataValidation type="list" allowBlank="1" showInputMessage="1" showErrorMessage="1" sqref="D86" xr:uid="{DE433A3C-CFEF-4072-954F-B2A96C715708}">
      <formula1>TransportationB_2</formula1>
    </dataValidation>
    <dataValidation type="list" allowBlank="1" showInputMessage="1" showErrorMessage="1" sqref="D84:E84" xr:uid="{A63AA62E-2BAC-4E6E-A6E7-059B39DC413B}">
      <formula1>TransportationB</formula1>
    </dataValidation>
    <dataValidation type="list" allowBlank="1" showInputMessage="1" showErrorMessage="1" sqref="C129:C130" xr:uid="{BD5ACAAF-1117-43B4-9E41-2D48A59BFF79}">
      <formula1>unitSizeList</formula1>
    </dataValidation>
    <dataValidation type="list" allowBlank="1" showInputMessage="1" showErrorMessage="1" sqref="D78:E78" xr:uid="{815AF0A4-5383-430D-A3B2-8DA35EBC8FCE}">
      <formula1>"Simple, Intermediate"</formula1>
    </dataValidation>
    <dataValidation type="list" allowBlank="1" showInputMessage="1" showErrorMessage="1" sqref="D42:E42" xr:uid="{3123E646-F254-4BC1-BD2B-FC4603B5AB1A}">
      <formula1>"Select, Binder Jetting, Powder Bed Fusion, Vat Photopolymerization, Material Extrusion, Directed Energy Deposition, Material Jetting, Sheet Lamination"</formula1>
    </dataValidation>
    <dataValidation type="list" allowBlank="1" showInputMessage="1" showErrorMessage="1" sqref="D102:E102 D93:E93" xr:uid="{54076DFC-DD9B-418F-A13C-1E9A32830B8B}">
      <formula1>"Select, Yes, No"</formula1>
    </dataValidation>
    <dataValidation type="list" allowBlank="1" showInputMessage="1" showErrorMessage="1" sqref="D103:E103" xr:uid="{365984A0-3DFF-451B-A20E-0D65EB5817DE}">
      <formula1>"Select, Electric to Thermal, Electric to Mechanical, Fossil fuel to Thermal, Fossil fuel to Mechanical"</formula1>
    </dataValidation>
  </dataValidations>
  <pageMargins left="0.7" right="0.7" top="0.75" bottom="0.75" header="0.3" footer="0.3"/>
  <pageSetup scale="1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34" r:id="rId4" name="Check Box 10">
              <controlPr locked="0" defaultSize="0" autoFill="0" autoLine="0" autoPict="0">
                <anchor moveWithCells="1">
                  <from>
                    <xdr:col>5</xdr:col>
                    <xdr:colOff>95250</xdr:colOff>
                    <xdr:row>146</xdr:row>
                    <xdr:rowOff>76200</xdr:rowOff>
                  </from>
                  <to>
                    <xdr:col>5</xdr:col>
                    <xdr:colOff>450850</xdr:colOff>
                    <xdr:row>146</xdr:row>
                    <xdr:rowOff>450850</xdr:rowOff>
                  </to>
                </anchor>
              </controlPr>
            </control>
          </mc:Choice>
        </mc:AlternateContent>
        <mc:AlternateContent xmlns:mc="http://schemas.openxmlformats.org/markup-compatibility/2006">
          <mc:Choice Requires="x14">
            <control shapeId="103435" r:id="rId5" name="Check Box 11">
              <controlPr locked="0" defaultSize="0" autoFill="0" autoLine="0" autoPict="0">
                <anchor moveWithCells="1">
                  <from>
                    <xdr:col>5</xdr:col>
                    <xdr:colOff>95250</xdr:colOff>
                    <xdr:row>147</xdr:row>
                    <xdr:rowOff>76200</xdr:rowOff>
                  </from>
                  <to>
                    <xdr:col>5</xdr:col>
                    <xdr:colOff>450850</xdr:colOff>
                    <xdr:row>147</xdr:row>
                    <xdr:rowOff>450850</xdr:rowOff>
                  </to>
                </anchor>
              </controlPr>
            </control>
          </mc:Choice>
        </mc:AlternateContent>
        <mc:AlternateContent xmlns:mc="http://schemas.openxmlformats.org/markup-compatibility/2006">
          <mc:Choice Requires="x14">
            <control shapeId="103436" r:id="rId6" name="Check Box 12">
              <controlPr locked="0" defaultSize="0" autoFill="0" autoLine="0" autoPict="0">
                <anchor moveWithCells="1">
                  <from>
                    <xdr:col>5</xdr:col>
                    <xdr:colOff>95250</xdr:colOff>
                    <xdr:row>148</xdr:row>
                    <xdr:rowOff>76200</xdr:rowOff>
                  </from>
                  <to>
                    <xdr:col>5</xdr:col>
                    <xdr:colOff>450850</xdr:colOff>
                    <xdr:row>148</xdr:row>
                    <xdr:rowOff>450850</xdr:rowOff>
                  </to>
                </anchor>
              </controlPr>
            </control>
          </mc:Choice>
        </mc:AlternateContent>
        <mc:AlternateContent xmlns:mc="http://schemas.openxmlformats.org/markup-compatibility/2006">
          <mc:Choice Requires="x14">
            <control shapeId="103437" r:id="rId7" name="Check Box 13">
              <controlPr locked="0" defaultSize="0" autoFill="0" autoLine="0" autoPict="0">
                <anchor moveWithCells="1">
                  <from>
                    <xdr:col>5</xdr:col>
                    <xdr:colOff>95250</xdr:colOff>
                    <xdr:row>149</xdr:row>
                    <xdr:rowOff>76200</xdr:rowOff>
                  </from>
                  <to>
                    <xdr:col>5</xdr:col>
                    <xdr:colOff>450850</xdr:colOff>
                    <xdr:row>149</xdr:row>
                    <xdr:rowOff>450850</xdr:rowOff>
                  </to>
                </anchor>
              </controlPr>
            </control>
          </mc:Choice>
        </mc:AlternateContent>
        <mc:AlternateContent xmlns:mc="http://schemas.openxmlformats.org/markup-compatibility/2006">
          <mc:Choice Requires="x14">
            <control shapeId="103438" r:id="rId8" name="Check Box 14">
              <controlPr locked="0" defaultSize="0" autoFill="0" autoLine="0" autoPict="0">
                <anchor moveWithCells="1">
                  <from>
                    <xdr:col>5</xdr:col>
                    <xdr:colOff>95250</xdr:colOff>
                    <xdr:row>150</xdr:row>
                    <xdr:rowOff>76200</xdr:rowOff>
                  </from>
                  <to>
                    <xdr:col>5</xdr:col>
                    <xdr:colOff>450850</xdr:colOff>
                    <xdr:row>150</xdr:row>
                    <xdr:rowOff>450850</xdr:rowOff>
                  </to>
                </anchor>
              </controlPr>
            </control>
          </mc:Choice>
        </mc:AlternateContent>
        <mc:AlternateContent xmlns:mc="http://schemas.openxmlformats.org/markup-compatibility/2006">
          <mc:Choice Requires="x14">
            <control shapeId="103425" r:id="rId9" name="Check Box 1">
              <controlPr defaultSize="0" autoFill="0" autoLine="0" autoPict="0">
                <anchor moveWithCells="1">
                  <from>
                    <xdr:col>5</xdr:col>
                    <xdr:colOff>95250</xdr:colOff>
                    <xdr:row>120</xdr:row>
                    <xdr:rowOff>76200</xdr:rowOff>
                  </from>
                  <to>
                    <xdr:col>5</xdr:col>
                    <xdr:colOff>450850</xdr:colOff>
                    <xdr:row>120</xdr:row>
                    <xdr:rowOff>450850</xdr:rowOff>
                  </to>
                </anchor>
              </controlPr>
            </control>
          </mc:Choice>
        </mc:AlternateContent>
        <mc:AlternateContent xmlns:mc="http://schemas.openxmlformats.org/markup-compatibility/2006">
          <mc:Choice Requires="x14">
            <control shapeId="103426" r:id="rId10" name="Check Box 2">
              <controlPr defaultSize="0" autoFill="0" autoLine="0" autoPict="0">
                <anchor moveWithCells="1">
                  <from>
                    <xdr:col>5</xdr:col>
                    <xdr:colOff>95250</xdr:colOff>
                    <xdr:row>121</xdr:row>
                    <xdr:rowOff>76200</xdr:rowOff>
                  </from>
                  <to>
                    <xdr:col>5</xdr:col>
                    <xdr:colOff>450850</xdr:colOff>
                    <xdr:row>121</xdr:row>
                    <xdr:rowOff>450850</xdr:rowOff>
                  </to>
                </anchor>
              </controlPr>
            </control>
          </mc:Choice>
        </mc:AlternateContent>
        <mc:AlternateContent xmlns:mc="http://schemas.openxmlformats.org/markup-compatibility/2006">
          <mc:Choice Requires="x14">
            <control shapeId="103427" r:id="rId11" name="Check Box 3">
              <controlPr defaultSize="0" autoFill="0" autoLine="0" autoPict="0">
                <anchor moveWithCells="1">
                  <from>
                    <xdr:col>5</xdr:col>
                    <xdr:colOff>95250</xdr:colOff>
                    <xdr:row>122</xdr:row>
                    <xdr:rowOff>76200</xdr:rowOff>
                  </from>
                  <to>
                    <xdr:col>5</xdr:col>
                    <xdr:colOff>450850</xdr:colOff>
                    <xdr:row>122</xdr:row>
                    <xdr:rowOff>450850</xdr:rowOff>
                  </to>
                </anchor>
              </controlPr>
            </control>
          </mc:Choice>
        </mc:AlternateContent>
        <mc:AlternateContent xmlns:mc="http://schemas.openxmlformats.org/markup-compatibility/2006">
          <mc:Choice Requires="x14">
            <control shapeId="103428" r:id="rId12" name="Check Box 4">
              <controlPr defaultSize="0" autoFill="0" autoLine="0" autoPict="0">
                <anchor moveWithCells="1">
                  <from>
                    <xdr:col>5</xdr:col>
                    <xdr:colOff>95250</xdr:colOff>
                    <xdr:row>123</xdr:row>
                    <xdr:rowOff>76200</xdr:rowOff>
                  </from>
                  <to>
                    <xdr:col>5</xdr:col>
                    <xdr:colOff>450850</xdr:colOff>
                    <xdr:row>123</xdr:row>
                    <xdr:rowOff>450850</xdr:rowOff>
                  </to>
                </anchor>
              </controlPr>
            </control>
          </mc:Choice>
        </mc:AlternateContent>
        <mc:AlternateContent xmlns:mc="http://schemas.openxmlformats.org/markup-compatibility/2006">
          <mc:Choice Requires="x14">
            <control shapeId="103429" r:id="rId13" name="Check Box 5">
              <controlPr defaultSize="0" autoFill="0" autoLine="0" autoPict="0">
                <anchor moveWithCells="1">
                  <from>
                    <xdr:col>5</xdr:col>
                    <xdr:colOff>95250</xdr:colOff>
                    <xdr:row>124</xdr:row>
                    <xdr:rowOff>76200</xdr:rowOff>
                  </from>
                  <to>
                    <xdr:col>5</xdr:col>
                    <xdr:colOff>450850</xdr:colOff>
                    <xdr:row>124</xdr:row>
                    <xdr:rowOff>450850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9"/>
  </sheetPr>
  <dimension ref="A1:BE94"/>
  <sheetViews>
    <sheetView topLeftCell="B1" zoomScale="60" zoomScaleNormal="60" zoomScalePageLayoutView="10" workbookViewId="0">
      <selection activeCell="I31" sqref="I31:J31"/>
    </sheetView>
  </sheetViews>
  <sheetFormatPr defaultColWidth="0" defaultRowHeight="14.5" zeroHeight="1" x14ac:dyDescent="0.35"/>
  <cols>
    <col min="1" max="1" width="5.7265625" customWidth="1"/>
    <col min="2" max="2" width="30.7265625" customWidth="1"/>
    <col min="3" max="3" width="20.7265625" customWidth="1"/>
    <col min="4" max="5" width="25.7265625" customWidth="1"/>
    <col min="6" max="6" width="27.81640625" customWidth="1"/>
    <col min="7" max="7" width="25.7265625" customWidth="1"/>
    <col min="8" max="24" width="15.7265625" customWidth="1"/>
    <col min="25" max="41" width="15.7265625" style="102" customWidth="1"/>
    <col min="42" max="56" width="15.7265625" style="103" customWidth="1"/>
    <col min="57" max="57" width="15.7265625" style="103" hidden="1" customWidth="1"/>
    <col min="58" max="16384" width="9.1796875" style="103" hidden="1"/>
  </cols>
  <sheetData>
    <row r="1" spans="1:57" ht="90" customHeight="1" thickBot="1" x14ac:dyDescent="0.4">
      <c r="A1" s="205" t="s">
        <v>932</v>
      </c>
      <c r="B1" s="203"/>
      <c r="C1" s="205"/>
      <c r="D1" s="205"/>
      <c r="E1" s="205"/>
      <c r="F1" s="205"/>
      <c r="G1" s="205"/>
      <c r="H1" s="205"/>
      <c r="I1" s="200"/>
      <c r="J1" s="200"/>
      <c r="K1" s="200"/>
      <c r="L1" s="206"/>
      <c r="M1" s="206"/>
      <c r="N1" s="206"/>
      <c r="O1" s="206"/>
      <c r="P1" s="206"/>
      <c r="Q1" s="206"/>
      <c r="R1" s="206"/>
      <c r="S1" s="206"/>
      <c r="T1" s="206"/>
      <c r="U1" s="206"/>
      <c r="V1" s="206"/>
      <c r="W1" s="206"/>
      <c r="X1" s="206"/>
      <c r="Y1" s="74"/>
      <c r="Z1" s="74"/>
      <c r="AA1" s="74"/>
      <c r="AB1" s="74"/>
      <c r="AC1" s="74"/>
      <c r="AD1" s="74"/>
      <c r="AE1" s="74"/>
      <c r="AF1" s="74"/>
      <c r="AG1" s="74"/>
      <c r="AH1" s="74"/>
      <c r="AI1" s="74"/>
      <c r="AJ1" s="74"/>
      <c r="AK1" s="74"/>
      <c r="AL1" s="74"/>
      <c r="AM1" s="74"/>
      <c r="AN1" s="74"/>
      <c r="AO1" s="74"/>
      <c r="AP1" s="75"/>
      <c r="AQ1" s="75"/>
      <c r="AR1" s="75"/>
      <c r="AS1" s="75"/>
      <c r="AT1" s="75"/>
      <c r="AU1" s="75"/>
      <c r="AV1" s="75"/>
      <c r="AW1" s="75"/>
      <c r="AX1" s="75"/>
      <c r="AY1" s="75"/>
      <c r="AZ1" s="75"/>
      <c r="BA1" s="75"/>
      <c r="BB1" s="75"/>
      <c r="BC1" s="75"/>
      <c r="BD1" s="75"/>
      <c r="BE1" s="75"/>
    </row>
    <row r="2" spans="1:57" ht="30" customHeight="1" thickBot="1" x14ac:dyDescent="0.4">
      <c r="A2" s="25"/>
      <c r="B2" s="113" t="s">
        <v>203</v>
      </c>
      <c r="C2" s="501" t="str">
        <f>'Product or Project Details'!D3</f>
        <v>Airplane Bracket</v>
      </c>
      <c r="D2" s="501"/>
      <c r="E2" s="501"/>
      <c r="F2" s="114"/>
      <c r="G2" s="114"/>
      <c r="H2" s="114"/>
      <c r="I2" s="115"/>
      <c r="J2" s="79"/>
      <c r="K2" s="79"/>
      <c r="L2" s="79"/>
      <c r="M2" s="79"/>
      <c r="N2" s="79"/>
      <c r="O2" s="79"/>
      <c r="P2" s="79"/>
      <c r="Q2" s="25"/>
      <c r="R2" s="25"/>
      <c r="S2" s="25"/>
      <c r="T2" s="25"/>
      <c r="U2" s="25"/>
      <c r="V2" s="25"/>
      <c r="W2" s="25"/>
      <c r="X2" s="25"/>
      <c r="Y2" s="74"/>
      <c r="Z2" s="74"/>
      <c r="AA2" s="74"/>
      <c r="AB2" s="74"/>
      <c r="AC2" s="74"/>
      <c r="AD2" s="74"/>
      <c r="AE2" s="74"/>
      <c r="AF2" s="74"/>
      <c r="AG2" s="74"/>
      <c r="AH2" s="74"/>
      <c r="AI2" s="74"/>
      <c r="AJ2" s="74"/>
      <c r="AK2" s="74"/>
      <c r="AL2" s="74"/>
      <c r="AM2" s="74"/>
      <c r="AN2" s="74"/>
      <c r="AO2" s="74"/>
      <c r="AP2" s="75"/>
      <c r="AQ2" s="75"/>
      <c r="AR2" s="75"/>
      <c r="AS2" s="75"/>
      <c r="AT2" s="75"/>
      <c r="AU2" s="75"/>
      <c r="AV2" s="75"/>
      <c r="AW2" s="75"/>
      <c r="AX2" s="75"/>
      <c r="AY2" s="75"/>
      <c r="AZ2" s="75"/>
      <c r="BA2" s="75"/>
      <c r="BB2" s="75"/>
      <c r="BC2" s="75"/>
      <c r="BD2" s="75"/>
      <c r="BE2" s="75"/>
    </row>
    <row r="3" spans="1:57" ht="30" customHeight="1" thickBot="1" x14ac:dyDescent="0.4">
      <c r="A3" s="25"/>
      <c r="B3" s="105"/>
      <c r="C3" s="105"/>
      <c r="D3" s="105"/>
      <c r="E3" s="105"/>
      <c r="F3" s="116" t="b">
        <v>0</v>
      </c>
      <c r="G3" s="105"/>
      <c r="H3" s="105"/>
      <c r="I3" s="105"/>
      <c r="J3" s="25"/>
      <c r="K3" s="25"/>
      <c r="L3" s="25"/>
      <c r="M3" s="25"/>
      <c r="N3" s="25"/>
      <c r="O3" s="25"/>
      <c r="P3" s="25"/>
      <c r="Q3" s="25"/>
      <c r="R3" s="25"/>
      <c r="S3" s="25"/>
      <c r="T3" s="25"/>
      <c r="U3" s="25"/>
      <c r="V3" s="25"/>
      <c r="W3" s="25"/>
      <c r="X3" s="25"/>
      <c r="Y3" s="74"/>
      <c r="Z3" s="74"/>
      <c r="AA3" s="74"/>
      <c r="AB3" s="74"/>
      <c r="AC3" s="74"/>
      <c r="AD3" s="74"/>
      <c r="AE3" s="74"/>
      <c r="AF3" s="74"/>
      <c r="AG3" s="74"/>
      <c r="AH3" s="74"/>
      <c r="AI3" s="74"/>
      <c r="AJ3" s="74"/>
      <c r="AK3" s="74"/>
      <c r="AL3" s="74"/>
      <c r="AM3" s="74"/>
      <c r="AN3" s="74"/>
      <c r="AO3" s="74"/>
      <c r="AP3" s="75"/>
      <c r="AQ3" s="75"/>
      <c r="AR3" s="75"/>
      <c r="AS3" s="75"/>
      <c r="AT3" s="75"/>
      <c r="AU3" s="75"/>
      <c r="AV3" s="75"/>
      <c r="AW3" s="75"/>
      <c r="AX3" s="75"/>
      <c r="AY3" s="75"/>
      <c r="AZ3" s="75"/>
      <c r="BA3" s="75"/>
      <c r="BB3" s="75"/>
      <c r="BC3" s="75"/>
      <c r="BD3" s="75"/>
      <c r="BE3" s="75"/>
    </row>
    <row r="4" spans="1:57" ht="30" customHeight="1" thickBot="1" x14ac:dyDescent="0.4">
      <c r="A4" s="25"/>
      <c r="B4" s="117" t="s">
        <v>882</v>
      </c>
      <c r="C4" s="118"/>
      <c r="D4" s="105"/>
      <c r="E4" s="105"/>
      <c r="F4" s="119" t="s">
        <v>891</v>
      </c>
      <c r="G4" s="105"/>
      <c r="H4" s="105"/>
      <c r="I4" s="105"/>
      <c r="J4" s="25"/>
      <c r="K4" s="25"/>
      <c r="L4" s="25"/>
      <c r="M4" s="25"/>
      <c r="N4" s="25"/>
      <c r="O4" s="25"/>
      <c r="P4" s="25"/>
      <c r="Q4" s="25"/>
      <c r="R4" s="25"/>
      <c r="S4" s="25"/>
      <c r="T4" s="25"/>
      <c r="U4" s="25"/>
      <c r="V4" s="25"/>
      <c r="W4" s="25"/>
      <c r="X4" s="25"/>
      <c r="Y4" s="74"/>
      <c r="Z4" s="74"/>
      <c r="AA4" s="74"/>
      <c r="AB4" s="74"/>
      <c r="AC4" s="74"/>
      <c r="AD4" s="74"/>
      <c r="AE4" s="74"/>
      <c r="AF4" s="74"/>
      <c r="AG4" s="74"/>
      <c r="AH4" s="74"/>
      <c r="AI4" s="74"/>
      <c r="AJ4" s="74"/>
      <c r="AK4" s="74"/>
      <c r="AL4" s="74"/>
      <c r="AM4" s="74"/>
      <c r="AN4" s="74"/>
      <c r="AO4" s="74"/>
      <c r="AP4" s="75"/>
      <c r="AQ4" s="75"/>
      <c r="AR4" s="75"/>
      <c r="AS4" s="75"/>
      <c r="AT4" s="75"/>
      <c r="AU4" s="75"/>
      <c r="AV4" s="75"/>
      <c r="AW4" s="75"/>
      <c r="AX4" s="75"/>
      <c r="AY4" s="75"/>
      <c r="AZ4" s="75"/>
      <c r="BA4" s="75"/>
      <c r="BB4" s="75"/>
      <c r="BC4" s="75"/>
      <c r="BD4" s="75"/>
      <c r="BE4" s="75"/>
    </row>
    <row r="5" spans="1:57" ht="50.15" customHeight="1" thickBot="1" x14ac:dyDescent="0.4">
      <c r="A5" s="25"/>
      <c r="B5" s="513" t="s">
        <v>58</v>
      </c>
      <c r="C5" s="514"/>
      <c r="D5" s="506" t="str">
        <f>IF(scenarioChoice = "CM/AM", "Conventional Manufacturing (BL)", "Additive Manufacturing (Alt)")</f>
        <v>Conventional Manufacturing (BL)</v>
      </c>
      <c r="E5" s="507"/>
      <c r="F5" s="508" t="s">
        <v>745</v>
      </c>
      <c r="G5" s="509"/>
      <c r="H5" s="105"/>
      <c r="I5" s="105"/>
      <c r="J5" s="25"/>
      <c r="K5" s="25"/>
      <c r="L5" s="25"/>
      <c r="M5" s="25"/>
      <c r="N5" s="25"/>
      <c r="O5" s="25"/>
      <c r="P5" s="25"/>
      <c r="Q5" s="25"/>
      <c r="R5" s="25"/>
      <c r="S5" s="25"/>
      <c r="T5" s="25"/>
      <c r="U5" s="25"/>
      <c r="V5" s="25"/>
      <c r="W5" s="25"/>
      <c r="X5" s="25"/>
      <c r="Y5" s="74"/>
      <c r="Z5" s="74"/>
      <c r="AA5" s="74" t="s">
        <v>406</v>
      </c>
      <c r="AB5" s="74" t="s">
        <v>750</v>
      </c>
      <c r="AC5" s="74" t="s">
        <v>406</v>
      </c>
      <c r="AD5" s="74" t="s">
        <v>750</v>
      </c>
      <c r="AE5" s="74"/>
      <c r="AF5" s="74" t="s">
        <v>406</v>
      </c>
      <c r="AG5" s="74" t="s">
        <v>750</v>
      </c>
      <c r="AH5" s="74"/>
      <c r="AI5" s="74" t="s">
        <v>865</v>
      </c>
      <c r="AJ5" s="74"/>
      <c r="AK5" s="74"/>
      <c r="AL5" s="74"/>
      <c r="AM5" s="74"/>
      <c r="AN5" s="74"/>
      <c r="AO5" s="74"/>
      <c r="AP5" s="75"/>
      <c r="AQ5" s="75"/>
      <c r="AR5" s="75"/>
      <c r="AS5" s="75"/>
      <c r="AT5" s="75"/>
      <c r="AU5" s="75"/>
      <c r="AV5" s="75"/>
      <c r="AW5" s="75"/>
      <c r="AX5" s="75"/>
      <c r="AY5" s="75"/>
      <c r="AZ5" s="75"/>
      <c r="BA5" s="75"/>
      <c r="BB5" s="75"/>
      <c r="BC5" s="75"/>
      <c r="BD5" s="75"/>
      <c r="BE5" s="75"/>
    </row>
    <row r="6" spans="1:57" ht="50.15" customHeight="1" x14ac:dyDescent="0.35">
      <c r="A6" s="25"/>
      <c r="B6" s="515"/>
      <c r="C6" s="516"/>
      <c r="D6" s="120" t="str">
        <f>"Stage Energy ("&amp;'CM Calculator (BL)'!$C$104&amp;"/part)"</f>
        <v>Stage Energy (Btu/part)</v>
      </c>
      <c r="E6" s="120" t="str">
        <f>"Stage Carbon ("&amp;'CM Calculator (BL)'!$C$105 &amp; "/part)"</f>
        <v>Stage Carbon (kg/part)</v>
      </c>
      <c r="F6" s="120" t="str">
        <f>"Stage Energy ("&amp;'CM Calculator (BL)'!$C$104&amp;"/part)"</f>
        <v>Stage Energy (Btu/part)</v>
      </c>
      <c r="G6" s="120" t="str">
        <f>"Stage Carbon ("&amp;'CM Calculator (BL)'!$C$105 &amp; "/part)"</f>
        <v>Stage Carbon (kg/part)</v>
      </c>
      <c r="H6" s="181" t="s">
        <v>864</v>
      </c>
      <c r="I6" s="105"/>
      <c r="J6" s="25"/>
      <c r="K6" s="25"/>
      <c r="L6" s="25"/>
      <c r="M6" s="25"/>
      <c r="N6" s="25"/>
      <c r="O6" s="25"/>
      <c r="P6" s="25"/>
      <c r="Q6" s="25"/>
      <c r="R6" s="25"/>
      <c r="S6" s="25"/>
      <c r="T6" s="25"/>
      <c r="U6" s="25"/>
      <c r="V6" s="25"/>
      <c r="W6" s="25"/>
      <c r="X6" s="25"/>
      <c r="Y6" s="74"/>
      <c r="Z6" s="74"/>
      <c r="AA6" s="74" t="str">
        <f>D5</f>
        <v>Conventional Manufacturing (BL)</v>
      </c>
      <c r="AB6" s="74" t="str">
        <f>D5</f>
        <v>Conventional Manufacturing (BL)</v>
      </c>
      <c r="AC6" s="74" t="str">
        <f>F5</f>
        <v>Additive Manufacturing (Alternate)</v>
      </c>
      <c r="AD6" s="74" t="str">
        <f>F5</f>
        <v>Additive Manufacturing (Alternate)</v>
      </c>
      <c r="AE6" s="74"/>
      <c r="AF6" s="74" t="s">
        <v>880</v>
      </c>
      <c r="AG6" s="74" t="s">
        <v>881</v>
      </c>
      <c r="AH6" s="74"/>
      <c r="AI6" s="74" t="str">
        <f>AA6</f>
        <v>Conventional Manufacturing (BL)</v>
      </c>
      <c r="AJ6" s="74" t="str">
        <f>AB6</f>
        <v>Conventional Manufacturing (BL)</v>
      </c>
      <c r="AK6" s="74" t="str">
        <f>AC6</f>
        <v>Additive Manufacturing (Alternate)</v>
      </c>
      <c r="AL6" s="74" t="str">
        <f>AD6</f>
        <v>Additive Manufacturing (Alternate)</v>
      </c>
      <c r="AM6" s="74" t="s">
        <v>880</v>
      </c>
      <c r="AN6" s="74" t="s">
        <v>881</v>
      </c>
      <c r="AO6" s="74"/>
      <c r="AP6" s="75"/>
      <c r="AQ6" s="75"/>
      <c r="AR6" s="75"/>
      <c r="AS6" s="75"/>
      <c r="AT6" s="75"/>
      <c r="AU6" s="75"/>
      <c r="AV6" s="75"/>
      <c r="AW6" s="75"/>
      <c r="AX6" s="75"/>
      <c r="AY6" s="75"/>
      <c r="AZ6" s="75"/>
      <c r="BA6" s="75"/>
      <c r="BB6" s="75"/>
      <c r="BC6" s="75"/>
      <c r="BD6" s="75"/>
      <c r="BE6" s="75"/>
    </row>
    <row r="7" spans="1:57" ht="30" customHeight="1" x14ac:dyDescent="0.35">
      <c r="A7" s="25"/>
      <c r="B7" s="517" t="s">
        <v>879</v>
      </c>
      <c r="C7" s="518"/>
      <c r="D7" s="133">
        <f>IF(scenarioChoice = "CM/AM",'CM Calculator (BL)'!D96, 'AM Calculator (BL)'!D39)</f>
        <v>2337672.0086836056</v>
      </c>
      <c r="E7" s="121">
        <f>IF(scenarioChoice = "CM/AM",'CM Calculator (BL)'!E96, 'AM Calculator (BL)'!E39)</f>
        <v>162.77090836516044</v>
      </c>
      <c r="F7" s="133">
        <f>'AM Calculator (Alt)'!D147*IF($F$3,'AM Calculator (Alt)'!$E$145,1)</f>
        <v>371877.74224473874</v>
      </c>
      <c r="G7" s="122">
        <f>'AM Calculator (Alt)'!E147*IF($F$3,'AM Calculator (Alt)'!$E$145,1)</f>
        <v>27.090382923134143</v>
      </c>
      <c r="H7" s="123"/>
      <c r="I7" s="105"/>
      <c r="J7" s="25"/>
      <c r="K7" s="25"/>
      <c r="L7" s="25"/>
      <c r="M7" s="25"/>
      <c r="N7" s="25"/>
      <c r="O7" s="25"/>
      <c r="P7" s="25"/>
      <c r="Q7" s="25"/>
      <c r="R7" s="25"/>
      <c r="S7" s="25"/>
      <c r="T7" s="25"/>
      <c r="U7" s="25"/>
      <c r="V7" s="25"/>
      <c r="W7" s="25"/>
      <c r="X7" s="25"/>
      <c r="Y7" s="78" t="str">
        <f>B7</f>
        <v xml:space="preserve">Material </v>
      </c>
      <c r="Z7" s="96" t="b">
        <v>1</v>
      </c>
      <c r="AA7" s="98">
        <f xml:space="preserve"> D7*Z7</f>
        <v>2337672.0086836056</v>
      </c>
      <c r="AB7" s="98">
        <f xml:space="preserve"> E7*Z7</f>
        <v>162.77090836516044</v>
      </c>
      <c r="AC7" s="98">
        <f>F7*Z7</f>
        <v>371877.74224473874</v>
      </c>
      <c r="AD7" s="98">
        <f>G7*Z7</f>
        <v>27.090382923134143</v>
      </c>
      <c r="AE7" s="98"/>
      <c r="AF7" s="98">
        <f t="shared" ref="AF7:AG11" si="0">AA7-AC7</f>
        <v>1965794.266438867</v>
      </c>
      <c r="AG7" s="98">
        <f t="shared" si="0"/>
        <v>135.68052544202629</v>
      </c>
      <c r="AH7" s="98"/>
      <c r="AI7" s="98">
        <f t="shared" ref="AI7:AL11" si="1">IF(AA7&lt;0,"",AA7)</f>
        <v>2337672.0086836056</v>
      </c>
      <c r="AJ7" s="98">
        <f t="shared" si="1"/>
        <v>162.77090836516044</v>
      </c>
      <c r="AK7" s="98">
        <f t="shared" si="1"/>
        <v>371877.74224473874</v>
      </c>
      <c r="AL7" s="98">
        <f t="shared" si="1"/>
        <v>27.090382923134143</v>
      </c>
      <c r="AM7" s="98">
        <f t="shared" ref="AM7:AN11" si="2">IF(AF7&lt;0,"",AF7)</f>
        <v>1965794.266438867</v>
      </c>
      <c r="AN7" s="98">
        <f t="shared" si="2"/>
        <v>135.68052544202629</v>
      </c>
      <c r="AO7" s="74"/>
      <c r="AP7" s="75"/>
      <c r="AQ7" s="75"/>
      <c r="AR7" s="75"/>
      <c r="AS7" s="75"/>
      <c r="AT7" s="75"/>
      <c r="AU7" s="75"/>
      <c r="AV7" s="75"/>
      <c r="AW7" s="75"/>
      <c r="AX7" s="75"/>
      <c r="AY7" s="75"/>
      <c r="AZ7" s="75"/>
      <c r="BA7" s="75"/>
      <c r="BB7" s="75"/>
      <c r="BC7" s="75"/>
      <c r="BD7" s="75"/>
      <c r="BE7" s="75"/>
    </row>
    <row r="8" spans="1:57" ht="30" customHeight="1" x14ac:dyDescent="0.35">
      <c r="A8" s="25"/>
      <c r="B8" s="519" t="s">
        <v>206</v>
      </c>
      <c r="C8" s="520"/>
      <c r="D8" s="133">
        <f>IF(scenarioChoice = "CM/AM",'CM Calculator (BL)'!D97, 'AM Calculator (BL)'!D40)</f>
        <v>800009.65500000003</v>
      </c>
      <c r="E8" s="121">
        <f>IF(scenarioChoice = "CM/AM",'CM Calculator (BL)'!E97, 'AM Calculator (BL)'!E40)</f>
        <v>87.235078274853933</v>
      </c>
      <c r="F8" s="133">
        <f>'AM Calculator (Alt)'!D148*IF($F$3,'AM Calculator (Alt)'!$E$145,1)</f>
        <v>745359.39267916675</v>
      </c>
      <c r="G8" s="122">
        <f>'AM Calculator (Alt)'!E148*IF($F$3,'AM Calculator (Alt)'!$E$145,1)</f>
        <v>81.440291392499987</v>
      </c>
      <c r="H8" s="123"/>
      <c r="I8" s="105"/>
      <c r="J8" s="25"/>
      <c r="K8" s="25"/>
      <c r="L8" s="25"/>
      <c r="M8" s="25"/>
      <c r="N8" s="25"/>
      <c r="O8" s="25"/>
      <c r="P8" s="25"/>
      <c r="Q8" s="25"/>
      <c r="R8" s="25"/>
      <c r="S8" s="25"/>
      <c r="T8" s="25"/>
      <c r="U8" s="25"/>
      <c r="V8" s="25"/>
      <c r="W8" s="25"/>
      <c r="X8" s="25"/>
      <c r="Y8" s="78" t="str">
        <f t="shared" ref="Y8:Y11" si="3">B8</f>
        <v>Manufacturing</v>
      </c>
      <c r="Z8" s="96" t="b">
        <v>1</v>
      </c>
      <c r="AA8" s="98">
        <f xml:space="preserve"> D8*Z8</f>
        <v>800009.65500000003</v>
      </c>
      <c r="AB8" s="98">
        <f xml:space="preserve"> E8*Z8</f>
        <v>87.235078274853933</v>
      </c>
      <c r="AC8" s="98">
        <f>F8*Z8</f>
        <v>745359.39267916675</v>
      </c>
      <c r="AD8" s="98">
        <f>G8*Z8</f>
        <v>81.440291392499987</v>
      </c>
      <c r="AE8" s="98"/>
      <c r="AF8" s="98">
        <f t="shared" si="0"/>
        <v>54650.262320833281</v>
      </c>
      <c r="AG8" s="98">
        <f t="shared" si="0"/>
        <v>5.7947868823539466</v>
      </c>
      <c r="AH8" s="98"/>
      <c r="AI8" s="98">
        <f t="shared" si="1"/>
        <v>800009.65500000003</v>
      </c>
      <c r="AJ8" s="98">
        <f t="shared" si="1"/>
        <v>87.235078274853933</v>
      </c>
      <c r="AK8" s="98">
        <f t="shared" si="1"/>
        <v>745359.39267916675</v>
      </c>
      <c r="AL8" s="98">
        <f t="shared" si="1"/>
        <v>81.440291392499987</v>
      </c>
      <c r="AM8" s="98">
        <f t="shared" si="2"/>
        <v>54650.262320833281</v>
      </c>
      <c r="AN8" s="98">
        <f t="shared" si="2"/>
        <v>5.7947868823539466</v>
      </c>
      <c r="AO8" s="74"/>
      <c r="AP8" s="75"/>
      <c r="AQ8" s="75"/>
      <c r="AR8" s="75"/>
      <c r="AS8" s="75"/>
      <c r="AT8" s="75"/>
      <c r="AU8" s="75"/>
      <c r="AV8" s="75"/>
      <c r="AW8" s="75"/>
      <c r="AX8" s="75"/>
      <c r="AY8" s="75"/>
      <c r="AZ8" s="75"/>
      <c r="BA8" s="75"/>
      <c r="BB8" s="75"/>
      <c r="BC8" s="75"/>
      <c r="BD8" s="75"/>
      <c r="BE8" s="75"/>
    </row>
    <row r="9" spans="1:57" ht="30" customHeight="1" x14ac:dyDescent="0.35">
      <c r="A9" s="25"/>
      <c r="B9" s="521" t="s">
        <v>202</v>
      </c>
      <c r="C9" s="522"/>
      <c r="D9" s="133">
        <f>IF(scenarioChoice = "CM/AM",'CM Calculator (BL)'!D98, 'AM Calculator (BL)'!D41)</f>
        <v>40462.615364178804</v>
      </c>
      <c r="E9" s="121">
        <f>IF(scenarioChoice = "CM/AM",'CM Calculator (BL)'!E98, 'AM Calculator (BL)'!E41)</f>
        <v>1.2454629992038873</v>
      </c>
      <c r="F9" s="133">
        <f>'AM Calculator (Alt)'!D149*IF($F$3,'AM Calculator (Alt)'!$E$145,1)</f>
        <v>14161.915377462581</v>
      </c>
      <c r="G9" s="122">
        <f>'AM Calculator (Alt)'!E149*IF($F$3,'AM Calculator (Alt)'!$E$145,1)</f>
        <v>0.43591204972136055</v>
      </c>
      <c r="H9" s="123"/>
      <c r="I9" s="105"/>
      <c r="J9" s="25"/>
      <c r="K9" s="25"/>
      <c r="L9" s="25"/>
      <c r="M9" s="25"/>
      <c r="N9" s="25"/>
      <c r="O9" s="25"/>
      <c r="P9" s="25"/>
      <c r="Q9" s="25"/>
      <c r="R9" s="25"/>
      <c r="S9" s="25"/>
      <c r="T9" s="25"/>
      <c r="U9" s="25"/>
      <c r="V9" s="25"/>
      <c r="W9" s="25"/>
      <c r="X9" s="25"/>
      <c r="Y9" s="78" t="str">
        <f t="shared" si="3"/>
        <v>Freight and Distribution</v>
      </c>
      <c r="Z9" s="96" t="b">
        <v>1</v>
      </c>
      <c r="AA9" s="98">
        <f xml:space="preserve"> D9*Z9</f>
        <v>40462.615364178804</v>
      </c>
      <c r="AB9" s="98">
        <f xml:space="preserve"> E9*Z9</f>
        <v>1.2454629992038873</v>
      </c>
      <c r="AC9" s="98">
        <f>F9*Z9</f>
        <v>14161.915377462581</v>
      </c>
      <c r="AD9" s="98">
        <f>G9*Z9</f>
        <v>0.43591204972136055</v>
      </c>
      <c r="AE9" s="98"/>
      <c r="AF9" s="98">
        <f t="shared" si="0"/>
        <v>26300.699986716223</v>
      </c>
      <c r="AG9" s="98">
        <f t="shared" si="0"/>
        <v>0.8095509494825267</v>
      </c>
      <c r="AH9" s="98"/>
      <c r="AI9" s="98">
        <f t="shared" si="1"/>
        <v>40462.615364178804</v>
      </c>
      <c r="AJ9" s="98">
        <f t="shared" si="1"/>
        <v>1.2454629992038873</v>
      </c>
      <c r="AK9" s="98">
        <f t="shared" si="1"/>
        <v>14161.915377462581</v>
      </c>
      <c r="AL9" s="98">
        <f t="shared" si="1"/>
        <v>0.43591204972136055</v>
      </c>
      <c r="AM9" s="98">
        <f t="shared" si="2"/>
        <v>26300.699986716223</v>
      </c>
      <c r="AN9" s="98">
        <f t="shared" si="2"/>
        <v>0.8095509494825267</v>
      </c>
      <c r="AO9" s="74"/>
      <c r="AP9" s="75"/>
      <c r="AQ9" s="75"/>
      <c r="AR9" s="75"/>
      <c r="AS9" s="75"/>
      <c r="AT9" s="75"/>
      <c r="AU9" s="75"/>
      <c r="AV9" s="75"/>
      <c r="AW9" s="75"/>
      <c r="AX9" s="75"/>
      <c r="AY9" s="75"/>
      <c r="AZ9" s="75"/>
      <c r="BA9" s="75"/>
      <c r="BB9" s="75"/>
      <c r="BC9" s="75"/>
      <c r="BD9" s="75"/>
      <c r="BE9" s="75"/>
    </row>
    <row r="10" spans="1:57" ht="30" customHeight="1" x14ac:dyDescent="0.35">
      <c r="A10" s="25"/>
      <c r="B10" s="523" t="s">
        <v>76</v>
      </c>
      <c r="C10" s="524"/>
      <c r="D10" s="133">
        <f>IF(scenarioChoice = "CM/AM",'CM Calculator (BL)'!D99, 'AM Calculator (BL)'!D42)</f>
        <v>99583758.586800039</v>
      </c>
      <c r="E10" s="133">
        <f>IF(scenarioChoice = "CM/AM",'CM Calculator (BL)'!E99, 'AM Calculator (BL)'!E42)</f>
        <v>7215.5743232985378</v>
      </c>
      <c r="F10" s="133">
        <f>'AM Calculator (Alt)'!D150*IF($F$3,'AM Calculator (Alt)'!$E$145,1)</f>
        <v>34854315.505380012</v>
      </c>
      <c r="G10" s="183">
        <f>'AM Calculator (Alt)'!E150*IF($F$3,'AM Calculator (Alt)'!$E$145,1)</f>
        <v>2525.451013154488</v>
      </c>
      <c r="H10" s="123"/>
      <c r="I10" s="105"/>
      <c r="J10" s="25"/>
      <c r="K10" s="25"/>
      <c r="L10" s="25"/>
      <c r="M10" s="25"/>
      <c r="N10" s="25"/>
      <c r="O10" s="25"/>
      <c r="P10" s="25"/>
      <c r="Q10" s="25"/>
      <c r="R10" s="25"/>
      <c r="S10" s="25"/>
      <c r="T10" s="25"/>
      <c r="U10" s="25"/>
      <c r="V10" s="25"/>
      <c r="W10" s="25"/>
      <c r="X10" s="25"/>
      <c r="Y10" s="78" t="str">
        <f t="shared" si="3"/>
        <v>Use Phase</v>
      </c>
      <c r="Z10" s="96" t="b">
        <v>0</v>
      </c>
      <c r="AA10" s="98">
        <f xml:space="preserve"> D10*Z10</f>
        <v>0</v>
      </c>
      <c r="AB10" s="98">
        <f xml:space="preserve"> E10*Z10</f>
        <v>0</v>
      </c>
      <c r="AC10" s="98">
        <f>F10*Z10</f>
        <v>0</v>
      </c>
      <c r="AD10" s="98">
        <f>G10*Z10</f>
        <v>0</v>
      </c>
      <c r="AE10" s="98"/>
      <c r="AF10" s="98">
        <f t="shared" si="0"/>
        <v>0</v>
      </c>
      <c r="AG10" s="98">
        <f t="shared" si="0"/>
        <v>0</v>
      </c>
      <c r="AH10" s="98"/>
      <c r="AI10" s="98">
        <f t="shared" si="1"/>
        <v>0</v>
      </c>
      <c r="AJ10" s="98">
        <f t="shared" si="1"/>
        <v>0</v>
      </c>
      <c r="AK10" s="98">
        <f t="shared" si="1"/>
        <v>0</v>
      </c>
      <c r="AL10" s="98">
        <f t="shared" si="1"/>
        <v>0</v>
      </c>
      <c r="AM10" s="98">
        <f t="shared" si="2"/>
        <v>0</v>
      </c>
      <c r="AN10" s="98">
        <f t="shared" si="2"/>
        <v>0</v>
      </c>
      <c r="AO10" s="74"/>
      <c r="AP10" s="75"/>
      <c r="AQ10" s="75"/>
      <c r="AR10" s="75"/>
      <c r="AS10" s="75"/>
      <c r="AT10" s="75"/>
      <c r="AU10" s="75"/>
      <c r="AV10" s="75"/>
      <c r="AW10" s="75"/>
      <c r="AX10" s="75"/>
      <c r="AY10" s="75"/>
      <c r="AZ10" s="75"/>
      <c r="BA10" s="75"/>
      <c r="BB10" s="75"/>
      <c r="BC10" s="75"/>
      <c r="BD10" s="75"/>
      <c r="BE10" s="75"/>
    </row>
    <row r="11" spans="1:57" ht="30" customHeight="1" thickBot="1" x14ac:dyDescent="0.4">
      <c r="A11" s="25"/>
      <c r="B11" s="525" t="s">
        <v>65</v>
      </c>
      <c r="C11" s="526"/>
      <c r="D11" s="182">
        <f>IF(scenarioChoice = "CM/AM",'CM Calculator (BL)'!D100, 'AM Calculator (BL)'!D43)</f>
        <v>-515071.94563820481</v>
      </c>
      <c r="E11" s="124">
        <f>IF(scenarioChoice = "CM/AM",'CM Calculator (BL)'!E100, 'AM Calculator (BL)'!E43)</f>
        <v>-37.701220919704987</v>
      </c>
      <c r="F11" s="182">
        <f>'AM Calculator (Alt)'!D151*IF($F$3,'AM Calculator (Alt)'!$E$145,1)</f>
        <v>-154706.89266386066</v>
      </c>
      <c r="G11" s="125">
        <f>'AM Calculator (Alt)'!E151*IF($F$3,'AM Calculator (Alt)'!$E$145,1)</f>
        <v>-11.612364225671545</v>
      </c>
      <c r="H11" s="126"/>
      <c r="I11" s="105"/>
      <c r="J11" s="25"/>
      <c r="K11" s="25"/>
      <c r="L11" s="25"/>
      <c r="M11" s="25"/>
      <c r="N11" s="25"/>
      <c r="O11" s="25"/>
      <c r="P11" s="25"/>
      <c r="Q11" s="25"/>
      <c r="R11" s="25"/>
      <c r="S11" s="25"/>
      <c r="T11" s="25"/>
      <c r="U11" s="25"/>
      <c r="V11" s="25"/>
      <c r="W11" s="25"/>
      <c r="X11" s="25"/>
      <c r="Y11" s="78" t="str">
        <f t="shared" si="3"/>
        <v>Disposal</v>
      </c>
      <c r="Z11" s="96" t="b">
        <v>0</v>
      </c>
      <c r="AA11" s="98">
        <f xml:space="preserve"> D11*Z11</f>
        <v>0</v>
      </c>
      <c r="AB11" s="98">
        <f xml:space="preserve"> E11*Z11</f>
        <v>0</v>
      </c>
      <c r="AC11" s="98">
        <f>F11*Z11</f>
        <v>0</v>
      </c>
      <c r="AD11" s="98">
        <f>G11*Z11</f>
        <v>0</v>
      </c>
      <c r="AE11" s="98"/>
      <c r="AF11" s="98">
        <f t="shared" si="0"/>
        <v>0</v>
      </c>
      <c r="AG11" s="98">
        <f t="shared" si="0"/>
        <v>0</v>
      </c>
      <c r="AH11" s="98"/>
      <c r="AI11" s="98">
        <f t="shared" si="1"/>
        <v>0</v>
      </c>
      <c r="AJ11" s="98">
        <f t="shared" si="1"/>
        <v>0</v>
      </c>
      <c r="AK11" s="98">
        <f t="shared" si="1"/>
        <v>0</v>
      </c>
      <c r="AL11" s="98">
        <f t="shared" si="1"/>
        <v>0</v>
      </c>
      <c r="AM11" s="98">
        <f t="shared" si="2"/>
        <v>0</v>
      </c>
      <c r="AN11" s="98">
        <f t="shared" si="2"/>
        <v>0</v>
      </c>
      <c r="AO11" s="74"/>
      <c r="AP11" s="75"/>
      <c r="AQ11" s="75"/>
      <c r="AR11" s="75"/>
      <c r="AS11" s="75"/>
      <c r="AT11" s="75"/>
      <c r="AU11" s="75"/>
      <c r="AV11" s="75"/>
      <c r="AW11" s="75"/>
      <c r="AX11" s="75"/>
      <c r="AY11" s="75"/>
      <c r="AZ11" s="75"/>
      <c r="BA11" s="75"/>
      <c r="BB11" s="75"/>
      <c r="BC11" s="75"/>
      <c r="BD11" s="75"/>
      <c r="BE11" s="75"/>
    </row>
    <row r="12" spans="1:57" ht="30" customHeight="1" thickBot="1" x14ac:dyDescent="0.4">
      <c r="B12" s="527" t="s">
        <v>204</v>
      </c>
      <c r="C12" s="528"/>
      <c r="D12" s="127">
        <f>SUM(D7:D11)</f>
        <v>102246830.92020962</v>
      </c>
      <c r="E12" s="127">
        <f>SUM(E7:E11)</f>
        <v>7429.1245520180519</v>
      </c>
      <c r="F12" s="128">
        <f>SUM(F7:F11)</f>
        <v>35831007.663017519</v>
      </c>
      <c r="G12" s="128">
        <f>SUM(G7:G11)</f>
        <v>2622.8052352941718</v>
      </c>
      <c r="H12" s="105"/>
      <c r="I12" s="105"/>
      <c r="J12" s="25"/>
      <c r="K12" s="25"/>
      <c r="L12" s="25"/>
      <c r="M12" s="25"/>
      <c r="N12" s="25"/>
      <c r="O12" s="25"/>
      <c r="P12" s="25"/>
      <c r="Q12" s="25"/>
      <c r="R12" s="25"/>
      <c r="S12" s="25"/>
      <c r="T12" s="25"/>
      <c r="U12" s="25"/>
      <c r="V12" s="25"/>
      <c r="W12" s="25"/>
      <c r="X12" s="25"/>
      <c r="Y12" s="78" t="s">
        <v>866</v>
      </c>
      <c r="Z12" s="96"/>
      <c r="AA12" s="98">
        <f>SUM(AA7:AA11)</f>
        <v>3178144.2790477844</v>
      </c>
      <c r="AB12" s="98">
        <f>SUM(AB7:AB11)</f>
        <v>251.25144963921827</v>
      </c>
      <c r="AC12" s="98">
        <f>SUM(AC7:AC11)</f>
        <v>1131399.0503013681</v>
      </c>
      <c r="AD12" s="98">
        <f>SUM(AD7:AD11)</f>
        <v>108.9665863653555</v>
      </c>
      <c r="AE12" s="98"/>
      <c r="AF12" s="98">
        <f>SUM(AF7:AF11)</f>
        <v>2046745.2287464165</v>
      </c>
      <c r="AG12" s="98">
        <f>SUM(AG7:AG11)</f>
        <v>142.28486327386275</v>
      </c>
      <c r="AH12" s="98"/>
      <c r="AI12" s="98">
        <f>IF(AA12&lt;0,0,AA12)</f>
        <v>3178144.2790477844</v>
      </c>
      <c r="AJ12" s="98">
        <f>IF(AB12&lt;0,0,AB12)</f>
        <v>251.25144963921827</v>
      </c>
      <c r="AK12" s="98"/>
      <c r="AL12" s="98"/>
      <c r="AM12" s="98"/>
      <c r="AN12" s="98"/>
      <c r="AO12" s="74"/>
      <c r="AP12" s="75"/>
      <c r="AQ12" s="75"/>
      <c r="AR12" s="75"/>
      <c r="AS12" s="75"/>
      <c r="AT12" s="75"/>
      <c r="AU12" s="75"/>
      <c r="AV12" s="75"/>
      <c r="AW12" s="75"/>
      <c r="AX12" s="75"/>
      <c r="AY12" s="75"/>
      <c r="AZ12" s="75"/>
      <c r="BA12" s="75"/>
      <c r="BB12" s="75"/>
      <c r="BC12" s="75"/>
      <c r="BD12" s="75"/>
      <c r="BE12" s="75"/>
    </row>
    <row r="13" spans="1:57" ht="43.5" customHeight="1" thickBot="1" x14ac:dyDescent="0.4">
      <c r="A13" s="25"/>
      <c r="B13" s="510" t="s">
        <v>288</v>
      </c>
      <c r="C13" s="511"/>
      <c r="D13" s="511"/>
      <c r="E13" s="511"/>
      <c r="F13" s="511"/>
      <c r="G13" s="512"/>
      <c r="H13" s="105"/>
      <c r="I13" s="105"/>
      <c r="J13" s="25"/>
      <c r="K13" s="25"/>
      <c r="L13" s="25"/>
      <c r="M13" s="25"/>
      <c r="N13" s="25"/>
      <c r="O13" s="25"/>
      <c r="P13" s="25"/>
      <c r="Q13" s="25"/>
      <c r="R13" s="25"/>
      <c r="S13" s="25"/>
      <c r="T13" s="25"/>
      <c r="U13" s="25"/>
      <c r="V13" s="25"/>
      <c r="W13" s="25"/>
      <c r="X13" s="25"/>
      <c r="Y13" s="74"/>
      <c r="Z13" s="74"/>
      <c r="AA13" s="74"/>
      <c r="AB13" s="74"/>
      <c r="AC13" s="74"/>
      <c r="AD13" s="74"/>
      <c r="AE13" s="74"/>
      <c r="AF13" s="74"/>
      <c r="AG13" s="74"/>
      <c r="AH13" s="74"/>
      <c r="AI13" s="74"/>
      <c r="AJ13" s="74"/>
      <c r="AK13" s="74"/>
      <c r="AL13" s="74"/>
      <c r="AM13" s="74"/>
      <c r="AN13" s="74"/>
      <c r="AO13" s="74"/>
      <c r="AP13" s="75"/>
      <c r="AQ13" s="75"/>
      <c r="AR13" s="75"/>
      <c r="AS13" s="75"/>
      <c r="AT13" s="75"/>
      <c r="AU13" s="75"/>
      <c r="AV13" s="75"/>
      <c r="AW13" s="75"/>
      <c r="AX13" s="75"/>
      <c r="AY13" s="75"/>
      <c r="AZ13" s="75"/>
      <c r="BA13" s="75"/>
      <c r="BB13" s="75"/>
      <c r="BC13" s="75"/>
      <c r="BD13" s="75"/>
      <c r="BE13" s="75"/>
    </row>
    <row r="14" spans="1:57" ht="30" customHeight="1" x14ac:dyDescent="0.35">
      <c r="A14" s="25"/>
      <c r="B14" s="105"/>
      <c r="C14" s="105"/>
      <c r="D14" s="105"/>
      <c r="E14" s="105"/>
      <c r="F14" s="105"/>
      <c r="G14" s="105"/>
      <c r="H14" s="105"/>
      <c r="I14" s="105"/>
      <c r="J14" s="25"/>
      <c r="K14" s="25"/>
      <c r="L14" s="25"/>
      <c r="M14" s="25"/>
      <c r="N14" s="25"/>
      <c r="O14" s="25"/>
      <c r="P14" s="25"/>
      <c r="Q14" s="25"/>
      <c r="R14" s="25"/>
      <c r="S14" s="25"/>
      <c r="T14" s="25"/>
      <c r="U14" s="25"/>
      <c r="V14" s="25"/>
      <c r="W14" s="25"/>
      <c r="X14" s="25"/>
      <c r="Y14" s="74"/>
      <c r="Z14" s="74"/>
      <c r="AA14" s="74"/>
      <c r="AB14" s="74"/>
      <c r="AC14" s="74"/>
      <c r="AD14" s="74"/>
      <c r="AE14" s="74"/>
      <c r="AF14" s="74"/>
      <c r="AG14" s="74"/>
      <c r="AH14" s="74"/>
      <c r="AI14" s="74"/>
      <c r="AJ14" s="74"/>
      <c r="AK14" s="74"/>
      <c r="AL14" s="74"/>
      <c r="AM14" s="74"/>
      <c r="AN14" s="74"/>
      <c r="AO14" s="74"/>
      <c r="AP14" s="75"/>
      <c r="AQ14" s="75"/>
      <c r="AR14" s="75"/>
      <c r="AS14" s="75"/>
      <c r="AT14" s="75"/>
      <c r="AU14" s="75"/>
      <c r="AV14" s="75"/>
      <c r="AW14" s="75"/>
      <c r="AX14" s="75"/>
      <c r="AY14" s="75"/>
      <c r="AZ14" s="75"/>
      <c r="BA14" s="75"/>
      <c r="BB14" s="75"/>
      <c r="BC14" s="75"/>
      <c r="BD14" s="75"/>
      <c r="BE14" s="75"/>
    </row>
    <row r="15" spans="1:57" ht="30" customHeight="1" x14ac:dyDescent="0.35">
      <c r="A15" s="25"/>
      <c r="B15" s="105"/>
      <c r="C15" s="105"/>
      <c r="D15" s="105"/>
      <c r="E15" s="105"/>
      <c r="F15" s="105"/>
      <c r="G15" s="105"/>
      <c r="H15" s="105"/>
      <c r="I15" s="105"/>
      <c r="J15" s="25"/>
      <c r="K15" s="25"/>
      <c r="L15" s="25"/>
      <c r="M15" s="25"/>
      <c r="N15" s="25"/>
      <c r="O15" s="25"/>
      <c r="P15" s="25"/>
      <c r="Q15" s="25"/>
      <c r="R15" s="25"/>
      <c r="S15" s="25"/>
      <c r="T15" s="25"/>
      <c r="U15" s="25"/>
      <c r="V15" s="25"/>
      <c r="W15" s="25"/>
      <c r="X15" s="25"/>
      <c r="Y15" s="78" t="str">
        <f>B7</f>
        <v xml:space="preserve">Material </v>
      </c>
      <c r="Z15" s="74"/>
      <c r="AA15" s="76">
        <f>IF(AA7&gt;0,AA7,0)/AA$21</f>
        <v>0.73554621924968244</v>
      </c>
      <c r="AB15" s="76">
        <f t="shared" ref="AB15:AD15" si="4">IF(AB7&gt;0,AB7,0)/AB$21</f>
        <v>0.64784067355189201</v>
      </c>
      <c r="AC15" s="76">
        <f t="shared" si="4"/>
        <v>0.32868839879765016</v>
      </c>
      <c r="AD15" s="76">
        <f t="shared" si="4"/>
        <v>0.24861183438657464</v>
      </c>
      <c r="AE15" s="74"/>
      <c r="AF15" s="74"/>
      <c r="AG15" s="74"/>
      <c r="AH15" s="74"/>
      <c r="AI15" s="74"/>
      <c r="AJ15" s="74"/>
      <c r="AK15" s="74"/>
      <c r="AL15" s="74"/>
      <c r="AM15" s="74"/>
      <c r="AN15" s="74"/>
      <c r="AO15" s="74"/>
      <c r="AP15" s="75"/>
      <c r="AQ15" s="75"/>
      <c r="AR15" s="75"/>
      <c r="AS15" s="75"/>
      <c r="AT15" s="75"/>
      <c r="AU15" s="75"/>
      <c r="AV15" s="75"/>
      <c r="AW15" s="75"/>
      <c r="AX15" s="75"/>
      <c r="AY15" s="75"/>
      <c r="AZ15" s="75"/>
      <c r="BA15" s="75"/>
      <c r="BB15" s="75"/>
      <c r="BC15" s="75"/>
      <c r="BD15" s="75"/>
      <c r="BE15" s="75"/>
    </row>
    <row r="16" spans="1:57" ht="30" customHeight="1" x14ac:dyDescent="0.35">
      <c r="A16" s="25"/>
      <c r="B16" s="105"/>
      <c r="C16" s="105"/>
      <c r="D16" s="105"/>
      <c r="E16" s="105"/>
      <c r="F16" s="105"/>
      <c r="G16" s="105"/>
      <c r="H16" s="105"/>
      <c r="I16" s="105"/>
      <c r="J16" s="25"/>
      <c r="K16" s="25"/>
      <c r="L16" s="25"/>
      <c r="M16" s="25"/>
      <c r="N16" s="25"/>
      <c r="O16" s="25"/>
      <c r="P16" s="25"/>
      <c r="Q16" s="25"/>
      <c r="R16" s="25"/>
      <c r="S16" s="25"/>
      <c r="T16" s="25"/>
      <c r="U16" s="25"/>
      <c r="V16" s="25"/>
      <c r="W16" s="25"/>
      <c r="X16" s="25"/>
      <c r="Y16" s="78" t="str">
        <f t="shared" ref="Y16:Y19" si="5">B8</f>
        <v>Manufacturing</v>
      </c>
      <c r="Z16" s="74"/>
      <c r="AA16" s="76">
        <f t="shared" ref="AA16:AD19" si="6">IF(AA8&gt;0,AA8,0)/AA$21</f>
        <v>0.25172225826062683</v>
      </c>
      <c r="AB16" s="76">
        <f t="shared" si="6"/>
        <v>0.34720228838527373</v>
      </c>
      <c r="AC16" s="76">
        <f t="shared" si="6"/>
        <v>0.6587944302062364</v>
      </c>
      <c r="AD16" s="76">
        <f t="shared" si="6"/>
        <v>0.74738774617971204</v>
      </c>
      <c r="AE16" s="74"/>
      <c r="AF16" s="74"/>
      <c r="AG16" s="74"/>
      <c r="AH16" s="74"/>
      <c r="AI16" s="74"/>
      <c r="AJ16" s="74"/>
      <c r="AK16" s="74"/>
      <c r="AL16" s="74"/>
      <c r="AM16" s="74"/>
      <c r="AN16" s="74"/>
      <c r="AO16" s="74"/>
      <c r="AP16" s="75"/>
      <c r="AQ16" s="75"/>
      <c r="AR16" s="75"/>
      <c r="AS16" s="75"/>
      <c r="AT16" s="75"/>
      <c r="AU16" s="75"/>
      <c r="AV16" s="75"/>
      <c r="AW16" s="75"/>
      <c r="AX16" s="75"/>
      <c r="AY16" s="75"/>
      <c r="AZ16" s="75"/>
      <c r="BA16" s="75"/>
      <c r="BB16" s="75"/>
      <c r="BC16" s="75"/>
      <c r="BD16" s="75"/>
      <c r="BE16" s="75"/>
    </row>
    <row r="17" spans="1:57" ht="30" customHeight="1" x14ac:dyDescent="0.35">
      <c r="A17" s="25"/>
      <c r="B17" s="105"/>
      <c r="C17" s="105"/>
      <c r="D17" s="105"/>
      <c r="E17" s="105"/>
      <c r="F17" s="105"/>
      <c r="G17" s="105"/>
      <c r="H17" s="105"/>
      <c r="I17" s="105"/>
      <c r="J17" s="25"/>
      <c r="K17" s="25"/>
      <c r="L17" s="25"/>
      <c r="M17" s="25"/>
      <c r="N17" s="25"/>
      <c r="O17" s="25"/>
      <c r="P17" s="25"/>
      <c r="Q17" s="25"/>
      <c r="R17" s="25"/>
      <c r="S17" s="25"/>
      <c r="T17" s="25"/>
      <c r="U17" s="25"/>
      <c r="V17" s="25"/>
      <c r="W17" s="25"/>
      <c r="X17" s="25"/>
      <c r="Y17" s="78" t="str">
        <f t="shared" si="5"/>
        <v>Freight and Distribution</v>
      </c>
      <c r="Z17" s="74"/>
      <c r="AA17" s="76">
        <f t="shared" si="6"/>
        <v>1.2731522489690733E-2</v>
      </c>
      <c r="AB17" s="76">
        <f t="shared" si="6"/>
        <v>4.9570380628342486E-3</v>
      </c>
      <c r="AC17" s="76">
        <f t="shared" si="6"/>
        <v>1.2517170996113445E-2</v>
      </c>
      <c r="AD17" s="76">
        <f t="shared" si="6"/>
        <v>4.0004194337132423E-3</v>
      </c>
      <c r="AE17" s="74"/>
      <c r="AF17" s="74"/>
      <c r="AG17" s="74"/>
      <c r="AH17" s="74"/>
      <c r="AI17" s="74"/>
      <c r="AJ17" s="74"/>
      <c r="AK17" s="74"/>
      <c r="AL17" s="74"/>
      <c r="AM17" s="74"/>
      <c r="AN17" s="74"/>
      <c r="AO17" s="74"/>
      <c r="AP17" s="75"/>
      <c r="AQ17" s="75"/>
      <c r="AR17" s="75"/>
      <c r="AS17" s="75"/>
      <c r="AT17" s="75"/>
      <c r="AU17" s="75"/>
      <c r="AV17" s="75"/>
      <c r="AW17" s="75"/>
      <c r="AX17" s="75"/>
      <c r="AY17" s="75"/>
      <c r="AZ17" s="75"/>
      <c r="BA17" s="75"/>
      <c r="BB17" s="75"/>
      <c r="BC17" s="75"/>
      <c r="BD17" s="75"/>
      <c r="BE17" s="75"/>
    </row>
    <row r="18" spans="1:57" ht="30" customHeight="1" x14ac:dyDescent="0.35">
      <c r="A18" s="25"/>
      <c r="B18" s="105"/>
      <c r="C18" s="105"/>
      <c r="D18" s="105"/>
      <c r="E18" s="105"/>
      <c r="F18" s="105"/>
      <c r="G18" s="105"/>
      <c r="H18" s="105"/>
      <c r="I18" s="105"/>
      <c r="J18" s="25"/>
      <c r="K18" s="25"/>
      <c r="L18" s="25"/>
      <c r="M18" s="25"/>
      <c r="N18" s="25"/>
      <c r="O18" s="25"/>
      <c r="P18" s="25"/>
      <c r="Q18" s="25"/>
      <c r="R18" s="25"/>
      <c r="S18" s="25"/>
      <c r="T18" s="25"/>
      <c r="U18" s="25"/>
      <c r="V18" s="25"/>
      <c r="W18" s="25"/>
      <c r="X18" s="25"/>
      <c r="Y18" s="78" t="str">
        <f t="shared" si="5"/>
        <v>Use Phase</v>
      </c>
      <c r="Z18" s="74"/>
      <c r="AA18" s="76">
        <f t="shared" si="6"/>
        <v>0</v>
      </c>
      <c r="AB18" s="76">
        <f t="shared" si="6"/>
        <v>0</v>
      </c>
      <c r="AC18" s="76">
        <f t="shared" si="6"/>
        <v>0</v>
      </c>
      <c r="AD18" s="76">
        <f t="shared" si="6"/>
        <v>0</v>
      </c>
      <c r="AE18" s="74"/>
      <c r="AF18" s="74"/>
      <c r="AG18" s="74"/>
      <c r="AH18" s="74"/>
      <c r="AI18" s="74"/>
      <c r="AJ18" s="74"/>
      <c r="AK18" s="74"/>
      <c r="AL18" s="74"/>
      <c r="AM18" s="74"/>
      <c r="AN18" s="74"/>
      <c r="AO18" s="74"/>
      <c r="AP18" s="75"/>
      <c r="AQ18" s="75"/>
      <c r="AR18" s="75"/>
      <c r="AS18" s="75"/>
      <c r="AT18" s="75"/>
      <c r="AU18" s="75"/>
      <c r="AV18" s="75"/>
      <c r="AW18" s="75"/>
      <c r="AX18" s="75"/>
      <c r="AY18" s="75"/>
      <c r="AZ18" s="75"/>
      <c r="BA18" s="75"/>
      <c r="BB18" s="75"/>
      <c r="BC18" s="75"/>
      <c r="BD18" s="75"/>
      <c r="BE18" s="75"/>
    </row>
    <row r="19" spans="1:57" ht="30" customHeight="1" x14ac:dyDescent="0.35">
      <c r="A19" s="25"/>
      <c r="B19" s="105"/>
      <c r="C19" s="105"/>
      <c r="D19" s="105"/>
      <c r="E19" s="105"/>
      <c r="F19" s="105"/>
      <c r="G19" s="105"/>
      <c r="H19" s="105"/>
      <c r="I19" s="105"/>
      <c r="J19" s="25"/>
      <c r="K19" s="25"/>
      <c r="L19" s="25"/>
      <c r="M19" s="25"/>
      <c r="N19" s="25"/>
      <c r="O19" s="25"/>
      <c r="P19" s="25"/>
      <c r="Q19" s="25"/>
      <c r="R19" s="25"/>
      <c r="S19" s="25"/>
      <c r="T19" s="25"/>
      <c r="U19" s="25"/>
      <c r="V19" s="25"/>
      <c r="W19" s="25"/>
      <c r="X19" s="25"/>
      <c r="Y19" s="78" t="str">
        <f t="shared" si="5"/>
        <v>Disposal</v>
      </c>
      <c r="Z19" s="74"/>
      <c r="AA19" s="76">
        <f t="shared" si="6"/>
        <v>0</v>
      </c>
      <c r="AB19" s="76">
        <f t="shared" si="6"/>
        <v>0</v>
      </c>
      <c r="AC19" s="76">
        <f t="shared" si="6"/>
        <v>0</v>
      </c>
      <c r="AD19" s="76">
        <f t="shared" si="6"/>
        <v>0</v>
      </c>
      <c r="AE19" s="74"/>
      <c r="AF19" s="74"/>
      <c r="AG19" s="74"/>
      <c r="AH19" s="74"/>
      <c r="AI19" s="74"/>
      <c r="AJ19" s="74"/>
      <c r="AK19" s="74"/>
      <c r="AL19" s="74"/>
      <c r="AM19" s="74"/>
      <c r="AN19" s="74"/>
      <c r="AO19" s="74"/>
      <c r="AP19" s="75"/>
      <c r="AQ19" s="75"/>
      <c r="AR19" s="75"/>
      <c r="AS19" s="75"/>
      <c r="AT19" s="75"/>
      <c r="AU19" s="75"/>
      <c r="AV19" s="75"/>
      <c r="AW19" s="75"/>
      <c r="AX19" s="75"/>
      <c r="AY19" s="75"/>
      <c r="AZ19" s="75"/>
      <c r="BA19" s="75"/>
      <c r="BB19" s="75"/>
      <c r="BC19" s="75"/>
      <c r="BD19" s="75"/>
      <c r="BE19" s="75"/>
    </row>
    <row r="20" spans="1:57" ht="30" customHeight="1" x14ac:dyDescent="0.35">
      <c r="A20" s="25"/>
      <c r="B20" s="105"/>
      <c r="C20" s="105"/>
      <c r="D20" s="105"/>
      <c r="E20" s="105"/>
      <c r="F20" s="105"/>
      <c r="G20" s="105"/>
      <c r="H20" s="105"/>
      <c r="I20" s="105"/>
      <c r="J20" s="25"/>
      <c r="K20" s="25"/>
      <c r="L20" s="25"/>
      <c r="M20" s="25"/>
      <c r="N20" s="25"/>
      <c r="O20" s="25"/>
      <c r="P20" s="25"/>
      <c r="Q20" s="25"/>
      <c r="R20" s="25"/>
      <c r="S20" s="25"/>
      <c r="T20" s="25"/>
      <c r="U20" s="25"/>
      <c r="V20" s="25"/>
      <c r="W20" s="25"/>
      <c r="X20" s="25"/>
      <c r="Y20" s="74"/>
      <c r="Z20" s="74"/>
      <c r="AA20" s="74"/>
      <c r="AB20" s="74"/>
      <c r="AC20" s="74"/>
      <c r="AD20" s="74"/>
      <c r="AE20" s="74"/>
      <c r="AF20" s="74"/>
      <c r="AG20" s="74"/>
      <c r="AH20" s="74"/>
      <c r="AI20" s="74"/>
      <c r="AJ20" s="74"/>
      <c r="AK20" s="74"/>
      <c r="AL20" s="74"/>
      <c r="AM20" s="74"/>
      <c r="AN20" s="74"/>
      <c r="AO20" s="74"/>
      <c r="AP20" s="75"/>
      <c r="AQ20" s="75"/>
      <c r="AR20" s="75"/>
      <c r="AS20" s="75"/>
      <c r="AT20" s="75"/>
      <c r="AU20" s="75"/>
      <c r="AV20" s="75"/>
      <c r="AW20" s="75"/>
      <c r="AX20" s="75"/>
      <c r="AY20" s="75"/>
      <c r="AZ20" s="75"/>
      <c r="BA20" s="75"/>
      <c r="BB20" s="75"/>
      <c r="BC20" s="75"/>
      <c r="BD20" s="75"/>
      <c r="BE20" s="75"/>
    </row>
    <row r="21" spans="1:57" ht="30" customHeight="1" x14ac:dyDescent="0.35">
      <c r="A21" s="25"/>
      <c r="B21" s="105"/>
      <c r="C21" s="105"/>
      <c r="D21" s="105"/>
      <c r="E21" s="105"/>
      <c r="F21" s="105"/>
      <c r="G21" s="105"/>
      <c r="H21" s="105"/>
      <c r="I21" s="105"/>
      <c r="J21" s="25"/>
      <c r="K21" s="25"/>
      <c r="L21" s="25"/>
      <c r="M21" s="25"/>
      <c r="N21" s="25"/>
      <c r="O21" s="25"/>
      <c r="P21" s="25"/>
      <c r="Q21" s="25"/>
      <c r="R21" s="25"/>
      <c r="S21" s="25"/>
      <c r="T21" s="25"/>
      <c r="U21" s="25"/>
      <c r="V21" s="25"/>
      <c r="W21" s="25"/>
      <c r="X21" s="25"/>
      <c r="Y21" s="74"/>
      <c r="Z21" s="74"/>
      <c r="AA21" s="77">
        <f>SUM(AI7:AI11)</f>
        <v>3178144.2790477844</v>
      </c>
      <c r="AB21" s="77">
        <f t="shared" ref="AB21:AD21" si="7">SUM(AJ7:AJ11)</f>
        <v>251.25144963921827</v>
      </c>
      <c r="AC21" s="77">
        <f t="shared" si="7"/>
        <v>1131399.0503013681</v>
      </c>
      <c r="AD21" s="77">
        <f t="shared" si="7"/>
        <v>108.9665863653555</v>
      </c>
      <c r="AE21" s="74"/>
      <c r="AF21" s="74"/>
      <c r="AG21" s="74"/>
      <c r="AH21" s="74"/>
      <c r="AI21" s="74"/>
      <c r="AJ21" s="74"/>
      <c r="AK21" s="74"/>
      <c r="AL21" s="74"/>
      <c r="AM21" s="74"/>
      <c r="AN21" s="74"/>
      <c r="AO21" s="74"/>
      <c r="AP21" s="75"/>
      <c r="AQ21" s="75"/>
      <c r="AR21" s="75"/>
      <c r="AS21" s="75"/>
      <c r="AT21" s="75"/>
      <c r="AU21" s="75"/>
      <c r="AV21" s="75"/>
      <c r="AW21" s="75"/>
      <c r="AX21" s="75"/>
      <c r="AY21" s="75"/>
      <c r="AZ21" s="75"/>
      <c r="BA21" s="75"/>
      <c r="BB21" s="75"/>
      <c r="BC21" s="75"/>
      <c r="BD21" s="75"/>
      <c r="BE21" s="75"/>
    </row>
    <row r="22" spans="1:57" ht="30" customHeight="1" x14ac:dyDescent="0.35">
      <c r="A22" s="25"/>
      <c r="B22" s="105"/>
      <c r="C22" s="105"/>
      <c r="D22" s="105"/>
      <c r="E22" s="105"/>
      <c r="F22" s="105"/>
      <c r="G22" s="105"/>
      <c r="H22" s="105"/>
      <c r="I22" s="105"/>
      <c r="J22" s="25"/>
      <c r="K22" s="25"/>
      <c r="L22" s="25"/>
      <c r="M22" s="25"/>
      <c r="N22" s="25"/>
      <c r="O22" s="25"/>
      <c r="P22" s="25"/>
      <c r="Q22" s="25"/>
      <c r="R22" s="25"/>
      <c r="S22" s="25"/>
      <c r="T22" s="25"/>
      <c r="U22" s="25"/>
      <c r="V22" s="25"/>
      <c r="W22" s="25"/>
      <c r="X22" s="25"/>
      <c r="Y22" s="74"/>
      <c r="Z22" s="74"/>
      <c r="AA22" s="74"/>
      <c r="AB22" s="74"/>
      <c r="AC22" s="74"/>
      <c r="AD22" s="74"/>
      <c r="AE22" s="74"/>
      <c r="AF22" s="74"/>
      <c r="AG22" s="74"/>
      <c r="AH22" s="74"/>
      <c r="AI22" s="74"/>
      <c r="AJ22" s="74"/>
      <c r="AK22" s="74"/>
      <c r="AL22" s="74"/>
      <c r="AM22" s="74"/>
      <c r="AN22" s="74"/>
      <c r="AO22" s="74"/>
      <c r="AP22" s="75"/>
      <c r="AQ22" s="75"/>
      <c r="AR22" s="75"/>
      <c r="AS22" s="75"/>
      <c r="AT22" s="75"/>
      <c r="AU22" s="75"/>
      <c r="AV22" s="75"/>
      <c r="AW22" s="75"/>
      <c r="AX22" s="75"/>
      <c r="AY22" s="75"/>
      <c r="AZ22" s="75"/>
      <c r="BA22" s="75"/>
      <c r="BB22" s="75"/>
      <c r="BC22" s="75"/>
      <c r="BD22" s="75"/>
      <c r="BE22" s="75"/>
    </row>
    <row r="23" spans="1:57" ht="30" customHeight="1" x14ac:dyDescent="0.35">
      <c r="A23" s="25"/>
      <c r="B23" s="105"/>
      <c r="C23" s="105"/>
      <c r="D23" s="105"/>
      <c r="E23" s="105"/>
      <c r="F23" s="105"/>
      <c r="G23" s="105"/>
      <c r="H23" s="105"/>
      <c r="I23" s="105"/>
      <c r="J23" s="25"/>
      <c r="K23" s="25"/>
      <c r="L23" s="25"/>
      <c r="M23" s="25"/>
      <c r="N23" s="25"/>
      <c r="O23" s="25"/>
      <c r="P23" s="25"/>
      <c r="Q23" s="25"/>
      <c r="R23" s="25"/>
      <c r="S23" s="25"/>
      <c r="T23" s="25"/>
      <c r="U23" s="25"/>
      <c r="V23" s="25"/>
      <c r="W23" s="25"/>
      <c r="X23" s="25"/>
      <c r="Y23" s="74"/>
      <c r="Z23" s="74"/>
      <c r="AA23" s="74"/>
      <c r="AB23" s="74"/>
      <c r="AC23" s="74"/>
      <c r="AD23" s="74"/>
      <c r="AE23" s="74"/>
      <c r="AF23" s="74"/>
      <c r="AG23" s="74"/>
      <c r="AH23" s="74"/>
      <c r="AI23" s="74"/>
      <c r="AJ23" s="74"/>
      <c r="AK23" s="74"/>
      <c r="AL23" s="74"/>
      <c r="AM23" s="74"/>
      <c r="AN23" s="74"/>
      <c r="AO23" s="74"/>
      <c r="AP23" s="75"/>
      <c r="AQ23" s="75"/>
      <c r="AR23" s="75"/>
      <c r="AS23" s="75"/>
      <c r="AT23" s="75"/>
      <c r="AU23" s="75"/>
      <c r="AV23" s="75"/>
      <c r="AW23" s="75"/>
      <c r="AX23" s="75"/>
      <c r="AY23" s="75"/>
      <c r="AZ23" s="75"/>
      <c r="BA23" s="75"/>
      <c r="BB23" s="75"/>
      <c r="BC23" s="75"/>
      <c r="BD23" s="75"/>
      <c r="BE23" s="75"/>
    </row>
    <row r="24" spans="1:57" ht="30" customHeight="1" x14ac:dyDescent="0.35">
      <c r="A24" s="25"/>
      <c r="B24" s="105"/>
      <c r="C24" s="105"/>
      <c r="D24" s="105"/>
      <c r="E24" s="105"/>
      <c r="F24" s="105"/>
      <c r="G24" s="105"/>
      <c r="H24" s="105"/>
      <c r="I24" s="105"/>
      <c r="J24" s="25"/>
      <c r="K24" s="25"/>
      <c r="L24" s="25"/>
      <c r="M24" s="25"/>
      <c r="N24" s="25"/>
      <c r="O24" s="25"/>
      <c r="P24" s="25"/>
      <c r="Q24" s="25"/>
      <c r="R24" s="25"/>
      <c r="S24" s="25"/>
      <c r="T24" s="25"/>
      <c r="U24" s="25"/>
      <c r="V24" s="25"/>
      <c r="W24" s="25"/>
      <c r="X24" s="25"/>
      <c r="Y24" s="74"/>
      <c r="Z24" s="74"/>
      <c r="AA24" s="74"/>
      <c r="AB24" s="74"/>
      <c r="AC24" s="74"/>
      <c r="AD24" s="74"/>
      <c r="AE24" s="74"/>
      <c r="AF24" s="74"/>
      <c r="AG24" s="74"/>
      <c r="AH24" s="74"/>
      <c r="AI24" s="74"/>
      <c r="AJ24" s="74"/>
      <c r="AK24" s="74"/>
      <c r="AL24" s="74"/>
      <c r="AM24" s="74"/>
      <c r="AN24" s="74"/>
      <c r="AO24" s="74"/>
      <c r="AP24" s="75"/>
      <c r="AQ24" s="75"/>
      <c r="AR24" s="75"/>
      <c r="AS24" s="75"/>
      <c r="AT24" s="75"/>
      <c r="AU24" s="75"/>
      <c r="AV24" s="75"/>
      <c r="AW24" s="75"/>
      <c r="AX24" s="75"/>
      <c r="AY24" s="75"/>
      <c r="AZ24" s="75"/>
      <c r="BA24" s="75"/>
      <c r="BB24" s="75"/>
      <c r="BC24" s="75"/>
      <c r="BD24" s="75"/>
      <c r="BE24" s="75"/>
    </row>
    <row r="25" spans="1:57" ht="30" customHeight="1" x14ac:dyDescent="0.35">
      <c r="A25" s="25"/>
      <c r="B25" s="105"/>
      <c r="C25" s="105"/>
      <c r="D25" s="105"/>
      <c r="E25" s="105"/>
      <c r="F25" s="105"/>
      <c r="G25" s="105"/>
      <c r="H25" s="105"/>
      <c r="I25" s="105"/>
      <c r="J25" s="25"/>
      <c r="K25" s="25"/>
      <c r="L25" s="25"/>
      <c r="M25" s="25"/>
      <c r="N25" s="25"/>
      <c r="O25" s="25"/>
      <c r="P25" s="25"/>
      <c r="Q25" s="25"/>
      <c r="R25" s="25"/>
      <c r="S25" s="25"/>
      <c r="T25" s="25"/>
      <c r="U25" s="25"/>
      <c r="V25" s="25"/>
      <c r="W25" s="25"/>
      <c r="X25" s="25"/>
      <c r="Y25" s="74"/>
      <c r="Z25" s="74"/>
      <c r="AA25" s="74"/>
      <c r="AB25" s="74"/>
      <c r="AC25" s="74"/>
      <c r="AD25" s="74"/>
      <c r="AE25" s="74"/>
      <c r="AF25" s="74"/>
      <c r="AG25" s="74"/>
      <c r="AH25" s="74"/>
      <c r="AI25" s="74"/>
      <c r="AJ25" s="74"/>
      <c r="AK25" s="74"/>
      <c r="AL25" s="74"/>
      <c r="AM25" s="74"/>
      <c r="AN25" s="74"/>
      <c r="AO25" s="74"/>
      <c r="AP25" s="75"/>
      <c r="AQ25" s="75"/>
      <c r="AR25" s="75"/>
      <c r="AS25" s="75"/>
      <c r="AT25" s="75"/>
      <c r="AU25" s="75"/>
      <c r="AV25" s="75"/>
      <c r="AW25" s="75"/>
      <c r="AX25" s="75"/>
      <c r="AY25" s="75"/>
      <c r="AZ25" s="75"/>
      <c r="BA25" s="75"/>
      <c r="BB25" s="75"/>
      <c r="BC25" s="75"/>
      <c r="BD25" s="75"/>
      <c r="BE25" s="75"/>
    </row>
    <row r="26" spans="1:57" ht="30" customHeight="1" x14ac:dyDescent="0.35">
      <c r="A26" s="25"/>
      <c r="B26" s="105"/>
      <c r="C26" s="105"/>
      <c r="D26" s="105"/>
      <c r="E26" s="105"/>
      <c r="F26" s="105"/>
      <c r="G26" s="105"/>
      <c r="H26" s="105"/>
      <c r="I26" s="105"/>
      <c r="J26" s="25"/>
      <c r="K26" s="25"/>
      <c r="L26" s="25"/>
      <c r="M26" s="25"/>
      <c r="N26" s="25"/>
      <c r="O26" s="25"/>
      <c r="P26" s="25"/>
      <c r="Q26" s="25"/>
      <c r="R26" s="25"/>
      <c r="S26" s="25"/>
      <c r="T26" s="25"/>
      <c r="U26" s="25"/>
      <c r="V26" s="25"/>
      <c r="W26" s="25"/>
      <c r="X26" s="25"/>
      <c r="Y26" s="74"/>
      <c r="Z26" s="74"/>
      <c r="AA26" s="74"/>
      <c r="AB26" s="74"/>
      <c r="AC26" s="74"/>
      <c r="AD26" s="74"/>
      <c r="AE26" s="74"/>
      <c r="AF26" s="74"/>
      <c r="AG26" s="74"/>
      <c r="AH26" s="74"/>
      <c r="AI26" s="74"/>
      <c r="AJ26" s="74"/>
      <c r="AK26" s="74"/>
      <c r="AL26" s="74"/>
      <c r="AM26" s="74"/>
      <c r="AN26" s="74"/>
      <c r="AO26" s="74"/>
      <c r="AP26" s="75"/>
      <c r="AQ26" s="75"/>
      <c r="AR26" s="75"/>
      <c r="AS26" s="75"/>
      <c r="AT26" s="75"/>
      <c r="AU26" s="75"/>
      <c r="AV26" s="75"/>
      <c r="AW26" s="75"/>
      <c r="AX26" s="75"/>
      <c r="AY26" s="75"/>
      <c r="AZ26" s="75"/>
      <c r="BA26" s="75"/>
      <c r="BB26" s="75"/>
      <c r="BC26" s="75"/>
      <c r="BD26" s="75"/>
      <c r="BE26" s="75"/>
    </row>
    <row r="27" spans="1:57" ht="30" customHeight="1" x14ac:dyDescent="0.35">
      <c r="A27" s="25"/>
      <c r="B27" s="105"/>
      <c r="C27" s="105"/>
      <c r="D27" s="105"/>
      <c r="E27" s="105"/>
      <c r="F27" s="105"/>
      <c r="G27" s="105"/>
      <c r="H27" s="105"/>
      <c r="I27" s="105"/>
      <c r="J27" s="25"/>
      <c r="K27" s="25"/>
      <c r="L27" s="25"/>
      <c r="M27" s="25"/>
      <c r="N27" s="25"/>
      <c r="O27" s="25"/>
      <c r="P27" s="25"/>
      <c r="Q27" s="25"/>
      <c r="R27" s="25"/>
      <c r="S27" s="25"/>
      <c r="T27" s="25"/>
      <c r="U27" s="25"/>
      <c r="V27" s="25"/>
      <c r="W27" s="25"/>
      <c r="X27" s="25"/>
      <c r="Y27" s="74"/>
      <c r="Z27" s="74"/>
      <c r="AA27" s="74"/>
      <c r="AB27" s="74"/>
      <c r="AC27" s="74"/>
      <c r="AD27" s="74"/>
      <c r="AE27" s="74"/>
      <c r="AF27" s="74"/>
      <c r="AG27" s="74"/>
      <c r="AH27" s="74"/>
      <c r="AI27" s="74"/>
      <c r="AJ27" s="74"/>
      <c r="AK27" s="74"/>
      <c r="AL27" s="74"/>
      <c r="AM27" s="74"/>
      <c r="AN27" s="74"/>
      <c r="AO27" s="74"/>
      <c r="AP27" s="75"/>
      <c r="AQ27" s="75"/>
      <c r="AR27" s="75"/>
      <c r="AS27" s="75"/>
      <c r="AT27" s="75"/>
      <c r="AU27" s="75"/>
      <c r="AV27" s="75"/>
      <c r="AW27" s="75"/>
      <c r="AX27" s="75"/>
      <c r="AY27" s="75"/>
      <c r="AZ27" s="75"/>
      <c r="BA27" s="75"/>
      <c r="BB27" s="75"/>
      <c r="BC27" s="75"/>
      <c r="BD27" s="75"/>
      <c r="BE27" s="75"/>
    </row>
    <row r="28" spans="1:57" ht="30" customHeight="1" x14ac:dyDescent="0.35">
      <c r="A28" s="25"/>
      <c r="B28" s="105"/>
      <c r="C28" s="105"/>
      <c r="D28" s="105"/>
      <c r="E28" s="105"/>
      <c r="F28" s="105"/>
      <c r="G28" s="105"/>
      <c r="H28" s="105"/>
      <c r="I28" s="105"/>
      <c r="J28" s="25"/>
      <c r="K28" s="25"/>
      <c r="L28" s="25"/>
      <c r="M28" s="25"/>
      <c r="N28" s="25"/>
      <c r="O28" s="25"/>
      <c r="P28" s="25"/>
      <c r="Q28" s="25"/>
      <c r="R28" s="25"/>
      <c r="S28" s="25"/>
      <c r="T28" s="25"/>
      <c r="U28" s="25"/>
      <c r="V28" s="25"/>
      <c r="W28" s="25"/>
      <c r="X28" s="25"/>
      <c r="Y28" s="74"/>
      <c r="Z28" s="74"/>
      <c r="AA28" s="74"/>
      <c r="AB28" s="74"/>
      <c r="AC28" s="74"/>
      <c r="AD28" s="74"/>
      <c r="AE28" s="74"/>
      <c r="AF28" s="74"/>
      <c r="AG28" s="74"/>
      <c r="AH28" s="74"/>
      <c r="AI28" s="74"/>
      <c r="AJ28" s="74"/>
      <c r="AK28" s="74"/>
      <c r="AL28" s="74"/>
      <c r="AM28" s="74"/>
      <c r="AN28" s="74"/>
      <c r="AO28" s="74"/>
      <c r="AP28" s="75"/>
      <c r="AQ28" s="75"/>
      <c r="AR28" s="75"/>
      <c r="AS28" s="75"/>
      <c r="AT28" s="75"/>
      <c r="AU28" s="75"/>
      <c r="AV28" s="75"/>
      <c r="AW28" s="75"/>
      <c r="AX28" s="75"/>
      <c r="AY28" s="75"/>
      <c r="AZ28" s="75"/>
      <c r="BA28" s="75"/>
      <c r="BB28" s="75"/>
      <c r="BC28" s="75"/>
      <c r="BD28" s="75"/>
      <c r="BE28" s="75"/>
    </row>
    <row r="29" spans="1:57" ht="30" customHeight="1" x14ac:dyDescent="0.35">
      <c r="A29" s="25"/>
      <c r="B29" s="105"/>
      <c r="C29" s="105"/>
      <c r="D29" s="105"/>
      <c r="E29" s="105"/>
      <c r="F29" s="105"/>
      <c r="G29" s="105"/>
      <c r="H29" s="105"/>
      <c r="I29" s="105"/>
      <c r="J29" s="25"/>
      <c r="K29" s="25"/>
      <c r="L29" s="25"/>
      <c r="M29" s="25"/>
      <c r="N29" s="25"/>
      <c r="O29" s="25"/>
      <c r="P29" s="25"/>
      <c r="Q29" s="25"/>
      <c r="R29" s="25"/>
      <c r="S29" s="25"/>
      <c r="T29" s="25"/>
      <c r="U29" s="25"/>
      <c r="V29" s="25"/>
      <c r="W29" s="25"/>
      <c r="X29" s="25"/>
      <c r="Y29" s="74"/>
      <c r="Z29" s="74"/>
      <c r="AA29" s="74"/>
      <c r="AB29" s="74"/>
      <c r="AC29" s="74"/>
      <c r="AD29" s="74"/>
      <c r="AE29" s="74"/>
      <c r="AF29" s="74"/>
      <c r="AG29" s="74"/>
      <c r="AH29" s="74"/>
      <c r="AI29" s="74"/>
      <c r="AJ29" s="74"/>
      <c r="AK29" s="74"/>
      <c r="AL29" s="74"/>
      <c r="AM29" s="74"/>
      <c r="AN29" s="74"/>
      <c r="AO29" s="74"/>
      <c r="AP29" s="75"/>
      <c r="AQ29" s="75"/>
      <c r="AR29" s="75"/>
      <c r="AS29" s="75"/>
      <c r="AT29" s="75"/>
      <c r="AU29" s="75"/>
      <c r="AV29" s="75"/>
      <c r="AW29" s="75"/>
      <c r="AX29" s="75"/>
      <c r="AY29" s="75"/>
      <c r="AZ29" s="75"/>
      <c r="BA29" s="75"/>
      <c r="BB29" s="75"/>
      <c r="BC29" s="75"/>
      <c r="BD29" s="75"/>
      <c r="BE29" s="75"/>
    </row>
    <row r="30" spans="1:57" ht="30" customHeight="1" x14ac:dyDescent="0.35">
      <c r="A30" s="25"/>
      <c r="B30" s="105"/>
      <c r="C30" s="105"/>
      <c r="D30" s="105"/>
      <c r="E30" s="105"/>
      <c r="F30" s="105"/>
      <c r="G30" s="105"/>
      <c r="H30" s="105"/>
      <c r="I30" s="105"/>
      <c r="J30" s="25"/>
      <c r="K30" s="25"/>
      <c r="L30" s="25"/>
      <c r="M30" s="25"/>
      <c r="N30" s="25"/>
      <c r="O30" s="25"/>
      <c r="P30" s="25"/>
      <c r="Q30" s="25"/>
      <c r="R30" s="25"/>
      <c r="S30" s="25"/>
      <c r="T30" s="25"/>
      <c r="U30" s="25"/>
      <c r="V30" s="25"/>
      <c r="W30" s="25"/>
      <c r="X30" s="25"/>
      <c r="Y30" s="74"/>
      <c r="Z30" s="74"/>
      <c r="AA30" s="74"/>
      <c r="AB30" s="74"/>
      <c r="AC30" s="74"/>
      <c r="AD30" s="74"/>
      <c r="AE30" s="74"/>
      <c r="AF30" s="74"/>
      <c r="AG30" s="74"/>
      <c r="AH30" s="74"/>
      <c r="AI30" s="74"/>
      <c r="AJ30" s="74"/>
      <c r="AK30" s="74"/>
      <c r="AL30" s="74"/>
      <c r="AM30" s="74"/>
      <c r="AN30" s="74"/>
      <c r="AO30" s="74"/>
      <c r="AP30" s="75"/>
      <c r="AQ30" s="75"/>
      <c r="AR30" s="75"/>
      <c r="AS30" s="75"/>
      <c r="AT30" s="75"/>
      <c r="AU30" s="75"/>
      <c r="AV30" s="75"/>
      <c r="AW30" s="75"/>
      <c r="AX30" s="75"/>
      <c r="AY30" s="75"/>
      <c r="AZ30" s="75"/>
      <c r="BA30" s="75"/>
      <c r="BB30" s="75"/>
      <c r="BC30" s="75"/>
      <c r="BD30" s="75"/>
      <c r="BE30" s="75"/>
    </row>
    <row r="31" spans="1:57" ht="30" customHeight="1" x14ac:dyDescent="0.35">
      <c r="A31" s="25"/>
      <c r="B31" s="105"/>
      <c r="C31" s="105"/>
      <c r="D31" s="105"/>
      <c r="E31" s="105"/>
      <c r="F31" s="105"/>
      <c r="G31" s="105"/>
      <c r="H31" s="105"/>
      <c r="I31" s="105"/>
      <c r="J31" s="105"/>
      <c r="K31" s="25"/>
      <c r="L31" s="25"/>
      <c r="M31" s="25"/>
      <c r="N31" s="25"/>
      <c r="O31" s="25"/>
      <c r="P31" s="25"/>
      <c r="Q31" s="25"/>
      <c r="R31" s="25"/>
      <c r="S31" s="25"/>
      <c r="T31" s="25"/>
      <c r="U31" s="25"/>
      <c r="V31" s="25"/>
      <c r="W31" s="25"/>
      <c r="X31" s="25"/>
      <c r="Y31" s="74"/>
      <c r="Z31" s="74"/>
      <c r="AA31" s="74"/>
      <c r="AB31" s="74"/>
      <c r="AC31" s="74"/>
      <c r="AD31" s="74"/>
      <c r="AE31" s="74"/>
      <c r="AF31" s="74"/>
      <c r="AG31" s="74"/>
      <c r="AH31" s="74"/>
      <c r="AI31" s="74"/>
      <c r="AJ31" s="74"/>
      <c r="AK31" s="74"/>
      <c r="AL31" s="74"/>
      <c r="AM31" s="74"/>
      <c r="AN31" s="74"/>
      <c r="AO31" s="74"/>
      <c r="AP31" s="75"/>
      <c r="AQ31" s="75"/>
      <c r="AR31" s="75"/>
      <c r="AS31" s="75"/>
      <c r="AT31" s="75"/>
      <c r="AU31" s="75"/>
      <c r="AV31" s="75"/>
      <c r="AW31" s="75"/>
      <c r="AX31" s="75"/>
      <c r="AY31" s="75"/>
      <c r="AZ31" s="75"/>
      <c r="BA31" s="75"/>
      <c r="BB31" s="75"/>
      <c r="BC31" s="75"/>
      <c r="BD31" s="75"/>
      <c r="BE31" s="75"/>
    </row>
    <row r="32" spans="1:57" ht="30" customHeight="1" x14ac:dyDescent="0.35">
      <c r="A32" s="25"/>
      <c r="B32" s="105"/>
      <c r="C32" s="105"/>
      <c r="D32" s="105"/>
      <c r="E32" s="105"/>
      <c r="F32" s="105"/>
      <c r="G32" s="105"/>
      <c r="H32" s="105"/>
      <c r="I32" s="105"/>
      <c r="J32" s="25"/>
      <c r="K32" s="25"/>
      <c r="L32" s="25"/>
      <c r="M32" s="25"/>
      <c r="N32" s="25"/>
      <c r="O32" s="25"/>
      <c r="P32" s="25"/>
      <c r="Q32" s="25"/>
      <c r="R32" s="25"/>
      <c r="S32" s="25"/>
      <c r="T32" s="25"/>
      <c r="U32" s="25"/>
      <c r="V32" s="25"/>
      <c r="W32" s="25"/>
      <c r="X32" s="25"/>
      <c r="Y32" s="74"/>
      <c r="Z32" s="74"/>
      <c r="AA32" s="74"/>
      <c r="AB32" s="74"/>
      <c r="AC32" s="74"/>
      <c r="AD32" s="74"/>
      <c r="AE32" s="74"/>
      <c r="AF32" s="74"/>
      <c r="AG32" s="74"/>
      <c r="AH32" s="74"/>
      <c r="AI32" s="74"/>
      <c r="AJ32" s="74"/>
      <c r="AK32" s="74"/>
      <c r="AL32" s="74"/>
      <c r="AM32" s="74"/>
      <c r="AN32" s="74"/>
      <c r="AO32" s="74"/>
      <c r="AP32" s="75"/>
      <c r="AQ32" s="75"/>
      <c r="AR32" s="75"/>
      <c r="AS32" s="75"/>
      <c r="AT32" s="75"/>
      <c r="AU32" s="75"/>
      <c r="AV32" s="75"/>
      <c r="AW32" s="75"/>
      <c r="AX32" s="75"/>
      <c r="AY32" s="75"/>
      <c r="AZ32" s="75"/>
      <c r="BA32" s="75"/>
      <c r="BB32" s="75"/>
      <c r="BC32" s="75"/>
      <c r="BD32" s="75"/>
      <c r="BE32" s="75"/>
    </row>
    <row r="33" spans="1:57" ht="30" customHeight="1" x14ac:dyDescent="0.35">
      <c r="A33" s="25"/>
      <c r="B33" s="105"/>
      <c r="C33" s="105"/>
      <c r="D33" s="105"/>
      <c r="E33" s="105"/>
      <c r="F33" s="105"/>
      <c r="G33" s="105"/>
      <c r="H33" s="105"/>
      <c r="I33" s="105"/>
      <c r="J33" s="25"/>
      <c r="K33" s="25"/>
      <c r="L33" s="25"/>
      <c r="M33" s="25"/>
      <c r="N33" s="25"/>
      <c r="O33" s="25"/>
      <c r="P33" s="25"/>
      <c r="Q33" s="25"/>
      <c r="R33" s="25"/>
      <c r="S33" s="25"/>
      <c r="T33" s="25"/>
      <c r="U33" s="25"/>
      <c r="V33" s="25"/>
      <c r="W33" s="25"/>
      <c r="X33" s="25"/>
      <c r="Y33" s="74"/>
      <c r="Z33" s="74"/>
      <c r="AA33" s="74"/>
      <c r="AB33" s="74"/>
      <c r="AC33" s="74"/>
      <c r="AD33" s="74"/>
      <c r="AE33" s="74"/>
      <c r="AF33" s="74"/>
      <c r="AG33" s="74"/>
      <c r="AH33" s="74"/>
      <c r="AI33" s="74"/>
      <c r="AJ33" s="74"/>
      <c r="AK33" s="74"/>
      <c r="AL33" s="74"/>
      <c r="AM33" s="74"/>
      <c r="AN33" s="74"/>
      <c r="AO33" s="74"/>
      <c r="AP33" s="75"/>
      <c r="AQ33" s="75"/>
      <c r="AR33" s="75"/>
      <c r="AS33" s="75"/>
      <c r="AT33" s="75"/>
      <c r="AU33" s="75"/>
      <c r="AV33" s="75"/>
      <c r="AW33" s="75"/>
      <c r="AX33" s="75"/>
      <c r="AY33" s="75"/>
      <c r="AZ33" s="75"/>
      <c r="BA33" s="75"/>
      <c r="BB33" s="75"/>
      <c r="BC33" s="75"/>
      <c r="BD33" s="75"/>
      <c r="BE33" s="75"/>
    </row>
    <row r="34" spans="1:57" ht="30" customHeight="1" x14ac:dyDescent="0.35">
      <c r="A34" s="25"/>
      <c r="B34" s="105"/>
      <c r="C34" s="105"/>
      <c r="D34" s="105"/>
      <c r="E34" s="105"/>
      <c r="F34" s="105"/>
      <c r="G34" s="105"/>
      <c r="H34" s="105"/>
      <c r="I34" s="105"/>
      <c r="J34" s="25"/>
      <c r="K34" s="25"/>
      <c r="L34" s="25"/>
      <c r="M34" s="25"/>
      <c r="N34" s="25"/>
      <c r="O34" s="25"/>
      <c r="P34" s="25"/>
      <c r="Q34" s="25"/>
      <c r="R34" s="25"/>
      <c r="S34" s="25"/>
      <c r="T34" s="25"/>
      <c r="U34" s="25"/>
      <c r="V34" s="25"/>
      <c r="W34" s="25"/>
      <c r="X34" s="25"/>
      <c r="Y34" s="74"/>
      <c r="Z34" s="74"/>
      <c r="AA34" s="74"/>
      <c r="AB34" s="74"/>
      <c r="AC34" s="74"/>
      <c r="AD34" s="74"/>
      <c r="AE34" s="74"/>
      <c r="AF34" s="74"/>
      <c r="AG34" s="74"/>
      <c r="AH34" s="74"/>
      <c r="AI34" s="74"/>
      <c r="AJ34" s="74"/>
      <c r="AK34" s="74"/>
      <c r="AL34" s="74"/>
      <c r="AM34" s="74"/>
      <c r="AN34" s="74"/>
      <c r="AO34" s="74"/>
      <c r="AP34" s="75"/>
      <c r="AQ34" s="75"/>
      <c r="AR34" s="75"/>
      <c r="AS34" s="75"/>
      <c r="AT34" s="75"/>
      <c r="AU34" s="75"/>
      <c r="AV34" s="75"/>
      <c r="AW34" s="75"/>
      <c r="AX34" s="75"/>
      <c r="AY34" s="75"/>
      <c r="AZ34" s="75"/>
      <c r="BA34" s="75"/>
      <c r="BB34" s="75"/>
      <c r="BC34" s="75"/>
      <c r="BD34" s="75"/>
      <c r="BE34" s="75"/>
    </row>
    <row r="35" spans="1:57" ht="30" customHeight="1" x14ac:dyDescent="0.35">
      <c r="A35" s="25"/>
      <c r="B35" s="105"/>
      <c r="C35" s="105"/>
      <c r="D35" s="105"/>
      <c r="E35" s="105"/>
      <c r="F35" s="105"/>
      <c r="G35" s="105"/>
      <c r="H35" s="105"/>
      <c r="I35" s="105"/>
      <c r="J35" s="25"/>
      <c r="K35" s="25"/>
      <c r="L35" s="25"/>
      <c r="M35" s="25"/>
      <c r="N35" s="25"/>
      <c r="O35" s="25"/>
      <c r="P35" s="25"/>
      <c r="Q35" s="25"/>
      <c r="R35" s="25"/>
      <c r="S35" s="25"/>
      <c r="T35" s="25"/>
      <c r="U35" s="25"/>
      <c r="V35" s="25"/>
      <c r="W35" s="25"/>
      <c r="X35" s="25"/>
      <c r="Y35" s="74"/>
      <c r="Z35" s="74"/>
      <c r="AA35" s="74"/>
      <c r="AB35" s="74"/>
      <c r="AC35" s="74"/>
      <c r="AD35" s="74"/>
      <c r="AE35" s="74"/>
      <c r="AF35" s="74"/>
      <c r="AG35" s="74"/>
      <c r="AH35" s="74"/>
      <c r="AI35" s="74"/>
      <c r="AJ35" s="74"/>
      <c r="AK35" s="74"/>
      <c r="AL35" s="74"/>
      <c r="AM35" s="74"/>
      <c r="AN35" s="74"/>
      <c r="AO35" s="74"/>
      <c r="AP35" s="75"/>
      <c r="AQ35" s="75"/>
      <c r="AR35" s="75"/>
      <c r="AS35" s="75"/>
      <c r="AT35" s="75"/>
      <c r="AU35" s="75"/>
      <c r="AV35" s="75"/>
      <c r="AW35" s="75"/>
      <c r="AX35" s="75"/>
      <c r="AY35" s="75"/>
      <c r="AZ35" s="75"/>
      <c r="BA35" s="75"/>
      <c r="BB35" s="75"/>
      <c r="BC35" s="75"/>
      <c r="BD35" s="75"/>
      <c r="BE35" s="75"/>
    </row>
    <row r="36" spans="1:57" ht="30" customHeight="1" x14ac:dyDescent="0.35">
      <c r="A36" s="25"/>
      <c r="B36" s="105"/>
      <c r="C36" s="105"/>
      <c r="D36" s="105"/>
      <c r="E36" s="105"/>
      <c r="F36" s="105"/>
      <c r="G36" s="105"/>
      <c r="H36" s="105"/>
      <c r="I36" s="105"/>
      <c r="J36" s="25"/>
      <c r="K36" s="25"/>
      <c r="L36" s="25"/>
      <c r="M36" s="25"/>
      <c r="N36" s="25"/>
      <c r="O36" s="25"/>
      <c r="P36" s="25"/>
      <c r="Q36" s="25"/>
      <c r="R36" s="25"/>
      <c r="S36" s="25"/>
      <c r="T36" s="25"/>
      <c r="U36" s="25"/>
      <c r="V36" s="25"/>
      <c r="W36" s="25"/>
      <c r="X36" s="25"/>
      <c r="Y36" s="74"/>
      <c r="Z36" s="74"/>
      <c r="AA36" s="74"/>
      <c r="AB36" s="74"/>
      <c r="AC36" s="74"/>
      <c r="AD36" s="74"/>
      <c r="AE36" s="74"/>
      <c r="AF36" s="74"/>
      <c r="AG36" s="74"/>
      <c r="AH36" s="74"/>
      <c r="AI36" s="74"/>
      <c r="AJ36" s="74"/>
      <c r="AK36" s="74"/>
      <c r="AL36" s="74"/>
      <c r="AM36" s="74"/>
      <c r="AN36" s="74"/>
      <c r="AO36" s="74"/>
      <c r="AP36" s="75"/>
      <c r="AQ36" s="75"/>
      <c r="AR36" s="75"/>
      <c r="AS36" s="75"/>
      <c r="AT36" s="75"/>
      <c r="AU36" s="75"/>
      <c r="AV36" s="75"/>
      <c r="AW36" s="75"/>
      <c r="AX36" s="75"/>
      <c r="AY36" s="75"/>
      <c r="AZ36" s="75"/>
      <c r="BA36" s="75"/>
      <c r="BB36" s="75"/>
      <c r="BC36" s="75"/>
      <c r="BD36" s="75"/>
      <c r="BE36" s="75"/>
    </row>
    <row r="37" spans="1:57" ht="30" customHeight="1" thickBot="1" x14ac:dyDescent="0.45">
      <c r="A37" s="25"/>
      <c r="B37" s="117" t="s">
        <v>884</v>
      </c>
      <c r="C37" s="129"/>
      <c r="D37" s="129"/>
      <c r="E37" s="129"/>
      <c r="F37" s="129"/>
      <c r="G37" s="129"/>
      <c r="H37" s="105"/>
      <c r="I37" s="105"/>
      <c r="J37" s="25"/>
      <c r="K37" s="25"/>
      <c r="L37" s="25"/>
      <c r="M37" s="25"/>
      <c r="N37" s="25"/>
      <c r="O37" s="25"/>
      <c r="P37" s="25"/>
      <c r="Q37" s="25"/>
      <c r="R37" s="25"/>
      <c r="S37" s="25"/>
      <c r="T37" s="25"/>
      <c r="U37" s="25"/>
      <c r="V37" s="25"/>
      <c r="W37" s="25"/>
      <c r="X37" s="25"/>
      <c r="Y37" s="74"/>
      <c r="Z37" s="74"/>
      <c r="AA37" s="74"/>
      <c r="AB37" s="74"/>
      <c r="AC37" s="74"/>
      <c r="AD37" s="74"/>
      <c r="AE37" s="74"/>
      <c r="AF37" s="74"/>
      <c r="AG37" s="74"/>
      <c r="AH37" s="74"/>
      <c r="AI37" s="74"/>
      <c r="AJ37" s="74"/>
      <c r="AK37" s="74"/>
      <c r="AL37" s="74"/>
      <c r="AM37" s="74"/>
      <c r="AN37" s="74"/>
      <c r="AO37" s="74"/>
      <c r="AP37" s="75"/>
      <c r="AQ37" s="75"/>
      <c r="AR37" s="75"/>
      <c r="AS37" s="75"/>
      <c r="AT37" s="75"/>
      <c r="AU37" s="75"/>
      <c r="AV37" s="75"/>
      <c r="AW37" s="75"/>
      <c r="AX37" s="75"/>
      <c r="AY37" s="75"/>
      <c r="AZ37" s="75"/>
      <c r="BA37" s="75"/>
      <c r="BB37" s="75"/>
      <c r="BC37" s="75"/>
      <c r="BD37" s="75"/>
      <c r="BE37" s="75"/>
    </row>
    <row r="38" spans="1:57" ht="50.15" customHeight="1" thickBot="1" x14ac:dyDescent="0.4">
      <c r="A38" s="25"/>
      <c r="B38" s="489" t="s">
        <v>58</v>
      </c>
      <c r="C38" s="490"/>
      <c r="D38" s="130" t="str">
        <f>"Energy Savings per Part (" &amp; 'CM Calculator (BL)'!$C$104 &amp; ")"</f>
        <v>Energy Savings per Part (Btu)</v>
      </c>
      <c r="E38" s="130" t="str">
        <f>"Carbon Savings per Part (" &amp; 'CM Calculator (BL)'!$C$105 &amp; ")"</f>
        <v>Carbon Savings per Part (kg)</v>
      </c>
      <c r="F38" s="130" t="s">
        <v>880</v>
      </c>
      <c r="G38" s="130" t="s">
        <v>881</v>
      </c>
      <c r="H38" s="105"/>
      <c r="I38" s="105"/>
      <c r="J38" s="25"/>
      <c r="K38" s="25"/>
      <c r="L38" s="25"/>
      <c r="M38" s="25"/>
      <c r="N38" s="25"/>
      <c r="O38" s="25"/>
      <c r="P38" s="25"/>
      <c r="Q38" s="25"/>
      <c r="R38" s="25"/>
      <c r="S38" s="25"/>
      <c r="T38" s="25"/>
      <c r="U38" s="25"/>
      <c r="V38" s="25"/>
      <c r="W38" s="25"/>
      <c r="X38" s="25"/>
      <c r="Y38" s="74"/>
      <c r="Z38" s="74"/>
      <c r="AA38" s="74"/>
      <c r="AB38" s="74"/>
      <c r="AC38" s="74"/>
      <c r="AD38" s="74"/>
      <c r="AE38" s="74"/>
      <c r="AF38" s="74"/>
      <c r="AG38" s="74"/>
      <c r="AH38" s="74"/>
      <c r="AI38" s="74"/>
      <c r="AJ38" s="74"/>
      <c r="AK38" s="74"/>
      <c r="AL38" s="74"/>
      <c r="AM38" s="74"/>
      <c r="AN38" s="74"/>
      <c r="AO38" s="74"/>
      <c r="AP38" s="75"/>
      <c r="AQ38" s="75"/>
      <c r="AR38" s="75"/>
      <c r="AS38" s="75"/>
      <c r="AT38" s="75"/>
      <c r="AU38" s="75"/>
      <c r="AV38" s="75"/>
      <c r="AW38" s="75"/>
      <c r="AX38" s="75"/>
      <c r="AY38" s="75"/>
      <c r="AZ38" s="75"/>
      <c r="BA38" s="75"/>
      <c r="BB38" s="75"/>
      <c r="BC38" s="75"/>
      <c r="BD38" s="75"/>
      <c r="BE38" s="75"/>
    </row>
    <row r="39" spans="1:57" ht="30" customHeight="1" x14ac:dyDescent="0.35">
      <c r="A39" s="25"/>
      <c r="B39" s="491" t="s">
        <v>879</v>
      </c>
      <c r="C39" s="492"/>
      <c r="D39" s="131">
        <f t="shared" ref="D39:E43" si="8">D7-F7</f>
        <v>1965794.266438867</v>
      </c>
      <c r="E39" s="131">
        <f t="shared" si="8"/>
        <v>135.68052544202629</v>
      </c>
      <c r="F39" s="132">
        <f t="shared" ref="F39:G42" si="9">(D7-F7)/D7</f>
        <v>0.84091962394067798</v>
      </c>
      <c r="G39" s="132">
        <f t="shared" si="9"/>
        <v>0.8335674157303371</v>
      </c>
      <c r="H39" s="105"/>
      <c r="I39" s="105"/>
      <c r="J39" s="25"/>
      <c r="K39" s="25"/>
      <c r="L39" s="25"/>
      <c r="M39" s="25"/>
      <c r="N39" s="25"/>
      <c r="O39" s="25"/>
      <c r="P39" s="25"/>
      <c r="Q39" s="25"/>
      <c r="R39" s="25"/>
      <c r="S39" s="25"/>
      <c r="T39" s="25"/>
      <c r="U39" s="25"/>
      <c r="V39" s="25"/>
      <c r="W39" s="25"/>
      <c r="X39" s="25"/>
      <c r="Y39" s="74"/>
      <c r="Z39" s="74"/>
      <c r="AA39" s="74"/>
      <c r="AB39" s="74"/>
      <c r="AC39" s="74"/>
      <c r="AD39" s="74"/>
      <c r="AE39" s="74"/>
      <c r="AF39" s="74"/>
      <c r="AG39" s="74"/>
      <c r="AH39" s="74"/>
      <c r="AI39" s="74"/>
      <c r="AJ39" s="74"/>
      <c r="AK39" s="74"/>
      <c r="AL39" s="74"/>
      <c r="AM39" s="74"/>
      <c r="AN39" s="74"/>
      <c r="AO39" s="74"/>
      <c r="AP39" s="75"/>
      <c r="AQ39" s="75"/>
      <c r="AR39" s="75"/>
      <c r="AS39" s="75"/>
      <c r="AT39" s="75"/>
      <c r="AU39" s="75"/>
      <c r="AV39" s="75"/>
      <c r="AW39" s="75"/>
      <c r="AX39" s="75"/>
      <c r="AY39" s="75"/>
      <c r="AZ39" s="75"/>
      <c r="BA39" s="75"/>
      <c r="BB39" s="75"/>
      <c r="BC39" s="75"/>
      <c r="BD39" s="75"/>
      <c r="BE39" s="75"/>
    </row>
    <row r="40" spans="1:57" ht="30" customHeight="1" x14ac:dyDescent="0.35">
      <c r="A40" s="25"/>
      <c r="B40" s="493" t="s">
        <v>206</v>
      </c>
      <c r="C40" s="494"/>
      <c r="D40" s="133">
        <f t="shared" si="8"/>
        <v>54650.262320833281</v>
      </c>
      <c r="E40" s="133">
        <f t="shared" si="8"/>
        <v>5.7947868823539466</v>
      </c>
      <c r="F40" s="134">
        <f t="shared" si="9"/>
        <v>6.8312003460549831E-2</v>
      </c>
      <c r="G40" s="134">
        <f t="shared" si="9"/>
        <v>6.642725606431113E-2</v>
      </c>
      <c r="H40" s="105"/>
      <c r="I40" s="105"/>
      <c r="J40" s="25"/>
      <c r="K40" s="25"/>
      <c r="L40" s="25"/>
      <c r="M40" s="25"/>
      <c r="N40" s="25"/>
      <c r="O40" s="25"/>
      <c r="P40" s="25"/>
      <c r="Q40" s="25"/>
      <c r="R40" s="25"/>
      <c r="S40" s="25"/>
      <c r="T40" s="25"/>
      <c r="U40" s="25"/>
      <c r="V40" s="25"/>
      <c r="W40" s="25"/>
      <c r="X40" s="25"/>
      <c r="Y40" s="74"/>
      <c r="Z40" s="74"/>
      <c r="AA40" s="74"/>
      <c r="AB40" s="74"/>
      <c r="AC40" s="74"/>
      <c r="AD40" s="74"/>
      <c r="AE40" s="74"/>
      <c r="AF40" s="74"/>
      <c r="AG40" s="74"/>
      <c r="AH40" s="74"/>
      <c r="AI40" s="74"/>
      <c r="AJ40" s="74"/>
      <c r="AK40" s="74"/>
      <c r="AL40" s="74"/>
      <c r="AM40" s="74"/>
      <c r="AN40" s="74"/>
      <c r="AO40" s="74"/>
      <c r="AP40" s="75"/>
      <c r="AQ40" s="75"/>
      <c r="AR40" s="75"/>
      <c r="AS40" s="75"/>
      <c r="AT40" s="75"/>
      <c r="AU40" s="75"/>
      <c r="AV40" s="75"/>
      <c r="AW40" s="75"/>
      <c r="AX40" s="75"/>
      <c r="AY40" s="75"/>
      <c r="AZ40" s="75"/>
      <c r="BA40" s="75"/>
      <c r="BB40" s="75"/>
      <c r="BC40" s="75"/>
      <c r="BD40" s="75"/>
      <c r="BE40" s="75"/>
    </row>
    <row r="41" spans="1:57" ht="30" customHeight="1" x14ac:dyDescent="0.35">
      <c r="A41" s="25"/>
      <c r="B41" s="495" t="s">
        <v>202</v>
      </c>
      <c r="C41" s="496"/>
      <c r="D41" s="133">
        <f t="shared" si="8"/>
        <v>26300.699986716223</v>
      </c>
      <c r="E41" s="133">
        <f t="shared" si="8"/>
        <v>0.8095509494825267</v>
      </c>
      <c r="F41" s="134">
        <f t="shared" si="9"/>
        <v>0.65</v>
      </c>
      <c r="G41" s="134">
        <f t="shared" si="9"/>
        <v>0.65</v>
      </c>
      <c r="H41" s="105"/>
      <c r="I41" s="105"/>
      <c r="J41" s="25"/>
      <c r="K41" s="25"/>
      <c r="L41" s="25"/>
      <c r="M41" s="25"/>
      <c r="N41" s="25"/>
      <c r="O41" s="25"/>
      <c r="P41" s="25"/>
      <c r="Q41" s="25"/>
      <c r="R41" s="25"/>
      <c r="S41" s="25"/>
      <c r="T41" s="25"/>
      <c r="U41" s="25"/>
      <c r="V41" s="25"/>
      <c r="W41" s="25"/>
      <c r="X41" s="25"/>
      <c r="Y41" s="74"/>
      <c r="Z41" s="74"/>
      <c r="AA41" s="74"/>
      <c r="AB41" s="74"/>
      <c r="AC41" s="74"/>
      <c r="AD41" s="74"/>
      <c r="AE41" s="74"/>
      <c r="AF41" s="74"/>
      <c r="AG41" s="74"/>
      <c r="AH41" s="74"/>
      <c r="AI41" s="74"/>
      <c r="AJ41" s="74"/>
      <c r="AK41" s="74"/>
      <c r="AL41" s="74"/>
      <c r="AM41" s="74"/>
      <c r="AN41" s="74"/>
      <c r="AO41" s="74"/>
      <c r="AP41" s="75"/>
      <c r="AQ41" s="75"/>
      <c r="AR41" s="75"/>
      <c r="AS41" s="75"/>
      <c r="AT41" s="75"/>
      <c r="AU41" s="75"/>
      <c r="AV41" s="75"/>
      <c r="AW41" s="75"/>
      <c r="AX41" s="75"/>
      <c r="AY41" s="75"/>
      <c r="AZ41" s="75"/>
      <c r="BA41" s="75"/>
      <c r="BB41" s="75"/>
      <c r="BC41" s="75"/>
      <c r="BD41" s="75"/>
      <c r="BE41" s="75"/>
    </row>
    <row r="42" spans="1:57" ht="30" customHeight="1" x14ac:dyDescent="0.35">
      <c r="A42" s="25"/>
      <c r="B42" s="497" t="s">
        <v>76</v>
      </c>
      <c r="C42" s="498"/>
      <c r="D42" s="133">
        <f t="shared" si="8"/>
        <v>64729443.081420027</v>
      </c>
      <c r="E42" s="133">
        <f t="shared" si="8"/>
        <v>4690.1233101440503</v>
      </c>
      <c r="F42" s="134">
        <f t="shared" si="9"/>
        <v>0.65</v>
      </c>
      <c r="G42" s="134">
        <f t="shared" si="9"/>
        <v>0.65000000000000013</v>
      </c>
      <c r="H42" s="105"/>
      <c r="I42" s="105"/>
      <c r="J42" s="25"/>
      <c r="K42" s="25"/>
      <c r="L42" s="25"/>
      <c r="M42" s="25"/>
      <c r="N42" s="25"/>
      <c r="O42" s="25"/>
      <c r="P42" s="25"/>
      <c r="Q42" s="25"/>
      <c r="R42" s="25"/>
      <c r="S42" s="25"/>
      <c r="T42" s="25"/>
      <c r="U42" s="25"/>
      <c r="V42" s="25"/>
      <c r="W42" s="25"/>
      <c r="X42" s="25"/>
      <c r="Y42" s="74"/>
      <c r="Z42" s="74"/>
      <c r="AA42" s="74"/>
      <c r="AB42" s="74"/>
      <c r="AC42" s="74"/>
      <c r="AD42" s="74"/>
      <c r="AE42" s="74"/>
      <c r="AF42" s="74"/>
      <c r="AG42" s="74"/>
      <c r="AH42" s="74"/>
      <c r="AI42" s="74"/>
      <c r="AJ42" s="74"/>
      <c r="AK42" s="74"/>
      <c r="AL42" s="74"/>
      <c r="AM42" s="74"/>
      <c r="AN42" s="74"/>
      <c r="AO42" s="74"/>
      <c r="AP42" s="75"/>
      <c r="AQ42" s="75"/>
      <c r="AR42" s="75"/>
      <c r="AS42" s="75"/>
      <c r="AT42" s="75"/>
      <c r="AU42" s="75"/>
      <c r="AV42" s="75"/>
      <c r="AW42" s="75"/>
      <c r="AX42" s="75"/>
      <c r="AY42" s="75"/>
      <c r="AZ42" s="75"/>
      <c r="BA42" s="75"/>
      <c r="BB42" s="75"/>
      <c r="BC42" s="75"/>
      <c r="BD42" s="75"/>
      <c r="BE42" s="75"/>
    </row>
    <row r="43" spans="1:57" ht="30" customHeight="1" thickBot="1" x14ac:dyDescent="0.4">
      <c r="A43" s="25"/>
      <c r="B43" s="499" t="s">
        <v>65</v>
      </c>
      <c r="C43" s="500"/>
      <c r="D43" s="135">
        <f t="shared" si="8"/>
        <v>-360365.05297434411</v>
      </c>
      <c r="E43" s="135">
        <f t="shared" si="8"/>
        <v>-26.088856694033442</v>
      </c>
      <c r="F43" s="136">
        <f>((D11-F11)/D11)*IF(AND(D11&lt;0,F11&lt;0),-1,1)</f>
        <v>-0.69964022701300566</v>
      </c>
      <c r="G43" s="136">
        <f>((E11-G11)/E11)*IF(AND(E11&lt;0,G11&lt;0),-1,1)</f>
        <v>-0.69198970371799795</v>
      </c>
      <c r="H43" s="105"/>
      <c r="I43" s="105"/>
      <c r="J43" s="25"/>
      <c r="K43" s="25"/>
      <c r="L43" s="25"/>
      <c r="M43" s="25"/>
      <c r="N43" s="25"/>
      <c r="O43" s="25"/>
      <c r="P43" s="25"/>
      <c r="Q43" s="25"/>
      <c r="R43" s="25"/>
      <c r="S43" s="25"/>
      <c r="T43" s="25"/>
      <c r="U43" s="25"/>
      <c r="V43" s="25"/>
      <c r="W43" s="25"/>
      <c r="X43" s="25"/>
      <c r="Y43" s="74"/>
      <c r="Z43" s="74"/>
      <c r="AA43" s="74"/>
      <c r="AB43" s="74"/>
      <c r="AC43" s="74"/>
      <c r="AD43" s="74"/>
      <c r="AE43" s="74"/>
      <c r="AF43" s="74"/>
      <c r="AG43" s="74"/>
      <c r="AH43" s="74"/>
      <c r="AI43" s="74"/>
      <c r="AJ43" s="74"/>
      <c r="AK43" s="74"/>
      <c r="AL43" s="74"/>
      <c r="AM43" s="74"/>
      <c r="AN43" s="74"/>
      <c r="AO43" s="74"/>
      <c r="AP43" s="75"/>
      <c r="AQ43" s="75"/>
      <c r="AR43" s="75"/>
      <c r="AS43" s="75"/>
      <c r="AT43" s="75"/>
      <c r="AU43" s="75"/>
      <c r="AV43" s="75"/>
      <c r="AW43" s="75"/>
      <c r="AX43" s="75"/>
      <c r="AY43" s="75"/>
      <c r="AZ43" s="75"/>
      <c r="BA43" s="75"/>
      <c r="BB43" s="75"/>
      <c r="BC43" s="75"/>
      <c r="BD43" s="75"/>
      <c r="BE43" s="75"/>
    </row>
    <row r="44" spans="1:57" ht="30" customHeight="1" thickBot="1" x14ac:dyDescent="0.4">
      <c r="A44" s="25"/>
      <c r="B44" s="487" t="s">
        <v>207</v>
      </c>
      <c r="C44" s="488"/>
      <c r="D44" s="137">
        <f>SUM(D39:D43)</f>
        <v>66415823.257192098</v>
      </c>
      <c r="E44" s="137">
        <f>SUM(E39:E43)</f>
        <v>4806.3193167238787</v>
      </c>
      <c r="F44" s="138">
        <f>(D12-F12)/D12</f>
        <v>0.64956363595289357</v>
      </c>
      <c r="G44" s="138">
        <f>(E12-G12)/E12</f>
        <v>0.64695635173033805</v>
      </c>
      <c r="H44" s="105"/>
      <c r="I44" s="105"/>
      <c r="J44" s="25"/>
      <c r="K44" s="25"/>
      <c r="L44" s="25"/>
      <c r="M44" s="25"/>
      <c r="N44" s="25"/>
      <c r="O44" s="25"/>
      <c r="P44" s="25"/>
      <c r="Q44" s="25"/>
      <c r="R44" s="25"/>
      <c r="S44" s="25"/>
      <c r="T44" s="25"/>
      <c r="U44" s="25"/>
      <c r="V44" s="25"/>
      <c r="W44" s="25"/>
      <c r="X44" s="25"/>
      <c r="Y44" s="74"/>
      <c r="Z44" s="74"/>
      <c r="AA44" s="74"/>
      <c r="AB44" s="74"/>
      <c r="AC44" s="74"/>
      <c r="AD44" s="74"/>
      <c r="AE44" s="74"/>
      <c r="AF44" s="74"/>
      <c r="AG44" s="74"/>
      <c r="AH44" s="74"/>
      <c r="AI44" s="74"/>
      <c r="AJ44" s="74"/>
      <c r="AK44" s="74"/>
      <c r="AL44" s="74"/>
      <c r="AM44" s="74"/>
      <c r="AN44" s="74"/>
      <c r="AO44" s="74"/>
      <c r="AP44" s="75"/>
      <c r="AQ44" s="75"/>
      <c r="AR44" s="75"/>
      <c r="AS44" s="75"/>
      <c r="AT44" s="75"/>
      <c r="AU44" s="75"/>
      <c r="AV44" s="75"/>
      <c r="AW44" s="75"/>
      <c r="AX44" s="75"/>
      <c r="AY44" s="75"/>
      <c r="AZ44" s="75"/>
      <c r="BA44" s="75"/>
      <c r="BB44" s="75"/>
      <c r="BC44" s="75"/>
      <c r="BD44" s="75"/>
      <c r="BE44" s="75"/>
    </row>
    <row r="45" spans="1:57" ht="30" customHeight="1" x14ac:dyDescent="0.35">
      <c r="A45" s="25"/>
      <c r="B45" s="105"/>
      <c r="C45" s="105"/>
      <c r="D45" s="105"/>
      <c r="E45" s="105"/>
      <c r="F45" s="105"/>
      <c r="G45" s="105"/>
      <c r="H45" s="105"/>
      <c r="I45" s="105"/>
      <c r="J45" s="25"/>
      <c r="K45" s="25"/>
      <c r="L45" s="25"/>
      <c r="M45" s="25"/>
      <c r="N45" s="25"/>
      <c r="O45" s="25"/>
      <c r="P45" s="25"/>
      <c r="Q45" s="25"/>
      <c r="R45" s="25"/>
      <c r="S45" s="25"/>
      <c r="T45" s="25"/>
      <c r="U45" s="25"/>
      <c r="V45" s="25"/>
      <c r="W45" s="25"/>
      <c r="X45" s="25"/>
      <c r="Y45" s="74"/>
      <c r="Z45" s="74"/>
      <c r="AA45" s="74"/>
      <c r="AB45" s="74"/>
      <c r="AC45" s="74"/>
      <c r="AD45" s="74"/>
      <c r="AE45" s="74"/>
      <c r="AF45" s="74"/>
      <c r="AG45" s="74"/>
      <c r="AH45" s="74"/>
      <c r="AI45" s="74"/>
      <c r="AJ45" s="74"/>
      <c r="AK45" s="74"/>
      <c r="AL45" s="74"/>
      <c r="AM45" s="74"/>
      <c r="AN45" s="74"/>
      <c r="AO45" s="74"/>
      <c r="AP45" s="75"/>
      <c r="AQ45" s="75"/>
      <c r="AR45" s="75"/>
      <c r="AS45" s="75"/>
      <c r="AT45" s="75"/>
      <c r="AU45" s="75"/>
      <c r="AV45" s="75"/>
      <c r="AW45" s="75"/>
      <c r="AX45" s="75"/>
      <c r="AY45" s="75"/>
      <c r="AZ45" s="75"/>
      <c r="BA45" s="75"/>
      <c r="BB45" s="75"/>
      <c r="BC45" s="75"/>
      <c r="BD45" s="75"/>
      <c r="BE45" s="75"/>
    </row>
    <row r="46" spans="1:57" ht="30" customHeight="1" x14ac:dyDescent="0.35">
      <c r="A46" s="25"/>
      <c r="B46" s="105"/>
      <c r="C46" s="105"/>
      <c r="D46" s="105"/>
      <c r="E46" s="105"/>
      <c r="F46" s="105"/>
      <c r="G46" s="105"/>
      <c r="H46" s="105"/>
      <c r="I46" s="105"/>
      <c r="J46" s="25"/>
      <c r="K46" s="25"/>
      <c r="L46" s="25"/>
      <c r="M46" s="25"/>
      <c r="N46" s="25"/>
      <c r="O46" s="25"/>
      <c r="P46" s="25"/>
      <c r="Q46" s="25"/>
      <c r="R46" s="25"/>
      <c r="S46" s="25"/>
      <c r="T46" s="25"/>
      <c r="U46" s="25"/>
      <c r="V46" s="25"/>
      <c r="W46" s="25"/>
      <c r="X46" s="25"/>
      <c r="Y46" s="74"/>
      <c r="Z46" s="74"/>
      <c r="AA46" s="74"/>
      <c r="AB46" s="74"/>
      <c r="AC46" s="74"/>
      <c r="AD46" s="74"/>
      <c r="AE46" s="74"/>
      <c r="AF46" s="74"/>
      <c r="AG46" s="74"/>
      <c r="AH46" s="74"/>
      <c r="AI46" s="74"/>
      <c r="AJ46" s="74"/>
      <c r="AK46" s="74"/>
      <c r="AL46" s="74"/>
      <c r="AM46" s="74"/>
      <c r="AN46" s="74"/>
      <c r="AO46" s="74"/>
      <c r="AP46" s="75"/>
      <c r="AQ46" s="75"/>
      <c r="AR46" s="75"/>
      <c r="AS46" s="75"/>
      <c r="AT46" s="75"/>
      <c r="AU46" s="75"/>
      <c r="AV46" s="75"/>
      <c r="AW46" s="75"/>
      <c r="AX46" s="75"/>
      <c r="AY46" s="75"/>
      <c r="AZ46" s="75"/>
      <c r="BA46" s="75"/>
      <c r="BB46" s="75"/>
      <c r="BC46" s="75"/>
      <c r="BD46" s="75"/>
      <c r="BE46" s="75"/>
    </row>
    <row r="47" spans="1:57" ht="30" customHeight="1" x14ac:dyDescent="0.35">
      <c r="A47" s="25"/>
      <c r="B47" s="109"/>
      <c r="C47" s="105"/>
      <c r="D47" s="105"/>
      <c r="E47" s="105"/>
      <c r="F47" s="105"/>
      <c r="G47" s="105"/>
      <c r="H47" s="105"/>
      <c r="I47" s="105"/>
      <c r="J47" s="25"/>
      <c r="K47" s="25"/>
      <c r="L47" s="25"/>
      <c r="M47" s="25"/>
      <c r="N47" s="25"/>
      <c r="O47" s="25"/>
      <c r="P47" s="25"/>
      <c r="Q47" s="25"/>
      <c r="R47" s="25"/>
      <c r="S47" s="25"/>
      <c r="T47" s="25"/>
      <c r="U47" s="25"/>
      <c r="V47" s="25"/>
      <c r="W47" s="25"/>
      <c r="X47" s="25"/>
      <c r="Y47" s="74"/>
      <c r="Z47" s="74"/>
      <c r="AA47" s="74"/>
      <c r="AB47" s="74"/>
      <c r="AC47" s="74"/>
      <c r="AD47" s="74"/>
      <c r="AE47" s="74"/>
      <c r="AF47" s="74"/>
      <c r="AG47" s="74"/>
      <c r="AH47" s="74"/>
      <c r="AI47" s="74"/>
      <c r="AJ47" s="74"/>
      <c r="AK47" s="74"/>
      <c r="AL47" s="74"/>
      <c r="AM47" s="74"/>
      <c r="AN47" s="74"/>
      <c r="AO47" s="74"/>
      <c r="AP47" s="75"/>
      <c r="AQ47" s="75"/>
      <c r="AR47" s="75"/>
      <c r="AS47" s="75"/>
      <c r="AT47" s="75"/>
      <c r="AU47" s="75"/>
      <c r="AV47" s="75"/>
      <c r="AW47" s="75"/>
      <c r="AX47" s="75"/>
      <c r="AY47" s="75"/>
      <c r="AZ47" s="75"/>
      <c r="BA47" s="75"/>
      <c r="BB47" s="75"/>
      <c r="BC47" s="75"/>
      <c r="BD47" s="75"/>
      <c r="BE47" s="75"/>
    </row>
    <row r="48" spans="1:57" ht="30" customHeight="1" thickBot="1" x14ac:dyDescent="0.45">
      <c r="A48" s="25"/>
      <c r="B48" s="117" t="s">
        <v>883</v>
      </c>
      <c r="C48" s="129"/>
      <c r="D48" s="129"/>
      <c r="E48" s="129"/>
      <c r="F48" s="129"/>
      <c r="G48" s="129"/>
      <c r="H48" s="129"/>
      <c r="I48" s="105"/>
      <c r="J48" s="25"/>
      <c r="K48" s="25"/>
      <c r="L48" s="25"/>
      <c r="M48" s="25"/>
      <c r="N48" s="25"/>
      <c r="O48" s="25"/>
      <c r="P48" s="25"/>
      <c r="Q48" s="25"/>
      <c r="R48" s="25"/>
      <c r="S48" s="25"/>
      <c r="T48" s="25"/>
      <c r="U48" s="25"/>
      <c r="V48" s="25"/>
      <c r="W48" s="25"/>
      <c r="X48" s="25"/>
      <c r="Y48" s="74"/>
      <c r="Z48" s="74"/>
      <c r="AA48" s="74"/>
      <c r="AB48" s="74"/>
      <c r="AC48" s="74"/>
      <c r="AD48" s="74"/>
      <c r="AE48" s="74"/>
      <c r="AF48" s="74"/>
      <c r="AG48" s="74"/>
      <c r="AH48" s="74"/>
      <c r="AI48" s="74"/>
      <c r="AJ48" s="74"/>
      <c r="AK48" s="74"/>
      <c r="AL48" s="74"/>
      <c r="AM48" s="74"/>
      <c r="AN48" s="74"/>
      <c r="AO48" s="74"/>
      <c r="AP48" s="75"/>
      <c r="AQ48" s="75"/>
      <c r="AR48" s="75"/>
      <c r="AS48" s="75"/>
      <c r="AT48" s="75"/>
      <c r="AU48" s="75"/>
      <c r="AV48" s="75"/>
      <c r="AW48" s="75"/>
      <c r="AX48" s="75"/>
      <c r="AY48" s="75"/>
      <c r="AZ48" s="75"/>
      <c r="BA48" s="75"/>
      <c r="BB48" s="75"/>
      <c r="BC48" s="75"/>
      <c r="BD48" s="75"/>
      <c r="BE48" s="75"/>
    </row>
    <row r="49" spans="1:57" ht="50.15" customHeight="1" thickBot="1" x14ac:dyDescent="0.45">
      <c r="A49" s="25"/>
      <c r="B49" s="529" t="s">
        <v>58</v>
      </c>
      <c r="C49" s="530"/>
      <c r="D49" s="531" t="str">
        <f>IF(scenarioChoice = "CM/AM", "Conventional Manufacturing (BL)", "Additive Manufacturing (Alt)")</f>
        <v>Conventional Manufacturing (BL)</v>
      </c>
      <c r="E49" s="490"/>
      <c r="F49" s="502" t="s">
        <v>745</v>
      </c>
      <c r="G49" s="503"/>
      <c r="H49" s="129"/>
      <c r="I49" s="105"/>
      <c r="J49" s="25"/>
      <c r="K49" s="25"/>
      <c r="L49" s="25"/>
      <c r="M49" s="25"/>
      <c r="N49" s="25"/>
      <c r="O49" s="25"/>
      <c r="P49" s="25"/>
      <c r="Q49" s="25"/>
      <c r="R49" s="25"/>
      <c r="S49" s="25"/>
      <c r="T49" s="25"/>
      <c r="U49" s="25"/>
      <c r="V49" s="25"/>
      <c r="W49" s="25"/>
      <c r="X49" s="25"/>
      <c r="Y49" s="74"/>
      <c r="Z49" s="74"/>
      <c r="AA49" s="74"/>
      <c r="AB49" s="74"/>
      <c r="AC49" s="74"/>
      <c r="AD49" s="74"/>
      <c r="AE49" s="74"/>
      <c r="AF49" s="74"/>
      <c r="AG49" s="74"/>
      <c r="AH49" s="74"/>
      <c r="AI49" s="74"/>
      <c r="AJ49" s="74"/>
      <c r="AK49" s="74"/>
      <c r="AL49" s="74"/>
      <c r="AM49" s="74"/>
      <c r="AN49" s="74"/>
      <c r="AO49" s="74"/>
      <c r="AP49" s="75"/>
      <c r="AQ49" s="75"/>
      <c r="AR49" s="75"/>
      <c r="AS49" s="75"/>
      <c r="AT49" s="75"/>
      <c r="AU49" s="75"/>
      <c r="AV49" s="75"/>
      <c r="AW49" s="75"/>
      <c r="AX49" s="75"/>
      <c r="AY49" s="75"/>
      <c r="AZ49" s="75"/>
      <c r="BA49" s="75"/>
      <c r="BB49" s="75"/>
      <c r="BC49" s="75"/>
      <c r="BD49" s="75"/>
      <c r="BE49" s="75"/>
    </row>
    <row r="50" spans="1:57" ht="50.15" customHeight="1" thickBot="1" x14ac:dyDescent="0.4">
      <c r="A50" s="25"/>
      <c r="B50" s="504"/>
      <c r="C50" s="505"/>
      <c r="D50" s="139" t="str">
        <f>"Stage Energy ("&amp;'CM Calculator (BL)'!$C$104&amp;"/part)"</f>
        <v>Stage Energy (Btu/part)</v>
      </c>
      <c r="E50" s="139" t="str">
        <f>"Stage Carbon ("&amp;'CM Calculator (BL)'!$C$105 &amp; "/part)"</f>
        <v>Stage Carbon (kg/part)</v>
      </c>
      <c r="F50" s="139" t="str">
        <f>"Stage Energy ("&amp;'CM Calculator (BL)'!$C$104&amp;"/part)"</f>
        <v>Stage Energy (Btu/part)</v>
      </c>
      <c r="G50" s="139" t="str">
        <f>"Stage Carbon ("&amp;'CM Calculator (BL)'!$C$105 &amp; "/part)"</f>
        <v>Stage Carbon (kg/part)</v>
      </c>
      <c r="H50" s="180" t="s">
        <v>864</v>
      </c>
      <c r="I50" s="105"/>
      <c r="J50" s="25"/>
      <c r="K50" s="25"/>
      <c r="L50" s="25"/>
      <c r="M50" s="25"/>
      <c r="N50" s="25"/>
      <c r="O50" s="25"/>
      <c r="P50" s="25"/>
      <c r="Q50" s="25"/>
      <c r="R50" s="25"/>
      <c r="S50" s="25"/>
      <c r="T50" s="25"/>
      <c r="U50" s="25"/>
      <c r="V50" s="25"/>
      <c r="W50" s="25"/>
      <c r="X50" s="25"/>
      <c r="Y50" s="96"/>
      <c r="Z50" s="96" t="s">
        <v>874</v>
      </c>
      <c r="AA50" s="96" t="s">
        <v>875</v>
      </c>
      <c r="AB50" s="96"/>
      <c r="AC50" s="96" t="s">
        <v>741</v>
      </c>
      <c r="AD50" s="96"/>
      <c r="AE50" s="96"/>
      <c r="AF50" s="96" t="s">
        <v>742</v>
      </c>
      <c r="AG50" s="96"/>
      <c r="AH50" s="96"/>
      <c r="AI50" s="96"/>
      <c r="AJ50" s="96"/>
      <c r="AK50" s="96"/>
      <c r="AL50" s="96" t="s">
        <v>876</v>
      </c>
      <c r="AM50" s="96" t="s">
        <v>877</v>
      </c>
      <c r="AN50" s="96" t="s">
        <v>867</v>
      </c>
      <c r="AO50" s="96" t="s">
        <v>868</v>
      </c>
      <c r="AP50" s="99"/>
      <c r="AQ50" s="99"/>
      <c r="AR50" s="99"/>
      <c r="AS50" s="99"/>
      <c r="AT50" s="99" t="s">
        <v>867</v>
      </c>
      <c r="AU50" s="99" t="s">
        <v>878</v>
      </c>
      <c r="AV50" s="99" t="s">
        <v>702</v>
      </c>
      <c r="AW50" s="99" t="s">
        <v>703</v>
      </c>
      <c r="AX50" s="99" t="s">
        <v>405</v>
      </c>
      <c r="AY50" s="99" t="s">
        <v>495</v>
      </c>
      <c r="AZ50" s="99" t="s">
        <v>166</v>
      </c>
      <c r="BA50" s="99" t="s">
        <v>870</v>
      </c>
      <c r="BB50" s="99" t="s">
        <v>871</v>
      </c>
      <c r="BC50" s="99" t="s">
        <v>872</v>
      </c>
      <c r="BD50" s="99" t="s">
        <v>873</v>
      </c>
      <c r="BE50" s="75"/>
    </row>
    <row r="51" spans="1:57" ht="30" customHeight="1" x14ac:dyDescent="0.4">
      <c r="A51" s="25"/>
      <c r="B51" s="319" t="s">
        <v>879</v>
      </c>
      <c r="C51" s="323" t="s">
        <v>702</v>
      </c>
      <c r="D51" s="140">
        <f t="shared" ref="D51:D61" si="10">IF(scenarioChoice = "CM/AM",AA51, AC51)</f>
        <v>2337672.0086836056</v>
      </c>
      <c r="E51" s="140">
        <f t="shared" ref="E51:E61" si="11">IF(scenarioChoice = "CM/AM",AB51, AD51)</f>
        <v>162.77090836516044</v>
      </c>
      <c r="F51" s="140">
        <f t="shared" ref="F51:F61" si="12">AF51</f>
        <v>371877.74224473874</v>
      </c>
      <c r="G51" s="140">
        <f t="shared" ref="G51:G61" si="13">AG51</f>
        <v>27.090382923134143</v>
      </c>
      <c r="H51" s="141"/>
      <c r="I51" s="105"/>
      <c r="J51" s="25"/>
      <c r="K51" s="25"/>
      <c r="L51" s="25"/>
      <c r="M51" s="25"/>
      <c r="N51" s="25"/>
      <c r="O51" s="25"/>
      <c r="P51" s="25"/>
      <c r="Q51" s="25"/>
      <c r="R51" s="25"/>
      <c r="S51" s="25"/>
      <c r="T51" s="25"/>
      <c r="U51" s="25"/>
      <c r="V51" s="25"/>
      <c r="W51" s="25"/>
      <c r="X51" s="25"/>
      <c r="Y51" s="96" t="s">
        <v>60</v>
      </c>
      <c r="Z51" s="96" t="b">
        <v>1</v>
      </c>
      <c r="AA51" s="100">
        <f>'CM Calculator (BL)'!D37*'CM Calculator (BL)'!$D$130</f>
        <v>2337672.0086836056</v>
      </c>
      <c r="AB51" s="100">
        <f>'CM Calculator (BL)'!E37*'CM Calculator (BL)'!$E$130</f>
        <v>162.77090836516044</v>
      </c>
      <c r="AC51" s="100">
        <f>'AM Calculator (BL)'!D37*'CM Calculator (BL)'!$D$130</f>
        <v>0</v>
      </c>
      <c r="AD51" s="100">
        <f>'AM Calculator (BL)'!E37*'CM Calculator (BL)'!$E$130</f>
        <v>0</v>
      </c>
      <c r="AE51" s="100"/>
      <c r="AF51" s="100">
        <f>'AM Calculator (Alt)'!D37*'CM Calculator (BL)'!$D$130*IF($F$3,'AM Calculator (Alt)'!$E$145,1)</f>
        <v>371877.74224473874</v>
      </c>
      <c r="AG51" s="100">
        <f>'AM Calculator (Alt)'!E37*'CM Calculator (BL)'!$E$130*IF($F$3,'AM Calculator (Alt)'!$E$145,1)</f>
        <v>27.090382923134143</v>
      </c>
      <c r="AH51" s="96"/>
      <c r="AI51" s="96"/>
      <c r="AJ51" s="96"/>
      <c r="AK51" s="96"/>
      <c r="AL51" s="96" t="s">
        <v>60</v>
      </c>
      <c r="AM51" s="96" t="s">
        <v>702</v>
      </c>
      <c r="AN51" s="96">
        <f t="shared" ref="AN51:AN61" si="14">D51*Z51</f>
        <v>2337672.0086836056</v>
      </c>
      <c r="AO51" s="96">
        <f t="shared" ref="AO51:AO61" si="15">AF51*Z51</f>
        <v>371877.74224473874</v>
      </c>
      <c r="AP51" s="99"/>
      <c r="AQ51" s="99"/>
      <c r="AR51" s="99"/>
      <c r="AS51" s="99"/>
      <c r="AT51" s="99"/>
      <c r="AU51" s="99" t="s">
        <v>60</v>
      </c>
      <c r="AV51" s="97">
        <f>AN51</f>
        <v>2337672.0086836056</v>
      </c>
      <c r="AW51" s="97">
        <f>AN52</f>
        <v>0</v>
      </c>
      <c r="AX51" s="97"/>
      <c r="AY51" s="97"/>
      <c r="AZ51" s="97"/>
      <c r="BA51" s="97"/>
      <c r="BB51" s="97"/>
      <c r="BC51" s="97"/>
      <c r="BD51" s="97"/>
      <c r="BE51" s="75"/>
    </row>
    <row r="52" spans="1:57" ht="30" customHeight="1" x14ac:dyDescent="0.4">
      <c r="A52" s="25"/>
      <c r="B52" s="319" t="s">
        <v>879</v>
      </c>
      <c r="C52" s="324" t="s">
        <v>703</v>
      </c>
      <c r="D52" s="142">
        <f t="shared" si="10"/>
        <v>0</v>
      </c>
      <c r="E52" s="142">
        <f t="shared" si="11"/>
        <v>0</v>
      </c>
      <c r="F52" s="142">
        <f t="shared" si="12"/>
        <v>0</v>
      </c>
      <c r="G52" s="142">
        <f t="shared" si="13"/>
        <v>0</v>
      </c>
      <c r="H52" s="143"/>
      <c r="I52" s="105"/>
      <c r="J52" s="25"/>
      <c r="K52" s="25"/>
      <c r="L52" s="25"/>
      <c r="M52" s="25"/>
      <c r="N52" s="25"/>
      <c r="O52" s="25"/>
      <c r="P52" s="25"/>
      <c r="Q52" s="25"/>
      <c r="R52" s="25"/>
      <c r="S52" s="25"/>
      <c r="T52" s="25"/>
      <c r="U52" s="25"/>
      <c r="V52" s="25"/>
      <c r="W52" s="25"/>
      <c r="X52" s="25"/>
      <c r="Y52" s="96" t="s">
        <v>60</v>
      </c>
      <c r="Z52" s="96" t="b">
        <v>1</v>
      </c>
      <c r="AA52" s="100">
        <f>IF('CM Calculator (BL)'!D15="None", 0, 'CM Calculator (BL)'!D38*'CM Calculator (BL)'!$D$130)</f>
        <v>0</v>
      </c>
      <c r="AB52" s="100">
        <f>IF('CM Calculator (BL)'!D15="None",0,'CM Calculator (BL)'!E38*'CM Calculator (BL)'!$E$130)</f>
        <v>0</v>
      </c>
      <c r="AC52" s="100">
        <f>IF('AM Calculator (BL)'!D15="None",0,'AM Calculator (BL)'!D38*'CM Calculator (BL)'!$D$130)</f>
        <v>0</v>
      </c>
      <c r="AD52" s="100">
        <f>IF('AM Calculator (BL)'!D15="None",0,'AM Calculator (BL)'!E38*'CM Calculator (BL)'!$E$130)</f>
        <v>0</v>
      </c>
      <c r="AE52" s="100"/>
      <c r="AF52" s="100">
        <f>IF('AM Calculator (Alt)'!D15="None",0,'AM Calculator (Alt)'!D38*'CM Calculator (BL)'!$D$130)*IF($F$3,'AM Calculator (Alt)'!$E$145,1)</f>
        <v>0</v>
      </c>
      <c r="AG52" s="100">
        <f>IF('AM Calculator (Alt)'!D15="None",0,'AM Calculator (Alt)'!E38*'CM Calculator (BL)'!$E$130)*IF($F$3,'AM Calculator (Alt)'!$E$145,1)</f>
        <v>0</v>
      </c>
      <c r="AH52" s="96"/>
      <c r="AI52" s="96"/>
      <c r="AJ52" s="96"/>
      <c r="AK52" s="96"/>
      <c r="AL52" s="96" t="s">
        <v>60</v>
      </c>
      <c r="AM52" s="96" t="s">
        <v>703</v>
      </c>
      <c r="AN52" s="96">
        <f t="shared" si="14"/>
        <v>0</v>
      </c>
      <c r="AO52" s="96">
        <f t="shared" si="15"/>
        <v>0</v>
      </c>
      <c r="AP52" s="99"/>
      <c r="AQ52" s="99"/>
      <c r="AR52" s="99"/>
      <c r="AS52" s="99"/>
      <c r="AT52" s="99"/>
      <c r="AU52" s="99" t="s">
        <v>206</v>
      </c>
      <c r="AV52" s="97"/>
      <c r="AW52" s="97"/>
      <c r="AX52" s="97">
        <f>AN53</f>
        <v>4128</v>
      </c>
      <c r="AY52" s="97">
        <f>AN54</f>
        <v>795881.65500000003</v>
      </c>
      <c r="AZ52" s="97">
        <f>AN55</f>
        <v>0</v>
      </c>
      <c r="BA52" s="97"/>
      <c r="BB52" s="97"/>
      <c r="BC52" s="97"/>
      <c r="BD52" s="97"/>
      <c r="BE52" s="75"/>
    </row>
    <row r="53" spans="1:57" ht="30" customHeight="1" x14ac:dyDescent="0.8">
      <c r="A53" s="25"/>
      <c r="B53" s="320" t="s">
        <v>206</v>
      </c>
      <c r="C53" s="325" t="s">
        <v>405</v>
      </c>
      <c r="D53" s="142">
        <f t="shared" si="10"/>
        <v>4128</v>
      </c>
      <c r="E53" s="142">
        <f t="shared" si="11"/>
        <v>0.21603349616189813</v>
      </c>
      <c r="F53" s="142">
        <f t="shared" si="12"/>
        <v>182265.2320691667</v>
      </c>
      <c r="G53" s="142">
        <f t="shared" si="13"/>
        <v>19.928262844995206</v>
      </c>
      <c r="H53" s="143"/>
      <c r="I53" s="105"/>
      <c r="J53" s="25"/>
      <c r="K53" s="184" t="s">
        <v>964</v>
      </c>
      <c r="L53" s="25"/>
      <c r="M53" s="25"/>
      <c r="N53" s="25"/>
      <c r="O53" s="25"/>
      <c r="P53" s="25"/>
      <c r="Q53" s="25"/>
      <c r="R53" s="25"/>
      <c r="S53" s="25"/>
      <c r="T53" s="25"/>
      <c r="U53" s="25"/>
      <c r="V53" s="25"/>
      <c r="W53" s="25"/>
      <c r="X53" s="25"/>
      <c r="Y53" s="96" t="s">
        <v>869</v>
      </c>
      <c r="Z53" s="96" t="b">
        <v>1</v>
      </c>
      <c r="AA53" s="100">
        <f>'CM Calculator (BL)'!D44*'CM Calculator (BL)'!$D$130</f>
        <v>4128</v>
      </c>
      <c r="AB53" s="100">
        <f>'CM Calculator (BL)'!E44*'CM Calculator (BL)'!$E$130</f>
        <v>0.21603349616189813</v>
      </c>
      <c r="AC53" s="100">
        <f>IF('AM Calculator (BL)'!D41="Advanced",'AM Calculator (BL)'!D66,'AM Calculator (BL)'!D51)*'CM Calculator (BL)'!$D$130</f>
        <v>0</v>
      </c>
      <c r="AD53" s="100">
        <f>IF('AM Calculator (BL)'!D41="Advanced",'AM Calculator (BL)'!E66,'AM Calculator (BL)'!E51)*'CM Calculator (BL)'!$E$130</f>
        <v>0</v>
      </c>
      <c r="AE53" s="100"/>
      <c r="AF53" s="100">
        <f>IF('AM Calculator (Alt)'!D41="Advanced",'AM Calculator (Alt)'!D66,'AM Calculator (Alt)'!D51)*'CM Calculator (BL)'!$D$130*IF($F$3,'AM Calculator (Alt)'!$E$145,1)</f>
        <v>182265.2320691667</v>
      </c>
      <c r="AG53" s="100">
        <f>IF('AM Calculator (Alt)'!D41="Advanced",'AM Calculator (Alt)'!E66,'AM Calculator (Alt)'!E51)*'CM Calculator (BL)'!$E$130*IF($F$3,'AM Calculator (Alt)'!$E$145,1)</f>
        <v>19.928262844995206</v>
      </c>
      <c r="AH53" s="96"/>
      <c r="AI53" s="96"/>
      <c r="AJ53" s="96"/>
      <c r="AK53" s="96"/>
      <c r="AL53" s="96" t="s">
        <v>206</v>
      </c>
      <c r="AM53" s="96" t="s">
        <v>405</v>
      </c>
      <c r="AN53" s="96">
        <f t="shared" si="14"/>
        <v>4128</v>
      </c>
      <c r="AO53" s="96">
        <f t="shared" si="15"/>
        <v>182265.2320691667</v>
      </c>
      <c r="AP53" s="99"/>
      <c r="AQ53" s="99"/>
      <c r="AR53" s="99"/>
      <c r="AS53" s="99"/>
      <c r="AT53" s="99"/>
      <c r="AU53" s="99" t="s">
        <v>64</v>
      </c>
      <c r="AV53" s="97"/>
      <c r="AW53" s="97"/>
      <c r="AX53" s="97"/>
      <c r="AY53" s="97"/>
      <c r="AZ53" s="97"/>
      <c r="BA53" s="97">
        <f>AN56</f>
        <v>22838.186192296751</v>
      </c>
      <c r="BB53" s="97">
        <f>AN57</f>
        <v>17624.429171882057</v>
      </c>
      <c r="BC53" s="97"/>
      <c r="BD53" s="97"/>
      <c r="BE53" s="75"/>
    </row>
    <row r="54" spans="1:57" ht="30" customHeight="1" x14ac:dyDescent="0.4">
      <c r="A54" s="25"/>
      <c r="B54" s="320" t="s">
        <v>206</v>
      </c>
      <c r="C54" s="326" t="s">
        <v>495</v>
      </c>
      <c r="D54" s="142">
        <f t="shared" si="10"/>
        <v>795881.65500000003</v>
      </c>
      <c r="E54" s="142">
        <f t="shared" si="11"/>
        <v>87.019044778692034</v>
      </c>
      <c r="F54" s="142">
        <f t="shared" si="12"/>
        <v>561035.34</v>
      </c>
      <c r="G54" s="142">
        <f t="shared" si="13"/>
        <v>61.317158547504789</v>
      </c>
      <c r="H54" s="143"/>
      <c r="I54" s="105"/>
      <c r="J54" s="25"/>
      <c r="K54" s="25"/>
      <c r="L54" s="25"/>
      <c r="M54" s="25"/>
      <c r="N54" s="25"/>
      <c r="O54" s="25"/>
      <c r="P54" s="25"/>
      <c r="Q54" s="25"/>
      <c r="R54" s="25"/>
      <c r="S54" s="25"/>
      <c r="T54" s="25"/>
      <c r="U54" s="25"/>
      <c r="V54" s="25"/>
      <c r="W54" s="25"/>
      <c r="X54" s="25"/>
      <c r="Y54" s="96" t="s">
        <v>869</v>
      </c>
      <c r="Z54" s="96" t="b">
        <v>1</v>
      </c>
      <c r="AA54" s="100">
        <f>'CM Calculator (BL)'!D48*'CM Calculator (BL)'!$D$130</f>
        <v>795881.65500000003</v>
      </c>
      <c r="AB54" s="100">
        <f>'CM Calculator (BL)'!E48*'CM Calculator (BL)'!$E$130</f>
        <v>87.019044778692034</v>
      </c>
      <c r="AC54" s="100">
        <f>'AM Calculator (BL)'!D73*'CM Calculator (BL)'!$D$130</f>
        <v>0</v>
      </c>
      <c r="AD54" s="100">
        <f>'AM Calculator (BL)'!E73*'CM Calculator (BL)'!$E$130</f>
        <v>0</v>
      </c>
      <c r="AE54" s="100"/>
      <c r="AF54" s="100">
        <f>'AM Calculator (Alt)'!D73*'CM Calculator (BL)'!$D$130*IF($F$3,'AM Calculator (Alt)'!$E$145,1)</f>
        <v>561035.34</v>
      </c>
      <c r="AG54" s="100">
        <f>'AM Calculator (Alt)'!E73*'CM Calculator (BL)'!$E$130*IF($F$3,'AM Calculator (Alt)'!$E$145,1)</f>
        <v>61.317158547504789</v>
      </c>
      <c r="AH54" s="96"/>
      <c r="AI54" s="96"/>
      <c r="AJ54" s="96"/>
      <c r="AK54" s="96"/>
      <c r="AL54" s="96" t="s">
        <v>206</v>
      </c>
      <c r="AM54" s="96" t="s">
        <v>495</v>
      </c>
      <c r="AN54" s="96">
        <f t="shared" si="14"/>
        <v>795881.65500000003</v>
      </c>
      <c r="AO54" s="96">
        <f t="shared" si="15"/>
        <v>561035.34</v>
      </c>
      <c r="AP54" s="99"/>
      <c r="AQ54" s="99"/>
      <c r="AR54" s="99"/>
      <c r="AS54" s="99"/>
      <c r="AT54" s="99"/>
      <c r="AU54" s="99" t="s">
        <v>76</v>
      </c>
      <c r="AV54" s="97"/>
      <c r="AW54" s="97"/>
      <c r="AX54" s="97"/>
      <c r="AY54" s="97"/>
      <c r="AZ54" s="97"/>
      <c r="BA54" s="97"/>
      <c r="BB54" s="97"/>
      <c r="BC54" s="97">
        <f>AN58</f>
        <v>99583758.586800039</v>
      </c>
      <c r="BD54" s="97">
        <f>AN59</f>
        <v>0</v>
      </c>
      <c r="BE54" s="75"/>
    </row>
    <row r="55" spans="1:57" ht="30" customHeight="1" x14ac:dyDescent="0.4">
      <c r="A55" s="25"/>
      <c r="B55" s="320" t="s">
        <v>206</v>
      </c>
      <c r="C55" s="327" t="s">
        <v>166</v>
      </c>
      <c r="D55" s="142">
        <f t="shared" si="10"/>
        <v>0</v>
      </c>
      <c r="E55" s="142">
        <f t="shared" si="11"/>
        <v>0</v>
      </c>
      <c r="F55" s="142">
        <f t="shared" si="12"/>
        <v>2058.8206100000002</v>
      </c>
      <c r="G55" s="142">
        <f t="shared" si="13"/>
        <v>0.19486999999999999</v>
      </c>
      <c r="H55" s="143"/>
      <c r="I55" s="105"/>
      <c r="J55" s="25"/>
      <c r="K55" s="25"/>
      <c r="L55" s="25"/>
      <c r="M55" s="25"/>
      <c r="N55" s="25"/>
      <c r="O55" s="25"/>
      <c r="P55" s="25"/>
      <c r="Q55" s="25"/>
      <c r="R55" s="25"/>
      <c r="S55" s="25"/>
      <c r="T55" s="25"/>
      <c r="U55" s="25"/>
      <c r="V55" s="25"/>
      <c r="W55" s="25"/>
      <c r="X55" s="25"/>
      <c r="Y55" s="96" t="s">
        <v>206</v>
      </c>
      <c r="Z55" s="96" t="b">
        <v>1</v>
      </c>
      <c r="AA55" s="100">
        <f>CM_Tooling_E*'CM Calculator (BL)'!$D$130</f>
        <v>0</v>
      </c>
      <c r="AB55" s="100">
        <f>CM_Tooling_C*'CM Calculator (BL)'!$E$130</f>
        <v>0</v>
      </c>
      <c r="AC55" s="100">
        <f>AM_Tooling_E*'CM Calculator (BL)'!$D$130</f>
        <v>0</v>
      </c>
      <c r="AD55" s="100">
        <f>AM_Tooling_C*'CM Calculator (BL)'!$E$130</f>
        <v>0</v>
      </c>
      <c r="AE55" s="100"/>
      <c r="AF55" s="100">
        <f>'AM Calculator (Alt)'!AMa_Tooling_E*'CM Calculator (BL)'!$D$130*IF($F$3,'AM Calculator (Alt)'!$E$145,1)</f>
        <v>2058.8206100000002</v>
      </c>
      <c r="AG55" s="100">
        <f>'AM Calculator (Alt)'!AMa_Tooling_C*'CM Calculator (BL)'!$E$130*IF($F$3,'AM Calculator (Alt)'!$E$145,1)</f>
        <v>0.19486999999999999</v>
      </c>
      <c r="AH55" s="96"/>
      <c r="AI55" s="96"/>
      <c r="AJ55" s="96"/>
      <c r="AK55" s="96"/>
      <c r="AL55" s="96" t="s">
        <v>206</v>
      </c>
      <c r="AM55" s="96" t="s">
        <v>166</v>
      </c>
      <c r="AN55" s="96">
        <f t="shared" si="14"/>
        <v>0</v>
      </c>
      <c r="AO55" s="96">
        <f t="shared" si="15"/>
        <v>2058.8206100000002</v>
      </c>
      <c r="AP55" s="99"/>
      <c r="AQ55" s="99"/>
      <c r="AR55" s="99"/>
      <c r="AS55" s="99"/>
      <c r="AT55" s="99"/>
      <c r="AU55" s="99" t="s">
        <v>65</v>
      </c>
      <c r="AV55" s="97">
        <f>AN60</f>
        <v>-515071.94563820481</v>
      </c>
      <c r="AW55" s="97">
        <f>AO60</f>
        <v>-154706.89266386066</v>
      </c>
      <c r="AX55" s="97"/>
      <c r="AY55" s="97"/>
      <c r="AZ55" s="97"/>
      <c r="BA55" s="97"/>
      <c r="BB55" s="97"/>
      <c r="BC55" s="97"/>
      <c r="BD55" s="97"/>
      <c r="BE55" s="75"/>
    </row>
    <row r="56" spans="1:57" ht="30" customHeight="1" x14ac:dyDescent="0.4">
      <c r="A56" s="25"/>
      <c r="B56" s="321" t="s">
        <v>64</v>
      </c>
      <c r="C56" s="328" t="s">
        <v>870</v>
      </c>
      <c r="D56" s="142">
        <f t="shared" si="10"/>
        <v>22838.186192296751</v>
      </c>
      <c r="E56" s="142">
        <f t="shared" si="11"/>
        <v>0</v>
      </c>
      <c r="F56" s="142">
        <f t="shared" si="12"/>
        <v>7993.3651673038621</v>
      </c>
      <c r="G56" s="142">
        <f t="shared" si="13"/>
        <v>0.24604046143333658</v>
      </c>
      <c r="H56" s="143"/>
      <c r="I56" s="105"/>
      <c r="J56" s="25"/>
      <c r="K56" s="25"/>
      <c r="L56" s="25"/>
      <c r="M56" s="25"/>
      <c r="N56" s="25"/>
      <c r="O56" s="25"/>
      <c r="P56" s="25"/>
      <c r="Q56" s="25"/>
      <c r="R56" s="25"/>
      <c r="S56" s="25"/>
      <c r="T56" s="25"/>
      <c r="U56" s="25"/>
      <c r="V56" s="25"/>
      <c r="W56" s="25"/>
      <c r="X56" s="25"/>
      <c r="Y56" s="96" t="s">
        <v>64</v>
      </c>
      <c r="Z56" s="96" t="b">
        <v>1</v>
      </c>
      <c r="AA56" s="100">
        <f>(IF('CM Calculator (BL)'!D53="Simple",'CM Calculator (BL)'!D33*'CM Calculator (BL)'!D55*'CM Calculator (BL)'!D58,
IF('CM Calculator (BL)'!D56="Spacecraft",'CM Calculator (BL)'!D33*'CM Calculator (BL)'!D57,
IF('CM Calculator (BL)'!D61="Spacecraft",'CM Calculator (BL)'!D33*'CM Calculator (BL)'!D57*'CM Calculator (BL)'!D58,
'CM Calculator (BL)'!D33*'CM Calculator (BL)'!D57*'CM Calculator (BL)'!D58))))*'CM Calculator (BL)'!$D$130</f>
        <v>22838.186192296751</v>
      </c>
      <c r="AB56" s="100">
        <f>(IF('CM Calculator (BL)'!E53="Simple",'CM Calculator (BL)'!E33*'CM Calculator (BL)'!E55*'CM Calculator (BL)'!E58,
IF('CM Calculator (BL)'!E56="Spacecraft",'CM Calculator (BL)'!E33*'CM Calculator (BL)'!E57,
IF('CM Calculator (BL)'!E61="Spacecraft",'CM Calculator (BL)'!E33*'CM Calculator (BL)'!E57*'CM Calculator (BL)'!E58,
'CM Calculator (BL)'!E33*'CM Calculator (BL)'!E57*'CM Calculator (BL)'!E58))))*'CM Calculator (BL)'!$E$130</f>
        <v>0</v>
      </c>
      <c r="AC56" s="100">
        <f>(IF('AM Calculator (BL)'!D78="Simple",'AM Calculator (BL)'!D33*('AM Calculator (BL)'!D80*'AM Calculator (BL)'!D83),
IF('AM Calculator (BL)'!D81="Spacecraft",'AM Calculator (BL)'!D33*('AM Calculator (BL)'!D82),
IF('AM Calculator (BL)'!D86="Spacecraft",'AM Calculator (BL)'!D33*('AM Calculator (BL)'!D82*'AM Calculator (BL)'!D83),
'AM Calculator (BL)'!D33*('AM Calculator (BL)'!D82*'AM Calculator (BL)'!D83)))))*'CM Calculator (BL)'!$D$130</f>
        <v>0</v>
      </c>
      <c r="AD56" s="100">
        <f>(IF('AM Calculator (BL)'!D78="Simple",'AM Calculator (BL)'!D33*('AM Calculator (BL)'!E80*'AM Calculator (BL)'!D83),
IF('AM Calculator (BL)'!D81="Spacecraft",'AM Calculator (BL)'!D33*('AM Calculator (BL)'!E82),
IF('AM Calculator (BL)'!D86="Spacecraft",'AM Calculator (BL)'!D33*('AM Calculator (BL)'!E82*'AM Calculator (BL)'!D83),
'AM Calculator (BL)'!D33*('AM Calculator (BL)'!E82*'AM Calculator (BL)'!D83)))))*'CM Calculator (BL)'!$E$130</f>
        <v>0</v>
      </c>
      <c r="AE56" s="100"/>
      <c r="AF56" s="100">
        <f>(IF('AM Calculator (Alt)'!D78="Simple",'AM Calculator (Alt)'!D33*('AM Calculator (Alt)'!D80*'AM Calculator (Alt)'!D83),
IF('AM Calculator (Alt)'!D81="Spacecraft",'AM Calculator (Alt)'!D33*('AM Calculator (Alt)'!D82),
IF('AM Calculator (Alt)'!D86="Spacecraft",'AM Calculator (Alt)'!D33*('AM Calculator (Alt)'!D82*'AM Calculator (Alt)'!D83),
'AM Calculator (Alt)'!D33*('AM Calculator (Alt)'!D82*'AM Calculator (Alt)'!D83)))))*'CM Calculator (BL)'!$D$130*IF($F$3,'AM Calculator (Alt)'!$E$145,1)</f>
        <v>7993.3651673038621</v>
      </c>
      <c r="AG56" s="100">
        <f>(IF('AM Calculator (Alt)'!D78="Simple",'AM Calculator (Alt)'!D33*('AM Calculator (Alt)'!E80*'AM Calculator (Alt)'!D83),
IF('AM Calculator (Alt)'!D81="Spacecraft",'AM Calculator (Alt)'!D33*('AM Calculator (Alt)'!E82),
IF('AM Calculator (Alt)'!D86="Spacecraft",'AM Calculator (Alt)'!D33*('AM Calculator (Alt)'!E82*'AM Calculator (Alt)'!D83),
'AM Calculator (Alt)'!D33*('AM Calculator (Alt)'!E82*'AM Calculator (Alt)'!D83)))))*'CM Calculator (BL)'!$E$130*IF($F$3,'AM Calculator (Alt)'!$E$145,1)</f>
        <v>0.24604046143333658</v>
      </c>
      <c r="AH56" s="96"/>
      <c r="AI56" s="96"/>
      <c r="AJ56" s="96"/>
      <c r="AK56" s="96"/>
      <c r="AL56" s="96" t="s">
        <v>64</v>
      </c>
      <c r="AM56" s="96" t="s">
        <v>870</v>
      </c>
      <c r="AN56" s="96">
        <f t="shared" si="14"/>
        <v>22838.186192296751</v>
      </c>
      <c r="AO56" s="96">
        <f t="shared" si="15"/>
        <v>7993.3651673038621</v>
      </c>
      <c r="AP56" s="99"/>
      <c r="AQ56" s="99"/>
      <c r="AR56" s="99"/>
      <c r="AS56" s="99"/>
      <c r="AT56" s="99" t="s">
        <v>868</v>
      </c>
      <c r="AU56" s="99" t="s">
        <v>878</v>
      </c>
      <c r="AV56" s="97" t="s">
        <v>702</v>
      </c>
      <c r="AW56" s="97" t="s">
        <v>703</v>
      </c>
      <c r="AX56" s="97" t="s">
        <v>405</v>
      </c>
      <c r="AY56" s="97" t="s">
        <v>495</v>
      </c>
      <c r="AZ56" s="97" t="s">
        <v>166</v>
      </c>
      <c r="BA56" s="97" t="s">
        <v>870</v>
      </c>
      <c r="BB56" s="97" t="s">
        <v>871</v>
      </c>
      <c r="BC56" s="97" t="s">
        <v>872</v>
      </c>
      <c r="BD56" s="97" t="s">
        <v>873</v>
      </c>
      <c r="BE56" s="75"/>
    </row>
    <row r="57" spans="1:57" ht="30" customHeight="1" x14ac:dyDescent="0.4">
      <c r="A57" s="25"/>
      <c r="B57" s="321" t="s">
        <v>64</v>
      </c>
      <c r="C57" s="329" t="s">
        <v>871</v>
      </c>
      <c r="D57" s="142">
        <f t="shared" si="10"/>
        <v>17624.429171882057</v>
      </c>
      <c r="E57" s="142">
        <f t="shared" si="11"/>
        <v>0</v>
      </c>
      <c r="F57" s="142">
        <f t="shared" si="12"/>
        <v>6168.550210158719</v>
      </c>
      <c r="G57" s="142">
        <f t="shared" si="13"/>
        <v>0.18987158828802392</v>
      </c>
      <c r="H57" s="143"/>
      <c r="I57" s="105"/>
      <c r="J57" s="25"/>
      <c r="K57" s="25"/>
      <c r="L57" s="25"/>
      <c r="M57" s="25"/>
      <c r="N57" s="25"/>
      <c r="O57" s="25"/>
      <c r="P57" s="25"/>
      <c r="Q57" s="25"/>
      <c r="R57" s="25"/>
      <c r="S57" s="25"/>
      <c r="T57" s="25"/>
      <c r="U57" s="25"/>
      <c r="V57" s="25"/>
      <c r="W57" s="25"/>
      <c r="X57" s="25"/>
      <c r="Y57" s="96" t="s">
        <v>64</v>
      </c>
      <c r="Z57" s="96" t="b">
        <v>1</v>
      </c>
      <c r="AA57" s="100">
        <f>(IF('CM Calculator (BL)'!D53="Simple",'CM Calculator (BL)'!D33*('CM Calculator (BL)'!D60*'CM Calculator (BL)'!D63),
IF('CM Calculator (BL)'!D56="Spacecraft",'CM Calculator (BL)'!D33*('CM Calculator (BL)'!D62*'CM Calculator (BL)'!D63),
IF('CM Calculator (BL)'!D61="Spacecraft",'CM Calculator (BL)'!D33*('CM Calculator (BL)'!D62),
'CM Calculator (BL)'!D33*('CM Calculator (BL)'!D62*'CM Calculator (BL)'!D63)))))*'CM Calculator (BL)'!$D$130</f>
        <v>17624.429171882057</v>
      </c>
      <c r="AB57" s="100">
        <f>(IF('CM Calculator (BL)'!E53="Simple",'CM Calculator (BL)'!E33*('CM Calculator (BL)'!E60*'CM Calculator (BL)'!E63),
IF('CM Calculator (BL)'!E56="Spacecraft",'CM Calculator (BL)'!E33*('CM Calculator (BL)'!E62*'CM Calculator (BL)'!E63),
IF('CM Calculator (BL)'!E61="Spacecraft",'CM Calculator (BL)'!E33*('CM Calculator (BL)'!E62),
'CM Calculator (BL)'!E33*('CM Calculator (BL)'!E62*'CM Calculator (BL)'!E63)))))*'CM Calculator (BL)'!$E$130</f>
        <v>0</v>
      </c>
      <c r="AC57" s="100">
        <f>(IF('AM Calculator (BL)'!D78="Simple",'AM Calculator (BL)'!D33*('AM Calculator (BL)'!D85*'AM Calculator (BL)'!D88),
IF('AM Calculator (BL)'!D81="Spacecraft",'AM Calculator (BL)'!D33*('AM Calculator (BL)'!D87*'AM Calculator (BL)'!D88),
IF('AM Calculator (BL)'!D86="Spacecraft",'AM Calculator (BL)'!D33*('AM Calculator (BL)'!D87),
'AM Calculator (BL)'!D33*('AM Calculator (BL)'!D87*'AM Calculator (BL)'!D88)))))*'CM Calculator (BL)'!$D$130</f>
        <v>0</v>
      </c>
      <c r="AD57" s="100">
        <f>(IF('AM Calculator (BL)'!D78="Simple",'AM Calculator (BL)'!D33*('AM Calculator (BL)'!E85*'AM Calculator (BL)'!D88),
IF('AM Calculator (BL)'!D81="Spacecraft",'AM Calculator (BL)'!D33*('AM Calculator (BL)'!E87*'AM Calculator (BL)'!D88),
IF('AM Calculator (BL)'!D86="Spacecraft",'AM Calculator (BL)'!D33*('AM Calculator (BL)'!E87),
'AM Calculator (BL)'!D33*('AM Calculator (BL)'!E87*'AM Calculator (BL)'!D88)))))*'CM Calculator (BL)'!$E$130</f>
        <v>0</v>
      </c>
      <c r="AE57" s="100"/>
      <c r="AF57" s="100">
        <f>(IF('AM Calculator (Alt)'!D78="Simple",'AM Calculator (Alt)'!D33*('AM Calculator (Alt)'!D85*'AM Calculator (Alt)'!D88),
IF('AM Calculator (Alt)'!D81="Spacecraft",'AM Calculator (Alt)'!D33*('AM Calculator (Alt)'!D87*'AM Calculator (Alt)'!D88),
IF('AM Calculator (Alt)'!D86="Spacecraft",'AM Calculator (Alt)'!D33*('AM Calculator (Alt)'!D87),
'AM Calculator (Alt)'!D33*('AM Calculator (Alt)'!D87*'AM Calculator (Alt)'!D88)))))*'CM Calculator (BL)'!$D$130*IF($F$3,'AM Calculator (Alt)'!$E$145,1)</f>
        <v>6168.550210158719</v>
      </c>
      <c r="AG57" s="100">
        <f>(IF('AM Calculator (Alt)'!D78="Simple",'AM Calculator (Alt)'!D33*('AM Calculator (Alt)'!E85*'AM Calculator (Alt)'!D88),
IF('AM Calculator (Alt)'!D81="Spacecraft",'AM Calculator (Alt)'!D33*('AM Calculator (Alt)'!E87*'AM Calculator (Alt)'!D88),
IF('AM Calculator (Alt)'!D86="Spacecraft",'AM Calculator (Alt)'!D33*('AM Calculator (Alt)'!E87),
'AM Calculator (Alt)'!D33*('AM Calculator (Alt)'!E87*'AM Calculator (Alt)'!D88)))))*'CM Calculator (BL)'!$E$130*IF($F$3,'AM Calculator (Alt)'!$E$145,1)</f>
        <v>0.18987158828802392</v>
      </c>
      <c r="AH57" s="96"/>
      <c r="AI57" s="96"/>
      <c r="AJ57" s="96"/>
      <c r="AK57" s="96"/>
      <c r="AL57" s="96" t="s">
        <v>64</v>
      </c>
      <c r="AM57" s="96" t="s">
        <v>871</v>
      </c>
      <c r="AN57" s="96">
        <f t="shared" si="14"/>
        <v>17624.429171882057</v>
      </c>
      <c r="AO57" s="96">
        <f t="shared" si="15"/>
        <v>6168.550210158719</v>
      </c>
      <c r="AP57" s="99"/>
      <c r="AQ57" s="99"/>
      <c r="AR57" s="99"/>
      <c r="AS57" s="99"/>
      <c r="AT57" s="99"/>
      <c r="AU57" s="99" t="s">
        <v>60</v>
      </c>
      <c r="AV57" s="97">
        <f>AO51</f>
        <v>371877.74224473874</v>
      </c>
      <c r="AW57" s="97">
        <f>AO52</f>
        <v>0</v>
      </c>
      <c r="AX57" s="97"/>
      <c r="AY57" s="97"/>
      <c r="AZ57" s="97"/>
      <c r="BA57" s="97"/>
      <c r="BB57" s="97"/>
      <c r="BC57" s="97"/>
      <c r="BD57" s="97"/>
      <c r="BE57" s="75"/>
    </row>
    <row r="58" spans="1:57" ht="30" customHeight="1" x14ac:dyDescent="0.4">
      <c r="A58" s="25"/>
      <c r="B58" s="144" t="s">
        <v>76</v>
      </c>
      <c r="C58" s="145" t="s">
        <v>872</v>
      </c>
      <c r="D58" s="142">
        <f t="shared" si="10"/>
        <v>99583758.586800039</v>
      </c>
      <c r="E58" s="142">
        <f t="shared" si="11"/>
        <v>7215.5743232985378</v>
      </c>
      <c r="F58" s="142">
        <f t="shared" si="12"/>
        <v>34854315.505380012</v>
      </c>
      <c r="G58" s="142">
        <f t="shared" si="13"/>
        <v>2525.451013154488</v>
      </c>
      <c r="H58" s="143"/>
      <c r="I58" s="105"/>
      <c r="J58" s="25"/>
      <c r="K58" s="25"/>
      <c r="L58" s="25"/>
      <c r="M58" s="25"/>
      <c r="N58" s="25"/>
      <c r="O58" s="25"/>
      <c r="P58" s="25"/>
      <c r="Q58" s="25"/>
      <c r="R58" s="25"/>
      <c r="S58" s="25"/>
      <c r="T58" s="25"/>
      <c r="U58" s="25"/>
      <c r="V58" s="25"/>
      <c r="W58" s="25"/>
      <c r="X58" s="25"/>
      <c r="Y58" s="96" t="s">
        <v>76</v>
      </c>
      <c r="Z58" s="96" t="b">
        <v>1</v>
      </c>
      <c r="AA58" s="100">
        <f>IF('CM Calculator (BL)'!D68="Yes",'CM Calculator (BL)'!D75*'CM Calculator (BL)'!$D$130,0)</f>
        <v>99583758.586800039</v>
      </c>
      <c r="AB58" s="100">
        <f>IF('CM Calculator (BL)'!D68="Yes",'CM Calculator (BL)'!E75*'CM Calculator (BL)'!$E$130,0)</f>
        <v>7215.5743232985378</v>
      </c>
      <c r="AC58" s="100">
        <f>IF('AM Calculator (BL)'!D93="Yes",'AM Calculator (BL)'!D100*'CM Calculator (BL)'!$D$130,0)</f>
        <v>0</v>
      </c>
      <c r="AD58" s="100">
        <f>IF('AM Calculator (BL)'!D93="Yes",'AM Calculator (BL)'!E100*'CM Calculator (BL)'!$E$130,0)</f>
        <v>0</v>
      </c>
      <c r="AE58" s="100"/>
      <c r="AF58" s="100">
        <f>IF('AM Calculator (Alt)'!D93="Yes",'AM Calculator (Alt)'!D100*'CM Calculator (BL)'!$D$130,0)*IF($F$3,'AM Calculator (Alt)'!$E$145,1)</f>
        <v>34854315.505380012</v>
      </c>
      <c r="AG58" s="100">
        <f>IF('AM Calculator (Alt)'!D93="Yes",'AM Calculator (Alt)'!E100*'CM Calculator (BL)'!$E$130,0)*IF($F$3,'AM Calculator (Alt)'!$E$145,1)</f>
        <v>2525.451013154488</v>
      </c>
      <c r="AH58" s="96"/>
      <c r="AI58" s="96"/>
      <c r="AJ58" s="96"/>
      <c r="AK58" s="96"/>
      <c r="AL58" s="96" t="s">
        <v>76</v>
      </c>
      <c r="AM58" s="96" t="s">
        <v>872</v>
      </c>
      <c r="AN58" s="96">
        <f t="shared" si="14"/>
        <v>99583758.586800039</v>
      </c>
      <c r="AO58" s="96">
        <f t="shared" si="15"/>
        <v>34854315.505380012</v>
      </c>
      <c r="AP58" s="99"/>
      <c r="AQ58" s="99"/>
      <c r="AR58" s="99"/>
      <c r="AS58" s="99"/>
      <c r="AT58" s="99"/>
      <c r="AU58" s="99" t="s">
        <v>206</v>
      </c>
      <c r="AV58" s="97"/>
      <c r="AW58" s="97"/>
      <c r="AX58" s="97">
        <f>AO53</f>
        <v>182265.2320691667</v>
      </c>
      <c r="AY58" s="97">
        <f>AO54</f>
        <v>561035.34</v>
      </c>
      <c r="AZ58" s="97">
        <f>AO55</f>
        <v>2058.8206100000002</v>
      </c>
      <c r="BA58" s="97"/>
      <c r="BB58" s="97"/>
      <c r="BC58" s="97"/>
      <c r="BD58" s="97"/>
      <c r="BE58" s="75"/>
    </row>
    <row r="59" spans="1:57" ht="30" customHeight="1" thickBot="1" x14ac:dyDescent="0.45">
      <c r="A59" s="25"/>
      <c r="B59" s="144" t="s">
        <v>76</v>
      </c>
      <c r="C59" s="146" t="s">
        <v>873</v>
      </c>
      <c r="D59" s="142">
        <f t="shared" si="10"/>
        <v>0</v>
      </c>
      <c r="E59" s="142">
        <f t="shared" si="11"/>
        <v>0</v>
      </c>
      <c r="F59" s="142">
        <f t="shared" si="12"/>
        <v>0</v>
      </c>
      <c r="G59" s="142">
        <f t="shared" si="13"/>
        <v>0</v>
      </c>
      <c r="H59" s="143"/>
      <c r="I59" s="105"/>
      <c r="J59" s="25"/>
      <c r="K59" s="25"/>
      <c r="L59" s="25"/>
      <c r="M59" s="25"/>
      <c r="N59" s="25"/>
      <c r="O59" s="25"/>
      <c r="P59" s="25"/>
      <c r="Q59" s="25"/>
      <c r="R59" s="25"/>
      <c r="S59" s="25"/>
      <c r="T59" s="25"/>
      <c r="U59" s="25"/>
      <c r="V59" s="25"/>
      <c r="W59" s="25"/>
      <c r="X59" s="25"/>
      <c r="Y59" s="96" t="s">
        <v>76</v>
      </c>
      <c r="Z59" s="96" t="b">
        <v>1</v>
      </c>
      <c r="AA59" s="100">
        <f>IF('CM Calculator (BL)'!D77="Yes",'CM Calculator (BL)'!D82*'CM Calculator (BL)'!$D$130,0)</f>
        <v>0</v>
      </c>
      <c r="AB59" s="100">
        <f>IF('CM Calculator (BL)'!D77="Yes",'CM Calculator (BL)'!E82*'CM Calculator (BL)'!$E$130,0)</f>
        <v>0</v>
      </c>
      <c r="AC59" s="100">
        <f>IF('AM Calculator (BL)'!D102="Yes",'AM Calculator (BL)'!D107*'CM Calculator (BL)'!$D$130,0)</f>
        <v>0</v>
      </c>
      <c r="AD59" s="100">
        <f>IF('AM Calculator (BL)'!D102="Yes",'AM Calculator (BL)'!E107*'CM Calculator (BL)'!$E$130,0)</f>
        <v>0</v>
      </c>
      <c r="AE59" s="100"/>
      <c r="AF59" s="100">
        <f>IF('AM Calculator (Alt)'!D102="Yes",'AM Calculator (Alt)'!D107*'CM Calculator (BL)'!$D$130,0)*IF($F$3,'AM Calculator (Alt)'!$E$145,1)</f>
        <v>0</v>
      </c>
      <c r="AG59" s="100">
        <f>IF('AM Calculator (Alt)'!D102="Yes",'AM Calculator (Alt)'!E107*'CM Calculator (BL)'!$E$130,0)*IF($F$3,'AM Calculator (Alt)'!$E$145,1)</f>
        <v>0</v>
      </c>
      <c r="AH59" s="96"/>
      <c r="AI59" s="96"/>
      <c r="AJ59" s="96"/>
      <c r="AK59" s="96"/>
      <c r="AL59" s="96" t="s">
        <v>76</v>
      </c>
      <c r="AM59" s="96" t="s">
        <v>873</v>
      </c>
      <c r="AN59" s="96">
        <f t="shared" si="14"/>
        <v>0</v>
      </c>
      <c r="AO59" s="96">
        <f t="shared" si="15"/>
        <v>0</v>
      </c>
      <c r="AP59" s="99"/>
      <c r="AQ59" s="99"/>
      <c r="AR59" s="99"/>
      <c r="AS59" s="99"/>
      <c r="AT59" s="99"/>
      <c r="AU59" s="99" t="s">
        <v>64</v>
      </c>
      <c r="AV59" s="97"/>
      <c r="AW59" s="97"/>
      <c r="AX59" s="97"/>
      <c r="AY59" s="97"/>
      <c r="AZ59" s="97"/>
      <c r="BA59" s="97">
        <f>AO56</f>
        <v>7993.3651673038621</v>
      </c>
      <c r="BB59" s="97">
        <f>AO57</f>
        <v>6168.550210158719</v>
      </c>
      <c r="BC59" s="97"/>
      <c r="BD59" s="97"/>
      <c r="BE59" s="75"/>
    </row>
    <row r="60" spans="1:57" ht="30" customHeight="1" thickBot="1" x14ac:dyDescent="0.45">
      <c r="A60" s="25"/>
      <c r="B60" s="322" t="s">
        <v>65</v>
      </c>
      <c r="C60" s="323" t="s">
        <v>702</v>
      </c>
      <c r="D60" s="142">
        <f t="shared" si="10"/>
        <v>-515071.94563820481</v>
      </c>
      <c r="E60" s="142">
        <f t="shared" si="11"/>
        <v>-37.701220919704987</v>
      </c>
      <c r="F60" s="142">
        <f t="shared" si="12"/>
        <v>-154706.89266386066</v>
      </c>
      <c r="G60" s="142">
        <f t="shared" si="13"/>
        <v>-11.612364225671545</v>
      </c>
      <c r="H60" s="143"/>
      <c r="I60" s="105"/>
      <c r="J60" s="25"/>
      <c r="K60" s="25"/>
      <c r="L60" s="25"/>
      <c r="M60" s="25"/>
      <c r="N60" s="25"/>
      <c r="O60" s="25"/>
      <c r="P60" s="25"/>
      <c r="Q60" s="25"/>
      <c r="R60" s="25"/>
      <c r="S60" s="25"/>
      <c r="T60" s="25"/>
      <c r="U60" s="25"/>
      <c r="V60" s="25"/>
      <c r="W60" s="25"/>
      <c r="X60" s="25"/>
      <c r="Y60" s="96" t="s">
        <v>65</v>
      </c>
      <c r="Z60" s="96" t="b">
        <v>1</v>
      </c>
      <c r="AA60" s="100">
        <f>'CM Calculator (BL)'!D87*'CM Calculator (BL)'!$D$130</f>
        <v>-515071.94563820481</v>
      </c>
      <c r="AB60" s="100">
        <f>'CM Calculator (BL)'!E87*'CM Calculator (BL)'!$E$130</f>
        <v>-37.701220919704987</v>
      </c>
      <c r="AC60" s="100">
        <f>'AM Calculator (BL)'!D112*'CM Calculator (BL)'!$D$130</f>
        <v>0</v>
      </c>
      <c r="AD60" s="100">
        <f>'AM Calculator (BL)'!E112*'CM Calculator (BL)'!$E$130</f>
        <v>0</v>
      </c>
      <c r="AE60" s="100"/>
      <c r="AF60" s="100">
        <f>'AM Calculator (Alt)'!D112*'CM Calculator (BL)'!$D$130*IF($F$3,'AM Calculator (Alt)'!$E$145,1)</f>
        <v>-154706.89266386066</v>
      </c>
      <c r="AG60" s="100">
        <f>'AM Calculator (Alt)'!E112*'CM Calculator (BL)'!$E$130*IF($F$3,'AM Calculator (Alt)'!$E$145,1)</f>
        <v>-11.612364225671545</v>
      </c>
      <c r="AH60" s="96"/>
      <c r="AI60" s="96"/>
      <c r="AJ60" s="96"/>
      <c r="AK60" s="96"/>
      <c r="AL60" s="96" t="s">
        <v>65</v>
      </c>
      <c r="AM60" s="96" t="s">
        <v>702</v>
      </c>
      <c r="AN60" s="96">
        <f t="shared" si="14"/>
        <v>-515071.94563820481</v>
      </c>
      <c r="AO60" s="96">
        <f t="shared" si="15"/>
        <v>-154706.89266386066</v>
      </c>
      <c r="AP60" s="99"/>
      <c r="AQ60" s="99"/>
      <c r="AR60" s="99"/>
      <c r="AS60" s="99"/>
      <c r="AT60" s="99"/>
      <c r="AU60" s="99" t="s">
        <v>76</v>
      </c>
      <c r="AV60" s="97"/>
      <c r="AW60" s="97"/>
      <c r="AX60" s="97"/>
      <c r="AY60" s="97"/>
      <c r="AZ60" s="97"/>
      <c r="BA60" s="97"/>
      <c r="BB60" s="97"/>
      <c r="BC60" s="97">
        <f>AO58</f>
        <v>34854315.505380012</v>
      </c>
      <c r="BD60" s="97">
        <f>AO59</f>
        <v>0</v>
      </c>
      <c r="BE60" s="75"/>
    </row>
    <row r="61" spans="1:57" ht="30" customHeight="1" thickBot="1" x14ac:dyDescent="0.45">
      <c r="A61" s="25"/>
      <c r="B61" s="322" t="s">
        <v>65</v>
      </c>
      <c r="C61" s="324" t="s">
        <v>703</v>
      </c>
      <c r="D61" s="147">
        <f t="shared" si="10"/>
        <v>0</v>
      </c>
      <c r="E61" s="147">
        <f t="shared" si="11"/>
        <v>0</v>
      </c>
      <c r="F61" s="147">
        <f t="shared" si="12"/>
        <v>0</v>
      </c>
      <c r="G61" s="147">
        <f t="shared" si="13"/>
        <v>0</v>
      </c>
      <c r="H61" s="148"/>
      <c r="I61" s="105"/>
      <c r="J61" s="25"/>
      <c r="K61" s="25"/>
      <c r="L61" s="25"/>
      <c r="M61" s="25"/>
      <c r="N61" s="25"/>
      <c r="O61" s="25"/>
      <c r="P61" s="25"/>
      <c r="Q61" s="25"/>
      <c r="R61" s="25"/>
      <c r="S61" s="25"/>
      <c r="T61" s="25"/>
      <c r="U61" s="25"/>
      <c r="V61" s="25"/>
      <c r="W61" s="25"/>
      <c r="X61" s="25"/>
      <c r="Y61" s="96" t="s">
        <v>65</v>
      </c>
      <c r="Z61" s="96" t="b">
        <v>1</v>
      </c>
      <c r="AA61" s="100">
        <f>IF('CM Calculator (BL)'!D15="None",0,'CM Calculator (BL)'!D90*'CM Calculator (BL)'!$D$130)</f>
        <v>0</v>
      </c>
      <c r="AB61" s="100">
        <f>IF('CM Calculator (BL)'!D15="None",0,'CM Calculator (BL)'!E90*'CM Calculator (BL)'!$E$130)</f>
        <v>0</v>
      </c>
      <c r="AC61" s="100">
        <f>IF('AM Calculator (BL)'!D15="None",0,'AM Calculator (BL)'!D115*'CM Calculator (BL)'!$D$130)</f>
        <v>0</v>
      </c>
      <c r="AD61" s="100">
        <f>IF('AM Calculator (BL)'!D15="None",0,'AM Calculator (BL)'!E115*'CM Calculator (BL)'!$E$130)</f>
        <v>0</v>
      </c>
      <c r="AE61" s="100"/>
      <c r="AF61" s="100">
        <f>IF('AM Calculator (Alt)'!D15="None",0,'AM Calculator (Alt)'!D115*'CM Calculator (BL)'!$D$130)*IF($F$3,'AM Calculator (Alt)'!$E$145,1)</f>
        <v>0</v>
      </c>
      <c r="AG61" s="100">
        <f>IF('AM Calculator (Alt)'!D15="None",0,'AM Calculator (Alt)'!E115*'CM Calculator (BL)'!$E$130)*IF($F$3,'AM Calculator (Alt)'!$E$145,1)</f>
        <v>0</v>
      </c>
      <c r="AH61" s="96"/>
      <c r="AI61" s="96"/>
      <c r="AJ61" s="96"/>
      <c r="AK61" s="96"/>
      <c r="AL61" s="96" t="s">
        <v>65</v>
      </c>
      <c r="AM61" s="96" t="s">
        <v>703</v>
      </c>
      <c r="AN61" s="96">
        <f t="shared" si="14"/>
        <v>0</v>
      </c>
      <c r="AO61" s="96">
        <f t="shared" si="15"/>
        <v>0</v>
      </c>
      <c r="AP61" s="99"/>
      <c r="AQ61" s="99"/>
      <c r="AR61" s="99"/>
      <c r="AS61" s="99"/>
      <c r="AT61" s="99"/>
      <c r="AU61" s="99" t="s">
        <v>65</v>
      </c>
      <c r="AV61" s="97">
        <f>AO60</f>
        <v>-154706.89266386066</v>
      </c>
      <c r="AW61" s="97">
        <f>AO61</f>
        <v>0</v>
      </c>
      <c r="AX61" s="97"/>
      <c r="AY61" s="97"/>
      <c r="AZ61" s="97"/>
      <c r="BA61" s="97"/>
      <c r="BB61" s="97"/>
      <c r="BC61" s="97"/>
      <c r="BD61" s="97"/>
      <c r="BE61" s="75"/>
    </row>
    <row r="62" spans="1:57" ht="30" customHeight="1" x14ac:dyDescent="0.35">
      <c r="A62" s="25"/>
      <c r="B62" s="105"/>
      <c r="C62" s="105"/>
      <c r="D62" s="105"/>
      <c r="E62" s="105"/>
      <c r="F62" s="149"/>
      <c r="G62" s="105"/>
      <c r="H62" s="105"/>
      <c r="I62" s="105"/>
      <c r="J62" s="25"/>
      <c r="K62" s="25"/>
      <c r="L62" s="25"/>
      <c r="M62" s="25"/>
      <c r="N62" s="25"/>
      <c r="O62" s="25"/>
      <c r="P62" s="25"/>
      <c r="Q62" s="25"/>
      <c r="R62" s="25"/>
      <c r="S62" s="25"/>
      <c r="T62" s="25"/>
      <c r="U62" s="25"/>
      <c r="V62" s="25"/>
      <c r="W62" s="25"/>
      <c r="X62" s="25"/>
      <c r="Y62" s="96"/>
      <c r="Z62" s="96"/>
      <c r="AA62" s="96"/>
      <c r="AB62" s="96"/>
      <c r="AC62" s="96"/>
      <c r="AD62" s="96"/>
      <c r="AE62" s="96"/>
      <c r="AF62" s="96"/>
      <c r="AG62" s="96"/>
      <c r="AH62" s="96"/>
      <c r="AI62" s="96"/>
      <c r="AJ62" s="96"/>
      <c r="AK62" s="96"/>
      <c r="AL62" s="96"/>
      <c r="AM62" s="96"/>
      <c r="AN62" s="96"/>
      <c r="AO62" s="96"/>
      <c r="AP62" s="99"/>
      <c r="AQ62" s="99"/>
      <c r="AR62" s="99"/>
      <c r="AS62" s="99"/>
      <c r="AT62" s="99"/>
      <c r="AU62" s="99"/>
      <c r="AV62" s="97"/>
      <c r="AW62" s="97"/>
      <c r="AX62" s="97"/>
      <c r="AY62" s="97"/>
      <c r="AZ62" s="97"/>
      <c r="BA62" s="97"/>
      <c r="BB62" s="97"/>
      <c r="BC62" s="97"/>
      <c r="BD62" s="97"/>
      <c r="BE62" s="75"/>
    </row>
    <row r="63" spans="1:57" ht="30" customHeight="1" x14ac:dyDescent="0.35">
      <c r="A63" s="25"/>
      <c r="B63" s="25"/>
      <c r="C63" s="25"/>
      <c r="D63" s="25"/>
      <c r="E63" s="25"/>
      <c r="F63" s="25"/>
      <c r="G63" s="25"/>
      <c r="H63" s="25"/>
      <c r="I63" s="25"/>
      <c r="J63" s="25"/>
      <c r="K63" s="25"/>
      <c r="L63" s="25"/>
      <c r="M63" s="25"/>
      <c r="N63" s="25"/>
      <c r="O63" s="25"/>
      <c r="P63" s="25"/>
      <c r="Q63" s="25"/>
      <c r="R63" s="25"/>
      <c r="S63" s="25"/>
      <c r="T63" s="25"/>
      <c r="U63" s="25"/>
      <c r="V63" s="25"/>
      <c r="W63" s="25"/>
      <c r="X63" s="25"/>
      <c r="Y63" s="96"/>
      <c r="Z63" s="96"/>
      <c r="AA63" s="96"/>
      <c r="AB63" s="96"/>
      <c r="AC63" s="96"/>
      <c r="AD63" s="96"/>
      <c r="AE63" s="96"/>
      <c r="AF63" s="96"/>
      <c r="AG63" s="96"/>
      <c r="AH63" s="96"/>
      <c r="AI63" s="96"/>
      <c r="AJ63" s="96"/>
      <c r="AK63" s="96"/>
      <c r="AL63" s="96"/>
      <c r="AM63" s="96"/>
      <c r="AN63" s="96"/>
      <c r="AO63" s="96"/>
      <c r="AP63" s="99"/>
      <c r="AQ63" s="99"/>
      <c r="AR63" s="99"/>
      <c r="AS63" s="99"/>
      <c r="AT63" s="99"/>
      <c r="AU63" s="99"/>
      <c r="AV63" s="97"/>
      <c r="AW63" s="97"/>
      <c r="AX63" s="97"/>
      <c r="AY63" s="97"/>
      <c r="AZ63" s="97"/>
      <c r="BA63" s="97"/>
      <c r="BB63" s="97"/>
      <c r="BC63" s="97"/>
      <c r="BD63" s="97"/>
      <c r="BE63" s="75"/>
    </row>
    <row r="64" spans="1:57" ht="30" customHeight="1" x14ac:dyDescent="0.35">
      <c r="A64" s="25"/>
      <c r="B64" s="25"/>
      <c r="C64" s="25"/>
      <c r="D64" s="25"/>
      <c r="E64" s="25"/>
      <c r="F64" s="25"/>
      <c r="G64" s="25"/>
      <c r="H64" s="25"/>
      <c r="I64" s="25"/>
      <c r="J64" s="25"/>
      <c r="K64" s="25"/>
      <c r="L64" s="25"/>
      <c r="M64" s="25"/>
      <c r="N64" s="25"/>
      <c r="O64" s="25"/>
      <c r="P64" s="25"/>
      <c r="Q64" s="25"/>
      <c r="R64" s="25"/>
      <c r="S64" s="25"/>
      <c r="T64" s="25"/>
      <c r="U64" s="25"/>
      <c r="V64" s="25"/>
      <c r="W64" s="25"/>
      <c r="X64" s="25"/>
      <c r="Y64" s="96"/>
      <c r="Z64" s="96"/>
      <c r="AA64" s="96"/>
      <c r="AB64" s="96"/>
      <c r="AC64" s="96"/>
      <c r="AD64" s="96"/>
      <c r="AE64" s="96"/>
      <c r="AF64" s="96"/>
      <c r="AG64" s="96"/>
      <c r="AH64" s="96"/>
      <c r="AI64" s="96"/>
      <c r="AJ64" s="96"/>
      <c r="AK64" s="96"/>
      <c r="AL64" s="96" t="s">
        <v>876</v>
      </c>
      <c r="AM64" s="96" t="s">
        <v>877</v>
      </c>
      <c r="AN64" s="96" t="s">
        <v>867</v>
      </c>
      <c r="AO64" s="96"/>
      <c r="AP64" s="99"/>
      <c r="AQ64" s="99"/>
      <c r="AR64" s="99"/>
      <c r="AS64" s="99"/>
      <c r="AT64" s="99" t="s">
        <v>867</v>
      </c>
      <c r="AU64" s="99" t="s">
        <v>878</v>
      </c>
      <c r="AV64" s="101" t="s">
        <v>702</v>
      </c>
      <c r="AW64" s="101" t="s">
        <v>703</v>
      </c>
      <c r="AX64" s="101" t="s">
        <v>405</v>
      </c>
      <c r="AY64" s="101" t="s">
        <v>495</v>
      </c>
      <c r="AZ64" s="101" t="s">
        <v>166</v>
      </c>
      <c r="BA64" s="101" t="s">
        <v>870</v>
      </c>
      <c r="BB64" s="101" t="s">
        <v>871</v>
      </c>
      <c r="BC64" s="101" t="s">
        <v>872</v>
      </c>
      <c r="BD64" s="101" t="s">
        <v>873</v>
      </c>
      <c r="BE64" s="75"/>
    </row>
    <row r="65" spans="1:57" ht="30" customHeight="1" x14ac:dyDescent="0.35">
      <c r="A65" s="25"/>
      <c r="B65" s="25"/>
      <c r="C65" s="25"/>
      <c r="D65" s="25"/>
      <c r="E65" s="25"/>
      <c r="F65" s="25"/>
      <c r="G65" s="25"/>
      <c r="H65" s="25"/>
      <c r="I65" s="25"/>
      <c r="J65" s="25"/>
      <c r="K65" s="25"/>
      <c r="L65" s="25"/>
      <c r="M65" s="25"/>
      <c r="N65" s="25"/>
      <c r="O65" s="25"/>
      <c r="P65" s="25"/>
      <c r="Q65" s="25"/>
      <c r="R65" s="25"/>
      <c r="S65" s="25"/>
      <c r="T65" s="25"/>
      <c r="U65" s="25"/>
      <c r="V65" s="25"/>
      <c r="W65" s="25"/>
      <c r="X65" s="25"/>
      <c r="Y65" s="96"/>
      <c r="Z65" s="96"/>
      <c r="AA65" s="96"/>
      <c r="AB65" s="96"/>
      <c r="AC65" s="96"/>
      <c r="AD65" s="96"/>
      <c r="AE65" s="96"/>
      <c r="AF65" s="96"/>
      <c r="AG65" s="96"/>
      <c r="AH65" s="96"/>
      <c r="AI65" s="96"/>
      <c r="AJ65" s="96"/>
      <c r="AK65" s="96"/>
      <c r="AL65" s="96" t="s">
        <v>60</v>
      </c>
      <c r="AM65" s="96" t="s">
        <v>702</v>
      </c>
      <c r="AN65" s="96">
        <f t="shared" ref="AN65:AN75" si="16">E51*$Z51</f>
        <v>162.77090836516044</v>
      </c>
      <c r="AO65" s="96">
        <f t="shared" ref="AO65:AO75" si="17">AG51*$Z51</f>
        <v>27.090382923134143</v>
      </c>
      <c r="AP65" s="99"/>
      <c r="AQ65" s="99"/>
      <c r="AR65" s="99"/>
      <c r="AS65" s="99"/>
      <c r="AT65" s="99"/>
      <c r="AU65" s="99" t="s">
        <v>60</v>
      </c>
      <c r="AV65" s="97">
        <f>AN65</f>
        <v>162.77090836516044</v>
      </c>
      <c r="AW65" s="97">
        <f>AN66</f>
        <v>0</v>
      </c>
      <c r="AX65" s="97"/>
      <c r="AY65" s="97"/>
      <c r="AZ65" s="97"/>
      <c r="BA65" s="97"/>
      <c r="BB65" s="97"/>
      <c r="BC65" s="97"/>
      <c r="BD65" s="97"/>
      <c r="BE65" s="75"/>
    </row>
    <row r="66" spans="1:57" ht="30" customHeight="1" x14ac:dyDescent="0.8">
      <c r="A66" s="25"/>
      <c r="B66" s="25"/>
      <c r="C66" s="25"/>
      <c r="D66" s="25"/>
      <c r="E66" s="25"/>
      <c r="F66" s="25"/>
      <c r="G66" s="25"/>
      <c r="H66" s="25"/>
      <c r="I66" s="25"/>
      <c r="J66" s="25"/>
      <c r="K66" s="184" t="s">
        <v>965</v>
      </c>
      <c r="L66" s="25"/>
      <c r="M66" s="25"/>
      <c r="N66" s="25"/>
      <c r="O66" s="25"/>
      <c r="P66" s="25"/>
      <c r="Q66" s="25"/>
      <c r="R66" s="25"/>
      <c r="S66" s="25"/>
      <c r="T66" s="25"/>
      <c r="U66" s="25"/>
      <c r="V66" s="25"/>
      <c r="W66" s="25"/>
      <c r="X66" s="25"/>
      <c r="Y66" s="96"/>
      <c r="Z66" s="96"/>
      <c r="AA66" s="96"/>
      <c r="AB66" s="96"/>
      <c r="AC66" s="96"/>
      <c r="AD66" s="96"/>
      <c r="AE66" s="96"/>
      <c r="AF66" s="96"/>
      <c r="AG66" s="96"/>
      <c r="AH66" s="96"/>
      <c r="AI66" s="96"/>
      <c r="AJ66" s="96"/>
      <c r="AK66" s="96"/>
      <c r="AL66" s="96" t="s">
        <v>60</v>
      </c>
      <c r="AM66" s="96" t="s">
        <v>703</v>
      </c>
      <c r="AN66" s="96">
        <f t="shared" si="16"/>
        <v>0</v>
      </c>
      <c r="AO66" s="96">
        <f t="shared" si="17"/>
        <v>0</v>
      </c>
      <c r="AP66" s="99"/>
      <c r="AQ66" s="99"/>
      <c r="AR66" s="99"/>
      <c r="AS66" s="99"/>
      <c r="AT66" s="99"/>
      <c r="AU66" s="99" t="s">
        <v>206</v>
      </c>
      <c r="AV66" s="97"/>
      <c r="AW66" s="97"/>
      <c r="AX66" s="97">
        <f>AN67</f>
        <v>0.21603349616189813</v>
      </c>
      <c r="AY66" s="97">
        <f>AN68</f>
        <v>87.019044778692034</v>
      </c>
      <c r="AZ66" s="97">
        <f>AN69</f>
        <v>0</v>
      </c>
      <c r="BA66" s="97"/>
      <c r="BB66" s="97"/>
      <c r="BC66" s="97"/>
      <c r="BD66" s="97"/>
      <c r="BE66" s="75"/>
    </row>
    <row r="67" spans="1:57" ht="30" customHeight="1" x14ac:dyDescent="0.35">
      <c r="A67" s="25"/>
      <c r="B67" s="25"/>
      <c r="C67" s="25"/>
      <c r="D67" s="25"/>
      <c r="E67" s="25"/>
      <c r="F67" s="25"/>
      <c r="G67" s="25"/>
      <c r="H67" s="25"/>
      <c r="I67" s="25"/>
      <c r="J67" s="25"/>
      <c r="K67" s="25"/>
      <c r="L67" s="25"/>
      <c r="M67" s="25"/>
      <c r="N67" s="25"/>
      <c r="O67" s="25"/>
      <c r="P67" s="25"/>
      <c r="Q67" s="25"/>
      <c r="R67" s="25"/>
      <c r="S67" s="25"/>
      <c r="T67" s="25"/>
      <c r="U67" s="25"/>
      <c r="V67" s="25"/>
      <c r="W67" s="25"/>
      <c r="X67" s="25"/>
      <c r="Y67" s="96"/>
      <c r="Z67" s="96"/>
      <c r="AA67" s="96"/>
      <c r="AB67" s="96"/>
      <c r="AC67" s="96"/>
      <c r="AD67" s="96"/>
      <c r="AE67" s="96"/>
      <c r="AF67" s="96"/>
      <c r="AG67" s="96"/>
      <c r="AH67" s="96"/>
      <c r="AI67" s="96"/>
      <c r="AJ67" s="96"/>
      <c r="AK67" s="96"/>
      <c r="AL67" s="96" t="s">
        <v>206</v>
      </c>
      <c r="AM67" s="96" t="s">
        <v>405</v>
      </c>
      <c r="AN67" s="96">
        <f t="shared" si="16"/>
        <v>0.21603349616189813</v>
      </c>
      <c r="AO67" s="96">
        <f t="shared" si="17"/>
        <v>19.928262844995206</v>
      </c>
      <c r="AP67" s="99"/>
      <c r="AQ67" s="99"/>
      <c r="AR67" s="99"/>
      <c r="AS67" s="99"/>
      <c r="AT67" s="99"/>
      <c r="AU67" s="99" t="s">
        <v>64</v>
      </c>
      <c r="AV67" s="97"/>
      <c r="AW67" s="97"/>
      <c r="AX67" s="97"/>
      <c r="AY67" s="97"/>
      <c r="AZ67" s="97"/>
      <c r="BA67" s="97">
        <f>AN70</f>
        <v>0</v>
      </c>
      <c r="BB67" s="97">
        <f>AN71</f>
        <v>0</v>
      </c>
      <c r="BC67" s="97"/>
      <c r="BD67" s="97"/>
      <c r="BE67" s="75"/>
    </row>
    <row r="68" spans="1:57" ht="30" customHeight="1" x14ac:dyDescent="0.35">
      <c r="A68" s="25"/>
      <c r="B68" s="25"/>
      <c r="C68" s="25"/>
      <c r="D68" s="25"/>
      <c r="E68" s="25"/>
      <c r="F68" s="25"/>
      <c r="G68" s="25"/>
      <c r="H68" s="25"/>
      <c r="I68" s="25"/>
      <c r="J68" s="25"/>
      <c r="K68" s="25"/>
      <c r="L68" s="25"/>
      <c r="M68" s="25"/>
      <c r="N68" s="25"/>
      <c r="O68" s="25"/>
      <c r="P68" s="25"/>
      <c r="Q68" s="25"/>
      <c r="R68" s="25"/>
      <c r="S68" s="25"/>
      <c r="T68" s="25"/>
      <c r="U68" s="25"/>
      <c r="V68" s="25"/>
      <c r="W68" s="25"/>
      <c r="X68" s="25"/>
      <c r="Y68" s="96"/>
      <c r="Z68" s="96"/>
      <c r="AA68" s="96"/>
      <c r="AB68" s="96"/>
      <c r="AC68" s="96"/>
      <c r="AD68" s="96"/>
      <c r="AE68" s="96"/>
      <c r="AF68" s="96"/>
      <c r="AG68" s="96"/>
      <c r="AH68" s="96"/>
      <c r="AI68" s="96"/>
      <c r="AJ68" s="96"/>
      <c r="AK68" s="96"/>
      <c r="AL68" s="96" t="s">
        <v>206</v>
      </c>
      <c r="AM68" s="96" t="s">
        <v>495</v>
      </c>
      <c r="AN68" s="96">
        <f t="shared" si="16"/>
        <v>87.019044778692034</v>
      </c>
      <c r="AO68" s="96">
        <f t="shared" si="17"/>
        <v>61.317158547504789</v>
      </c>
      <c r="AP68" s="99"/>
      <c r="AQ68" s="99"/>
      <c r="AR68" s="99"/>
      <c r="AS68" s="99"/>
      <c r="AT68" s="99"/>
      <c r="AU68" s="99" t="s">
        <v>76</v>
      </c>
      <c r="AV68" s="97"/>
      <c r="AW68" s="97"/>
      <c r="AX68" s="97"/>
      <c r="AY68" s="97"/>
      <c r="AZ68" s="97"/>
      <c r="BA68" s="97"/>
      <c r="BB68" s="97"/>
      <c r="BC68" s="97">
        <f>AN72</f>
        <v>7215.5743232985378</v>
      </c>
      <c r="BD68" s="97">
        <f>AN73</f>
        <v>0</v>
      </c>
      <c r="BE68" s="75"/>
    </row>
    <row r="69" spans="1:57" ht="30" customHeight="1" x14ac:dyDescent="0.35">
      <c r="A69" s="25"/>
      <c r="B69" s="25"/>
      <c r="C69" s="25"/>
      <c r="D69" s="25"/>
      <c r="E69" s="25"/>
      <c r="F69" s="25"/>
      <c r="G69" s="25"/>
      <c r="H69" s="25"/>
      <c r="I69" s="25"/>
      <c r="J69" s="25"/>
      <c r="K69" s="25"/>
      <c r="L69" s="25"/>
      <c r="M69" s="25"/>
      <c r="N69" s="25"/>
      <c r="O69" s="25"/>
      <c r="P69" s="25"/>
      <c r="Q69" s="25"/>
      <c r="R69" s="25"/>
      <c r="S69" s="25"/>
      <c r="T69" s="25"/>
      <c r="U69" s="25"/>
      <c r="V69" s="25"/>
      <c r="W69" s="25"/>
      <c r="X69" s="25"/>
      <c r="Y69" s="96"/>
      <c r="Z69" s="96"/>
      <c r="AA69" s="96"/>
      <c r="AB69" s="96"/>
      <c r="AC69" s="96"/>
      <c r="AD69" s="96"/>
      <c r="AE69" s="96"/>
      <c r="AF69" s="96"/>
      <c r="AG69" s="96"/>
      <c r="AH69" s="96"/>
      <c r="AI69" s="96"/>
      <c r="AJ69" s="96"/>
      <c r="AK69" s="96"/>
      <c r="AL69" s="96" t="s">
        <v>206</v>
      </c>
      <c r="AM69" s="96" t="s">
        <v>166</v>
      </c>
      <c r="AN69" s="96">
        <f t="shared" si="16"/>
        <v>0</v>
      </c>
      <c r="AO69" s="96">
        <f t="shared" si="17"/>
        <v>0.19486999999999999</v>
      </c>
      <c r="AP69" s="99"/>
      <c r="AQ69" s="99"/>
      <c r="AR69" s="99"/>
      <c r="AS69" s="99"/>
      <c r="AT69" s="99"/>
      <c r="AU69" s="99" t="s">
        <v>65</v>
      </c>
      <c r="AV69" s="97">
        <f>AN74</f>
        <v>-37.701220919704987</v>
      </c>
      <c r="AW69" s="97">
        <f>AO74</f>
        <v>-11.612364225671545</v>
      </c>
      <c r="AX69" s="97"/>
      <c r="AY69" s="97"/>
      <c r="AZ69" s="97"/>
      <c r="BA69" s="97"/>
      <c r="BB69" s="97"/>
      <c r="BC69" s="97"/>
      <c r="BD69" s="97"/>
      <c r="BE69" s="75"/>
    </row>
    <row r="70" spans="1:57" ht="30" customHeight="1" x14ac:dyDescent="0.35">
      <c r="A70" s="25"/>
      <c r="B70" s="25"/>
      <c r="C70" s="25"/>
      <c r="D70" s="25"/>
      <c r="E70" s="25"/>
      <c r="F70" s="25"/>
      <c r="G70" s="25"/>
      <c r="H70" s="25"/>
      <c r="I70" s="25"/>
      <c r="J70" s="25"/>
      <c r="K70" s="25"/>
      <c r="L70" s="25"/>
      <c r="M70" s="25"/>
      <c r="N70" s="25"/>
      <c r="O70" s="25"/>
      <c r="P70" s="25"/>
      <c r="Q70" s="25"/>
      <c r="R70" s="25"/>
      <c r="S70" s="25"/>
      <c r="T70" s="25"/>
      <c r="U70" s="25"/>
      <c r="V70" s="25"/>
      <c r="W70" s="25"/>
      <c r="X70" s="25"/>
      <c r="Y70" s="96"/>
      <c r="Z70" s="96"/>
      <c r="AA70" s="96"/>
      <c r="AB70" s="96"/>
      <c r="AC70" s="96"/>
      <c r="AD70" s="96"/>
      <c r="AE70" s="96"/>
      <c r="AF70" s="96"/>
      <c r="AG70" s="96"/>
      <c r="AH70" s="96"/>
      <c r="AI70" s="96"/>
      <c r="AJ70" s="96"/>
      <c r="AK70" s="96"/>
      <c r="AL70" s="96" t="s">
        <v>64</v>
      </c>
      <c r="AM70" s="96" t="s">
        <v>870</v>
      </c>
      <c r="AN70" s="96">
        <f t="shared" si="16"/>
        <v>0</v>
      </c>
      <c r="AO70" s="96">
        <f t="shared" si="17"/>
        <v>0.24604046143333658</v>
      </c>
      <c r="AP70" s="99"/>
      <c r="AQ70" s="99"/>
      <c r="AR70" s="99"/>
      <c r="AS70" s="99"/>
      <c r="AT70" s="99" t="s">
        <v>868</v>
      </c>
      <c r="AU70" s="99" t="s">
        <v>878</v>
      </c>
      <c r="AV70" s="97" t="s">
        <v>702</v>
      </c>
      <c r="AW70" s="97" t="s">
        <v>703</v>
      </c>
      <c r="AX70" s="97" t="s">
        <v>405</v>
      </c>
      <c r="AY70" s="97" t="s">
        <v>495</v>
      </c>
      <c r="AZ70" s="97" t="s">
        <v>166</v>
      </c>
      <c r="BA70" s="97" t="s">
        <v>870</v>
      </c>
      <c r="BB70" s="97" t="s">
        <v>871</v>
      </c>
      <c r="BC70" s="97" t="s">
        <v>872</v>
      </c>
      <c r="BD70" s="97" t="s">
        <v>873</v>
      </c>
      <c r="BE70" s="75"/>
    </row>
    <row r="71" spans="1:57" ht="30" customHeight="1" x14ac:dyDescent="0.35">
      <c r="A71" s="25"/>
      <c r="B71" s="25"/>
      <c r="C71" s="25"/>
      <c r="D71" s="25"/>
      <c r="E71" s="25"/>
      <c r="F71" s="25"/>
      <c r="G71" s="25"/>
      <c r="H71" s="25"/>
      <c r="I71" s="25"/>
      <c r="J71" s="25"/>
      <c r="K71" s="25"/>
      <c r="L71" s="25"/>
      <c r="M71" s="25"/>
      <c r="N71" s="25"/>
      <c r="O71" s="25"/>
      <c r="P71" s="25"/>
      <c r="Q71" s="25"/>
      <c r="R71" s="25"/>
      <c r="S71" s="25"/>
      <c r="T71" s="25"/>
      <c r="U71" s="25"/>
      <c r="V71" s="25"/>
      <c r="W71" s="25"/>
      <c r="X71" s="25"/>
      <c r="Y71" s="96"/>
      <c r="Z71" s="96"/>
      <c r="AA71" s="96"/>
      <c r="AB71" s="96"/>
      <c r="AC71" s="96"/>
      <c r="AD71" s="96"/>
      <c r="AE71" s="96"/>
      <c r="AF71" s="96"/>
      <c r="AG71" s="96"/>
      <c r="AH71" s="96"/>
      <c r="AI71" s="96"/>
      <c r="AJ71" s="96"/>
      <c r="AK71" s="96"/>
      <c r="AL71" s="96" t="s">
        <v>64</v>
      </c>
      <c r="AM71" s="96" t="s">
        <v>871</v>
      </c>
      <c r="AN71" s="96">
        <f t="shared" si="16"/>
        <v>0</v>
      </c>
      <c r="AO71" s="96">
        <f t="shared" si="17"/>
        <v>0.18987158828802392</v>
      </c>
      <c r="AP71" s="99"/>
      <c r="AQ71" s="99"/>
      <c r="AR71" s="99"/>
      <c r="AS71" s="99"/>
      <c r="AT71" s="99"/>
      <c r="AU71" s="99" t="s">
        <v>60</v>
      </c>
      <c r="AV71" s="97">
        <f>AO65</f>
        <v>27.090382923134143</v>
      </c>
      <c r="AW71" s="97">
        <f>AO66</f>
        <v>0</v>
      </c>
      <c r="AX71" s="97"/>
      <c r="AY71" s="97"/>
      <c r="AZ71" s="97"/>
      <c r="BA71" s="97"/>
      <c r="BB71" s="97"/>
      <c r="BC71" s="97"/>
      <c r="BD71" s="97"/>
      <c r="BE71" s="75"/>
    </row>
    <row r="72" spans="1:57" ht="30" customHeight="1" x14ac:dyDescent="0.35">
      <c r="A72" s="25"/>
      <c r="B72" s="25"/>
      <c r="C72" s="25"/>
      <c r="D72" s="25"/>
      <c r="E72" s="25"/>
      <c r="F72" s="25"/>
      <c r="G72" s="25"/>
      <c r="H72" s="25"/>
      <c r="I72" s="25"/>
      <c r="J72" s="25"/>
      <c r="K72" s="25"/>
      <c r="L72" s="25"/>
      <c r="M72" s="25"/>
      <c r="N72" s="25"/>
      <c r="O72" s="25"/>
      <c r="P72" s="25"/>
      <c r="Q72" s="25"/>
      <c r="R72" s="25"/>
      <c r="S72" s="25"/>
      <c r="T72" s="25"/>
      <c r="U72" s="25"/>
      <c r="V72" s="25"/>
      <c r="W72" s="25"/>
      <c r="X72" s="25"/>
      <c r="Y72" s="96"/>
      <c r="Z72" s="96"/>
      <c r="AA72" s="96"/>
      <c r="AB72" s="96"/>
      <c r="AC72" s="96"/>
      <c r="AD72" s="96"/>
      <c r="AE72" s="96"/>
      <c r="AF72" s="96"/>
      <c r="AG72" s="96"/>
      <c r="AH72" s="96"/>
      <c r="AI72" s="96"/>
      <c r="AJ72" s="96"/>
      <c r="AK72" s="96"/>
      <c r="AL72" s="96" t="s">
        <v>76</v>
      </c>
      <c r="AM72" s="96" t="s">
        <v>872</v>
      </c>
      <c r="AN72" s="96">
        <f t="shared" si="16"/>
        <v>7215.5743232985378</v>
      </c>
      <c r="AO72" s="96">
        <f t="shared" si="17"/>
        <v>2525.451013154488</v>
      </c>
      <c r="AP72" s="99"/>
      <c r="AQ72" s="99"/>
      <c r="AR72" s="99"/>
      <c r="AS72" s="99"/>
      <c r="AT72" s="99"/>
      <c r="AU72" s="99" t="s">
        <v>206</v>
      </c>
      <c r="AV72" s="97"/>
      <c r="AW72" s="97"/>
      <c r="AX72" s="97">
        <f>AO67</f>
        <v>19.928262844995206</v>
      </c>
      <c r="AY72" s="97">
        <f>AO68</f>
        <v>61.317158547504789</v>
      </c>
      <c r="AZ72" s="97">
        <f>AO69</f>
        <v>0.19486999999999999</v>
      </c>
      <c r="BA72" s="97"/>
      <c r="BB72" s="97"/>
      <c r="BC72" s="97"/>
      <c r="BD72" s="97"/>
      <c r="BE72" s="75"/>
    </row>
    <row r="73" spans="1:57" ht="30" customHeight="1" x14ac:dyDescent="0.35">
      <c r="A73" s="25"/>
      <c r="B73" s="25"/>
      <c r="C73" s="25"/>
      <c r="D73" s="25"/>
      <c r="E73" s="25"/>
      <c r="F73" s="25"/>
      <c r="G73" s="25"/>
      <c r="H73" s="25"/>
      <c r="I73" s="25"/>
      <c r="J73" s="25"/>
      <c r="K73" s="25"/>
      <c r="L73" s="25"/>
      <c r="M73" s="25"/>
      <c r="N73" s="25"/>
      <c r="O73" s="25"/>
      <c r="P73" s="25"/>
      <c r="Q73" s="25"/>
      <c r="R73" s="25"/>
      <c r="S73" s="25"/>
      <c r="T73" s="25"/>
      <c r="U73" s="25"/>
      <c r="V73" s="25"/>
      <c r="W73" s="25"/>
      <c r="X73" s="25"/>
      <c r="Y73" s="96"/>
      <c r="Z73" s="96"/>
      <c r="AA73" s="96"/>
      <c r="AB73" s="96"/>
      <c r="AC73" s="96"/>
      <c r="AD73" s="96"/>
      <c r="AE73" s="96"/>
      <c r="AF73" s="96"/>
      <c r="AG73" s="96"/>
      <c r="AH73" s="96"/>
      <c r="AI73" s="96"/>
      <c r="AJ73" s="96"/>
      <c r="AK73" s="96"/>
      <c r="AL73" s="96" t="s">
        <v>76</v>
      </c>
      <c r="AM73" s="96" t="s">
        <v>873</v>
      </c>
      <c r="AN73" s="96">
        <f t="shared" si="16"/>
        <v>0</v>
      </c>
      <c r="AO73" s="96">
        <f t="shared" si="17"/>
        <v>0</v>
      </c>
      <c r="AP73" s="99"/>
      <c r="AQ73" s="99"/>
      <c r="AR73" s="99"/>
      <c r="AS73" s="99"/>
      <c r="AT73" s="99"/>
      <c r="AU73" s="99" t="s">
        <v>64</v>
      </c>
      <c r="AV73" s="97"/>
      <c r="AW73" s="97"/>
      <c r="AX73" s="97"/>
      <c r="AY73" s="97"/>
      <c r="AZ73" s="97"/>
      <c r="BA73" s="97">
        <f>AO70</f>
        <v>0.24604046143333658</v>
      </c>
      <c r="BB73" s="97">
        <f>AO71</f>
        <v>0.18987158828802392</v>
      </c>
      <c r="BC73" s="97"/>
      <c r="BD73" s="97"/>
      <c r="BE73" s="75"/>
    </row>
    <row r="74" spans="1:57" ht="30" customHeight="1" x14ac:dyDescent="0.35">
      <c r="A74" s="25"/>
      <c r="B74" s="25"/>
      <c r="C74" s="25"/>
      <c r="D74" s="25"/>
      <c r="E74" s="25"/>
      <c r="F74" s="25"/>
      <c r="G74" s="25"/>
      <c r="H74" s="25"/>
      <c r="I74" s="25"/>
      <c r="J74" s="25"/>
      <c r="K74" s="25"/>
      <c r="L74" s="25"/>
      <c r="M74" s="25"/>
      <c r="N74" s="25"/>
      <c r="O74" s="25"/>
      <c r="P74" s="25"/>
      <c r="Q74" s="25"/>
      <c r="R74" s="25"/>
      <c r="S74" s="25"/>
      <c r="T74" s="25"/>
      <c r="U74" s="25"/>
      <c r="V74" s="25"/>
      <c r="W74" s="25"/>
      <c r="X74" s="25"/>
      <c r="Y74" s="96"/>
      <c r="Z74" s="96"/>
      <c r="AA74" s="96"/>
      <c r="AB74" s="96"/>
      <c r="AC74" s="96"/>
      <c r="AD74" s="96"/>
      <c r="AE74" s="96"/>
      <c r="AF74" s="96"/>
      <c r="AG74" s="96"/>
      <c r="AH74" s="96"/>
      <c r="AI74" s="96"/>
      <c r="AJ74" s="96"/>
      <c r="AK74" s="96"/>
      <c r="AL74" s="96" t="s">
        <v>65</v>
      </c>
      <c r="AM74" s="96" t="s">
        <v>702</v>
      </c>
      <c r="AN74" s="96">
        <f t="shared" si="16"/>
        <v>-37.701220919704987</v>
      </c>
      <c r="AO74" s="96">
        <f t="shared" si="17"/>
        <v>-11.612364225671545</v>
      </c>
      <c r="AP74" s="99"/>
      <c r="AQ74" s="99"/>
      <c r="AR74" s="99"/>
      <c r="AS74" s="99"/>
      <c r="AT74" s="99"/>
      <c r="AU74" s="99" t="s">
        <v>76</v>
      </c>
      <c r="AV74" s="97"/>
      <c r="AW74" s="97"/>
      <c r="AX74" s="97"/>
      <c r="AY74" s="97"/>
      <c r="AZ74" s="97"/>
      <c r="BA74" s="97"/>
      <c r="BB74" s="97"/>
      <c r="BC74" s="97">
        <f>AO72</f>
        <v>2525.451013154488</v>
      </c>
      <c r="BD74" s="97">
        <f>AO73</f>
        <v>0</v>
      </c>
      <c r="BE74" s="75"/>
    </row>
    <row r="75" spans="1:57" ht="30" customHeight="1" x14ac:dyDescent="0.35">
      <c r="A75" s="25"/>
      <c r="B75" s="25"/>
      <c r="C75" s="25"/>
      <c r="D75" s="25"/>
      <c r="E75" s="25"/>
      <c r="F75" s="25"/>
      <c r="G75" s="25"/>
      <c r="H75" s="25"/>
      <c r="I75" s="25"/>
      <c r="J75" s="25"/>
      <c r="K75" s="25"/>
      <c r="L75" s="25"/>
      <c r="M75" s="25"/>
      <c r="N75" s="25"/>
      <c r="O75" s="25"/>
      <c r="P75" s="25"/>
      <c r="Q75" s="25"/>
      <c r="R75" s="25"/>
      <c r="S75" s="25"/>
      <c r="T75" s="25"/>
      <c r="U75" s="25"/>
      <c r="V75" s="25"/>
      <c r="W75" s="25"/>
      <c r="X75" s="25"/>
      <c r="Y75" s="96"/>
      <c r="Z75" s="96"/>
      <c r="AA75" s="96"/>
      <c r="AB75" s="96"/>
      <c r="AC75" s="96"/>
      <c r="AD75" s="96"/>
      <c r="AE75" s="96"/>
      <c r="AF75" s="96"/>
      <c r="AG75" s="96"/>
      <c r="AH75" s="96"/>
      <c r="AI75" s="96"/>
      <c r="AJ75" s="96"/>
      <c r="AK75" s="96"/>
      <c r="AL75" s="96" t="s">
        <v>65</v>
      </c>
      <c r="AM75" s="96" t="s">
        <v>703</v>
      </c>
      <c r="AN75" s="96">
        <f t="shared" si="16"/>
        <v>0</v>
      </c>
      <c r="AO75" s="96">
        <f t="shared" si="17"/>
        <v>0</v>
      </c>
      <c r="AP75" s="99"/>
      <c r="AQ75" s="99"/>
      <c r="AR75" s="99"/>
      <c r="AS75" s="99"/>
      <c r="AT75" s="99"/>
      <c r="AU75" s="99" t="s">
        <v>65</v>
      </c>
      <c r="AV75" s="97">
        <f>AO74</f>
        <v>-11.612364225671545</v>
      </c>
      <c r="AW75" s="97">
        <f>AO75</f>
        <v>0</v>
      </c>
      <c r="AX75" s="97"/>
      <c r="AY75" s="97"/>
      <c r="AZ75" s="97"/>
      <c r="BA75" s="97"/>
      <c r="BB75" s="97"/>
      <c r="BC75" s="97"/>
      <c r="BD75" s="97"/>
      <c r="BE75" s="75"/>
    </row>
    <row r="76" spans="1:57" ht="30" customHeight="1" x14ac:dyDescent="0.35">
      <c r="A76" s="25"/>
      <c r="B76" s="25"/>
      <c r="C76" s="25"/>
      <c r="D76" s="25"/>
      <c r="E76" s="25"/>
      <c r="F76" s="25"/>
      <c r="G76" s="25"/>
      <c r="H76" s="25"/>
      <c r="I76" s="25"/>
      <c r="J76" s="25"/>
      <c r="K76" s="25"/>
      <c r="L76" s="25"/>
      <c r="M76" s="25"/>
      <c r="N76" s="25"/>
      <c r="O76" s="25"/>
      <c r="P76" s="25"/>
      <c r="Q76" s="25"/>
      <c r="R76" s="25"/>
      <c r="S76" s="25"/>
      <c r="T76" s="25"/>
      <c r="U76" s="25"/>
      <c r="V76" s="25"/>
      <c r="W76" s="25"/>
      <c r="X76" s="25"/>
      <c r="Y76" s="74"/>
      <c r="Z76" s="74"/>
      <c r="AA76" s="74"/>
      <c r="AB76" s="74"/>
      <c r="AC76" s="74"/>
      <c r="AD76" s="74"/>
      <c r="AE76" s="74"/>
      <c r="AF76" s="74"/>
      <c r="AG76" s="74"/>
      <c r="AH76" s="74"/>
      <c r="AI76" s="74"/>
      <c r="AJ76" s="74"/>
      <c r="AK76" s="74"/>
      <c r="AL76" s="74"/>
      <c r="AM76" s="74"/>
      <c r="AN76" s="74"/>
      <c r="AO76" s="74"/>
      <c r="AP76" s="75"/>
      <c r="AQ76" s="75"/>
      <c r="AR76" s="75"/>
      <c r="AS76" s="75"/>
      <c r="AT76" s="75"/>
      <c r="AU76" s="75"/>
      <c r="AV76" s="80"/>
      <c r="AW76" s="80"/>
      <c r="AX76" s="80"/>
      <c r="AY76" s="80"/>
      <c r="AZ76" s="80"/>
      <c r="BA76" s="80"/>
      <c r="BB76" s="80"/>
      <c r="BC76" s="80"/>
      <c r="BD76" s="80"/>
      <c r="BE76" s="75"/>
    </row>
    <row r="77" spans="1:57" ht="30" customHeight="1" x14ac:dyDescent="0.35">
      <c r="A77" s="25"/>
      <c r="B77" s="25"/>
      <c r="C77" s="25"/>
      <c r="D77" s="25"/>
      <c r="E77" s="25"/>
      <c r="F77" s="25"/>
      <c r="G77" s="25"/>
      <c r="H77" s="25"/>
      <c r="I77" s="25"/>
      <c r="J77" s="25"/>
      <c r="K77" s="25"/>
      <c r="L77" s="25"/>
      <c r="M77" s="25"/>
      <c r="N77" s="25"/>
      <c r="O77" s="25"/>
      <c r="P77" s="25"/>
      <c r="Q77" s="25"/>
      <c r="R77" s="25"/>
      <c r="S77" s="25"/>
      <c r="T77" s="25"/>
      <c r="U77" s="25"/>
      <c r="V77" s="25"/>
      <c r="W77" s="25"/>
      <c r="X77" s="25"/>
      <c r="Y77" s="74"/>
      <c r="Z77" s="74"/>
      <c r="AA77" s="74"/>
      <c r="AB77" s="74"/>
      <c r="AC77" s="74"/>
      <c r="AD77" s="74"/>
      <c r="AE77" s="74"/>
      <c r="AF77" s="74"/>
      <c r="AG77" s="74"/>
      <c r="AH77" s="74"/>
      <c r="AI77" s="74"/>
      <c r="AJ77" s="74"/>
      <c r="AK77" s="74"/>
      <c r="AL77" s="74"/>
      <c r="AM77" s="74"/>
      <c r="AN77" s="74"/>
    </row>
    <row r="78" spans="1:57" s="75" customFormat="1" x14ac:dyDescent="0.35">
      <c r="A78" s="25"/>
      <c r="B78" s="25"/>
      <c r="C78" s="25"/>
      <c r="D78" s="25"/>
      <c r="E78" s="25"/>
      <c r="F78" s="25"/>
      <c r="G78" s="25"/>
      <c r="H78" s="25"/>
      <c r="I78" s="25"/>
      <c r="J78" s="25"/>
      <c r="K78" s="25"/>
      <c r="L78" s="25"/>
      <c r="M78" s="25"/>
      <c r="N78" s="25"/>
      <c r="O78" s="25"/>
      <c r="P78" s="25"/>
      <c r="Q78" s="25"/>
      <c r="R78" s="25"/>
      <c r="S78" s="25"/>
      <c r="T78" s="25"/>
      <c r="U78" s="25"/>
      <c r="V78" s="25"/>
      <c r="W78" s="25"/>
      <c r="X78" s="25"/>
      <c r="Y78" s="74"/>
      <c r="Z78" s="74"/>
      <c r="AA78" s="74"/>
      <c r="AB78" s="74"/>
      <c r="AC78" s="74"/>
      <c r="AD78" s="74"/>
      <c r="AE78" s="74"/>
      <c r="AF78" s="74"/>
      <c r="AG78" s="74"/>
      <c r="AH78" s="74"/>
      <c r="AI78" s="74"/>
      <c r="AJ78" s="74"/>
      <c r="AK78" s="74"/>
      <c r="AL78" s="74"/>
      <c r="AM78" s="74"/>
      <c r="AN78" s="74"/>
      <c r="AO78" s="74"/>
    </row>
    <row r="79" spans="1:57" s="75" customFormat="1" x14ac:dyDescent="0.35">
      <c r="A79" s="25"/>
      <c r="B79" s="25"/>
      <c r="C79" s="25"/>
      <c r="D79" s="25"/>
      <c r="E79" s="25"/>
      <c r="F79" s="25"/>
      <c r="G79" s="25"/>
      <c r="H79" s="25"/>
      <c r="I79" s="25"/>
      <c r="J79" s="25"/>
      <c r="K79" s="25"/>
      <c r="L79" s="25"/>
      <c r="M79" s="25"/>
      <c r="N79" s="25"/>
      <c r="O79" s="185"/>
      <c r="P79" s="25"/>
      <c r="Q79" s="25"/>
      <c r="R79" s="25"/>
      <c r="S79" s="25"/>
      <c r="T79" s="25"/>
      <c r="U79" s="25"/>
      <c r="V79" s="25"/>
      <c r="W79" s="25"/>
      <c r="X79" s="25"/>
      <c r="Y79" s="74"/>
      <c r="Z79" s="74"/>
      <c r="AA79" s="74"/>
      <c r="AB79" s="74"/>
      <c r="AC79" s="74"/>
      <c r="AD79" s="74"/>
      <c r="AE79" s="74"/>
      <c r="AF79" s="74"/>
      <c r="AG79" s="74"/>
      <c r="AH79" s="74"/>
      <c r="AI79" s="74"/>
      <c r="AJ79" s="74"/>
      <c r="AK79" s="74"/>
      <c r="AL79" s="74"/>
      <c r="AM79" s="74"/>
      <c r="AN79" s="74"/>
      <c r="AO79" s="74"/>
    </row>
    <row r="80" spans="1:57" s="75" customFormat="1" x14ac:dyDescent="0.35">
      <c r="A80" s="25"/>
      <c r="B80" s="25"/>
      <c r="C80" s="25"/>
      <c r="D80" s="25"/>
      <c r="E80" s="25"/>
      <c r="F80" s="25"/>
      <c r="G80" s="25"/>
      <c r="H80" s="25"/>
      <c r="I80" s="25"/>
      <c r="J80" s="25"/>
      <c r="K80" s="25"/>
      <c r="L80" s="25"/>
      <c r="M80" s="25"/>
      <c r="N80" s="25"/>
      <c r="O80" s="25"/>
      <c r="P80" s="25"/>
      <c r="Q80" s="25"/>
      <c r="R80" s="25"/>
      <c r="S80" s="25"/>
      <c r="T80" s="25"/>
      <c r="U80" s="25"/>
      <c r="V80" s="25"/>
      <c r="W80" s="25"/>
      <c r="X80" s="25"/>
      <c r="Y80" s="74"/>
      <c r="Z80" s="74"/>
      <c r="AA80" s="74"/>
      <c r="AB80" s="74"/>
      <c r="AC80" s="74"/>
      <c r="AD80" s="74"/>
      <c r="AE80" s="74"/>
      <c r="AF80" s="74"/>
      <c r="AG80" s="74"/>
      <c r="AH80" s="74"/>
      <c r="AI80" s="74"/>
      <c r="AJ80" s="74"/>
      <c r="AK80" s="74"/>
      <c r="AL80" s="74"/>
      <c r="AM80" s="74"/>
      <c r="AN80" s="74"/>
      <c r="AO80" s="74"/>
    </row>
    <row r="81" spans="1:41" s="75" customFormat="1" x14ac:dyDescent="0.35">
      <c r="A81" s="25"/>
      <c r="B81" s="25"/>
      <c r="C81" s="25"/>
      <c r="D81" s="25"/>
      <c r="E81" s="25"/>
      <c r="F81" s="25"/>
      <c r="G81" s="25"/>
      <c r="H81" s="25"/>
      <c r="I81" s="25"/>
      <c r="J81" s="25"/>
      <c r="K81" s="25"/>
      <c r="L81" s="25"/>
      <c r="M81" s="25"/>
      <c r="N81" s="25"/>
      <c r="O81" s="25"/>
      <c r="P81" s="25"/>
      <c r="Q81" s="25"/>
      <c r="R81" s="25"/>
      <c r="S81" s="25"/>
      <c r="T81" s="25"/>
      <c r="U81" s="25"/>
      <c r="V81" s="25"/>
      <c r="W81" s="25"/>
      <c r="X81" s="25"/>
      <c r="Y81" s="74"/>
      <c r="Z81" s="74"/>
      <c r="AA81" s="74"/>
      <c r="AB81" s="74"/>
      <c r="AC81" s="74"/>
      <c r="AD81" s="74"/>
      <c r="AE81" s="74"/>
      <c r="AF81" s="74"/>
      <c r="AG81" s="74"/>
      <c r="AH81" s="74"/>
      <c r="AI81" s="74"/>
      <c r="AJ81" s="74"/>
      <c r="AK81" s="74"/>
      <c r="AL81" s="74"/>
      <c r="AM81" s="74"/>
      <c r="AN81" s="74"/>
      <c r="AO81" s="74"/>
    </row>
    <row r="82" spans="1:41" s="75" customFormat="1" x14ac:dyDescent="0.35">
      <c r="A82" s="25"/>
      <c r="B82" s="25"/>
      <c r="C82" s="25"/>
      <c r="D82" s="25"/>
      <c r="E82" s="25"/>
      <c r="F82" s="25"/>
      <c r="G82" s="25"/>
      <c r="H82" s="25"/>
      <c r="I82" s="25"/>
      <c r="J82" s="25"/>
      <c r="K82" s="25"/>
      <c r="L82" s="25"/>
      <c r="M82" s="25"/>
      <c r="N82" s="25"/>
      <c r="O82" s="25"/>
      <c r="P82" s="25"/>
      <c r="Q82" s="25"/>
      <c r="R82" s="25"/>
      <c r="S82" s="25"/>
      <c r="T82" s="25"/>
      <c r="U82" s="25"/>
      <c r="V82" s="25"/>
      <c r="W82" s="25"/>
      <c r="X82" s="25"/>
      <c r="Y82" s="74"/>
      <c r="Z82" s="74"/>
      <c r="AA82" s="74"/>
      <c r="AB82" s="74"/>
      <c r="AC82" s="74"/>
      <c r="AD82" s="74"/>
      <c r="AE82" s="74"/>
      <c r="AF82" s="74"/>
      <c r="AG82" s="74"/>
      <c r="AH82" s="74"/>
      <c r="AI82" s="74"/>
      <c r="AJ82" s="74"/>
      <c r="AK82" s="74"/>
      <c r="AL82" s="74"/>
      <c r="AM82" s="74"/>
      <c r="AN82" s="74"/>
      <c r="AO82" s="74"/>
    </row>
    <row r="83" spans="1:41" s="75" customFormat="1" x14ac:dyDescent="0.35">
      <c r="A83" s="25"/>
      <c r="B83" s="25"/>
      <c r="C83" s="25"/>
      <c r="D83" s="25"/>
      <c r="E83" s="25"/>
      <c r="F83" s="25"/>
      <c r="G83" s="25"/>
      <c r="H83" s="25"/>
      <c r="I83" s="25"/>
      <c r="J83" s="25"/>
      <c r="K83" s="25"/>
      <c r="L83" s="25"/>
      <c r="M83" s="25"/>
      <c r="N83" s="25"/>
      <c r="O83" s="25"/>
      <c r="P83" s="25"/>
      <c r="Q83" s="25"/>
      <c r="R83" s="25"/>
      <c r="S83" s="25"/>
      <c r="T83" s="25"/>
      <c r="U83" s="25"/>
      <c r="V83" s="25"/>
      <c r="W83" s="25"/>
      <c r="X83" s="25"/>
      <c r="Y83" s="74"/>
      <c r="Z83" s="74"/>
      <c r="AA83" s="74"/>
      <c r="AB83" s="74"/>
      <c r="AC83" s="74"/>
      <c r="AD83" s="74"/>
      <c r="AE83" s="74"/>
      <c r="AF83" s="74"/>
      <c r="AG83" s="74"/>
      <c r="AH83" s="74"/>
      <c r="AI83" s="74"/>
      <c r="AJ83" s="74"/>
      <c r="AK83" s="74"/>
      <c r="AL83" s="74"/>
      <c r="AM83" s="74"/>
      <c r="AN83" s="74"/>
      <c r="AO83" s="74"/>
    </row>
    <row r="84" spans="1:41" s="75" customFormat="1" x14ac:dyDescent="0.35">
      <c r="A84" s="25"/>
      <c r="B84" s="25"/>
      <c r="C84" s="25"/>
      <c r="D84" s="25"/>
      <c r="E84" s="25"/>
      <c r="F84" s="25"/>
      <c r="G84" s="25"/>
      <c r="H84" s="25"/>
      <c r="I84" s="25"/>
      <c r="J84" s="25"/>
      <c r="K84" s="25"/>
      <c r="L84" s="25"/>
      <c r="M84" s="25"/>
      <c r="N84" s="25"/>
      <c r="O84" s="25"/>
      <c r="P84" s="25"/>
      <c r="Q84" s="25"/>
      <c r="R84" s="25"/>
      <c r="S84" s="25"/>
      <c r="T84" s="25"/>
      <c r="U84" s="25"/>
      <c r="V84" s="25"/>
      <c r="W84" s="25"/>
      <c r="X84" s="25"/>
      <c r="Y84" s="74"/>
      <c r="Z84" s="74"/>
      <c r="AA84" s="74"/>
      <c r="AB84" s="74"/>
      <c r="AC84" s="74"/>
      <c r="AD84" s="74"/>
      <c r="AE84" s="74"/>
      <c r="AF84" s="74"/>
      <c r="AG84" s="74"/>
      <c r="AH84" s="74"/>
      <c r="AI84" s="74"/>
      <c r="AJ84" s="74"/>
      <c r="AK84" s="74"/>
      <c r="AL84" s="74"/>
      <c r="AM84" s="74"/>
      <c r="AN84" s="74"/>
      <c r="AO84" s="74"/>
    </row>
    <row r="85" spans="1:41" s="75" customFormat="1" x14ac:dyDescent="0.35">
      <c r="A85" s="25"/>
      <c r="B85" s="25"/>
      <c r="C85" s="25"/>
      <c r="D85" s="25"/>
      <c r="E85" s="25"/>
      <c r="F85" s="25"/>
      <c r="G85" s="25"/>
      <c r="H85" s="25"/>
      <c r="I85" s="25"/>
      <c r="J85" s="25"/>
      <c r="K85" s="25"/>
      <c r="L85" s="25"/>
      <c r="M85" s="25"/>
      <c r="N85" s="25"/>
      <c r="O85" s="25"/>
      <c r="P85" s="25"/>
      <c r="Q85" s="25"/>
      <c r="R85" s="25"/>
      <c r="S85" s="25"/>
      <c r="T85" s="25"/>
      <c r="U85" s="25"/>
      <c r="V85" s="25"/>
      <c r="W85" s="25"/>
      <c r="X85" s="25"/>
      <c r="Y85" s="74"/>
      <c r="Z85" s="74"/>
      <c r="AA85" s="74"/>
      <c r="AB85" s="74"/>
      <c r="AC85" s="74"/>
      <c r="AD85" s="74"/>
      <c r="AE85" s="74"/>
      <c r="AF85" s="74"/>
      <c r="AG85" s="74"/>
      <c r="AH85" s="74"/>
      <c r="AI85" s="74"/>
      <c r="AJ85" s="74"/>
      <c r="AK85" s="74"/>
      <c r="AL85" s="74"/>
      <c r="AM85" s="74"/>
      <c r="AN85" s="74"/>
      <c r="AO85" s="74"/>
    </row>
    <row r="86" spans="1:41" s="75" customFormat="1" x14ac:dyDescent="0.35">
      <c r="A86" s="25"/>
      <c r="B86" s="25"/>
      <c r="C86" s="25"/>
      <c r="D86" s="25"/>
      <c r="E86" s="25"/>
      <c r="F86" s="25"/>
      <c r="G86" s="25"/>
      <c r="H86" s="25"/>
      <c r="I86" s="25"/>
      <c r="J86" s="25"/>
      <c r="K86" s="25"/>
      <c r="L86" s="25"/>
      <c r="M86" s="25"/>
      <c r="N86" s="25"/>
      <c r="O86" s="25"/>
      <c r="P86" s="25"/>
      <c r="Q86" s="25"/>
      <c r="R86" s="25"/>
      <c r="S86" s="25"/>
      <c r="T86" s="25"/>
      <c r="U86" s="25"/>
      <c r="V86" s="25"/>
      <c r="W86" s="25"/>
      <c r="X86" s="25"/>
      <c r="Y86" s="74"/>
      <c r="Z86" s="74"/>
      <c r="AA86" s="74"/>
      <c r="AB86" s="74"/>
      <c r="AC86" s="74"/>
      <c r="AD86" s="74"/>
      <c r="AE86" s="74"/>
      <c r="AF86" s="74"/>
      <c r="AG86" s="74"/>
      <c r="AH86" s="74"/>
      <c r="AI86" s="74"/>
      <c r="AJ86" s="74"/>
      <c r="AK86" s="74"/>
      <c r="AL86" s="74"/>
      <c r="AM86" s="74"/>
      <c r="AN86" s="74"/>
      <c r="AO86" s="74"/>
    </row>
    <row r="87" spans="1:41" s="75" customFormat="1" x14ac:dyDescent="0.35">
      <c r="A87" s="25"/>
      <c r="B87" s="25"/>
      <c r="C87" s="25"/>
      <c r="D87" s="25"/>
      <c r="E87" s="25"/>
      <c r="F87" s="25"/>
      <c r="G87" s="25"/>
      <c r="H87" s="25"/>
      <c r="I87" s="25"/>
      <c r="J87" s="25"/>
      <c r="K87" s="25"/>
      <c r="L87" s="25"/>
      <c r="M87" s="25"/>
      <c r="N87" s="25"/>
      <c r="O87" s="25"/>
      <c r="P87" s="25"/>
      <c r="Q87" s="25"/>
      <c r="R87" s="25"/>
      <c r="S87" s="25"/>
      <c r="T87" s="25"/>
      <c r="U87" s="25"/>
      <c r="V87" s="25"/>
      <c r="W87" s="25"/>
      <c r="X87" s="25"/>
      <c r="Y87" s="74"/>
      <c r="Z87" s="74"/>
      <c r="AA87" s="74"/>
      <c r="AB87" s="74"/>
      <c r="AC87" s="74"/>
      <c r="AD87" s="74"/>
      <c r="AE87" s="74"/>
      <c r="AF87" s="74"/>
      <c r="AG87" s="74"/>
      <c r="AH87" s="74"/>
      <c r="AI87" s="74"/>
      <c r="AJ87" s="74"/>
      <c r="AK87" s="74"/>
      <c r="AL87" s="74"/>
      <c r="AM87" s="74"/>
      <c r="AN87" s="74"/>
      <c r="AO87" s="74"/>
    </row>
    <row r="88" spans="1:41" s="75" customFormat="1" x14ac:dyDescent="0.35">
      <c r="A88" s="25"/>
      <c r="B88" s="25"/>
      <c r="C88" s="25"/>
      <c r="D88" s="25"/>
      <c r="E88" s="25"/>
      <c r="F88" s="25"/>
      <c r="G88" s="25"/>
      <c r="H88" s="25"/>
      <c r="I88" s="25"/>
      <c r="J88" s="25"/>
      <c r="K88" s="25"/>
      <c r="L88" s="25"/>
      <c r="M88" s="25"/>
      <c r="N88" s="25"/>
      <c r="O88" s="25"/>
      <c r="P88" s="25"/>
      <c r="Q88" s="25"/>
      <c r="R88" s="25"/>
      <c r="S88" s="25"/>
      <c r="T88" s="25"/>
      <c r="U88" s="25"/>
      <c r="V88" s="25"/>
      <c r="W88" s="25"/>
      <c r="X88" s="25"/>
      <c r="Y88" s="74"/>
      <c r="Z88" s="74"/>
      <c r="AA88" s="74"/>
      <c r="AB88" s="74"/>
      <c r="AC88" s="74"/>
      <c r="AD88" s="74"/>
      <c r="AE88" s="74"/>
      <c r="AF88" s="74"/>
      <c r="AG88" s="74"/>
      <c r="AH88" s="74"/>
      <c r="AI88" s="74"/>
      <c r="AJ88" s="74"/>
      <c r="AK88" s="74"/>
      <c r="AL88" s="74"/>
      <c r="AM88" s="74"/>
      <c r="AN88" s="74"/>
      <c r="AO88" s="74"/>
    </row>
    <row r="89" spans="1:41" s="75" customFormat="1" x14ac:dyDescent="0.35">
      <c r="A89" s="25"/>
      <c r="B89" s="25"/>
      <c r="C89" s="25"/>
      <c r="D89" s="25"/>
      <c r="E89" s="25"/>
      <c r="F89" s="25"/>
      <c r="G89" s="25"/>
      <c r="H89" s="25"/>
      <c r="I89" s="25"/>
      <c r="J89" s="25"/>
      <c r="K89" s="25"/>
      <c r="L89" s="25"/>
      <c r="M89" s="25"/>
      <c r="N89" s="25"/>
      <c r="O89" s="25"/>
      <c r="P89" s="25"/>
      <c r="Q89" s="25"/>
      <c r="R89" s="25"/>
      <c r="S89" s="25"/>
      <c r="T89" s="25"/>
      <c r="U89" s="25"/>
      <c r="V89" s="25"/>
      <c r="W89" s="25"/>
      <c r="X89" s="25"/>
      <c r="Y89" s="74"/>
      <c r="Z89" s="74"/>
      <c r="AA89" s="74"/>
      <c r="AB89" s="74"/>
      <c r="AC89" s="74"/>
      <c r="AD89" s="74"/>
      <c r="AE89" s="74"/>
      <c r="AF89" s="74"/>
      <c r="AG89" s="74"/>
      <c r="AH89" s="74"/>
      <c r="AI89" s="74"/>
      <c r="AJ89" s="74"/>
      <c r="AK89" s="74"/>
      <c r="AL89" s="74"/>
      <c r="AM89" s="74"/>
      <c r="AN89" s="74"/>
      <c r="AO89" s="74"/>
    </row>
    <row r="90" spans="1:41" s="75" customFormat="1" x14ac:dyDescent="0.35">
      <c r="A90" s="25"/>
      <c r="B90" s="25"/>
      <c r="C90" s="25"/>
      <c r="D90" s="25"/>
      <c r="E90" s="25"/>
      <c r="F90" s="25"/>
      <c r="G90" s="25"/>
      <c r="H90" s="25"/>
      <c r="I90" s="25"/>
      <c r="J90" s="25"/>
      <c r="K90" s="25"/>
      <c r="L90" s="25"/>
      <c r="M90" s="25"/>
      <c r="N90" s="25"/>
      <c r="O90" s="25"/>
      <c r="P90" s="25"/>
      <c r="Q90" s="25"/>
      <c r="R90" s="25"/>
      <c r="S90" s="25"/>
      <c r="T90" s="25"/>
      <c r="U90" s="25"/>
      <c r="V90" s="25"/>
      <c r="W90" s="25"/>
      <c r="X90" s="25"/>
      <c r="Y90" s="74"/>
      <c r="Z90" s="74"/>
      <c r="AA90" s="74"/>
      <c r="AB90" s="74"/>
      <c r="AC90" s="74"/>
      <c r="AD90" s="74"/>
      <c r="AE90" s="74"/>
      <c r="AF90" s="74"/>
      <c r="AG90" s="74"/>
      <c r="AH90" s="74"/>
      <c r="AI90" s="74"/>
      <c r="AJ90" s="74"/>
      <c r="AK90" s="74"/>
      <c r="AL90" s="74"/>
      <c r="AM90" s="74"/>
      <c r="AN90" s="74"/>
      <c r="AO90" s="74"/>
    </row>
    <row r="91" spans="1:41" s="75" customFormat="1" x14ac:dyDescent="0.35">
      <c r="A91" s="25"/>
      <c r="B91" s="25"/>
      <c r="C91" s="25"/>
      <c r="D91" s="25"/>
      <c r="E91" s="25"/>
      <c r="F91" s="25"/>
      <c r="G91" s="25"/>
      <c r="H91" s="25"/>
      <c r="I91" s="25"/>
      <c r="J91" s="25"/>
      <c r="K91" s="25"/>
      <c r="L91" s="25"/>
      <c r="M91" s="25"/>
      <c r="N91" s="25"/>
      <c r="O91" s="25"/>
      <c r="P91" s="25"/>
      <c r="Q91" s="25"/>
      <c r="R91" s="25"/>
      <c r="S91" s="25"/>
      <c r="T91" s="25"/>
      <c r="U91" s="25"/>
      <c r="V91" s="25"/>
      <c r="W91" s="25"/>
      <c r="X91" s="25"/>
      <c r="Y91" s="74"/>
      <c r="Z91" s="74"/>
      <c r="AA91" s="74"/>
      <c r="AB91" s="74"/>
      <c r="AC91" s="74"/>
      <c r="AD91" s="74"/>
      <c r="AE91" s="74"/>
      <c r="AF91" s="74"/>
      <c r="AG91" s="74"/>
      <c r="AH91" s="74"/>
      <c r="AI91" s="74"/>
      <c r="AJ91" s="74"/>
      <c r="AK91" s="74"/>
      <c r="AL91" s="74"/>
      <c r="AM91" s="74"/>
      <c r="AN91" s="74"/>
      <c r="AO91" s="74"/>
    </row>
    <row r="92" spans="1:41" s="75" customFormat="1" x14ac:dyDescent="0.35">
      <c r="A92" s="25"/>
      <c r="B92" s="25"/>
      <c r="C92" s="25"/>
      <c r="D92" s="25"/>
      <c r="E92" s="25"/>
      <c r="F92" s="25"/>
      <c r="G92" s="25"/>
      <c r="H92" s="25"/>
      <c r="I92" s="25"/>
      <c r="J92" s="25"/>
      <c r="K92" s="25"/>
      <c r="L92" s="25"/>
      <c r="M92" s="25"/>
      <c r="N92" s="25"/>
      <c r="O92" s="25"/>
      <c r="P92" s="25"/>
      <c r="Q92" s="25"/>
      <c r="R92" s="25"/>
      <c r="S92" s="25"/>
      <c r="T92" s="25"/>
      <c r="U92" s="25"/>
      <c r="V92" s="25"/>
      <c r="W92" s="25"/>
      <c r="X92" s="25"/>
      <c r="Y92" s="74"/>
      <c r="Z92" s="74"/>
      <c r="AA92" s="74"/>
      <c r="AB92" s="74"/>
      <c r="AC92" s="74"/>
      <c r="AD92" s="74"/>
      <c r="AE92" s="74"/>
      <c r="AF92" s="74"/>
      <c r="AG92" s="74"/>
      <c r="AH92" s="74"/>
      <c r="AI92" s="74"/>
      <c r="AJ92" s="74"/>
      <c r="AK92" s="74"/>
      <c r="AL92" s="74"/>
      <c r="AM92" s="74"/>
      <c r="AN92" s="74"/>
      <c r="AO92" s="74"/>
    </row>
    <row r="93" spans="1:41" s="75" customFormat="1" x14ac:dyDescent="0.35">
      <c r="A93" s="25"/>
      <c r="B93" s="25"/>
      <c r="C93" s="25"/>
      <c r="D93" s="25"/>
      <c r="E93" s="25"/>
      <c r="F93" s="25"/>
      <c r="G93" s="25"/>
      <c r="H93" s="25"/>
      <c r="I93" s="25"/>
      <c r="J93" s="25"/>
      <c r="K93" s="25"/>
      <c r="L93" s="25"/>
      <c r="M93" s="25"/>
      <c r="N93" s="25"/>
      <c r="O93" s="25"/>
      <c r="P93" s="25"/>
      <c r="Q93" s="25"/>
      <c r="R93" s="25"/>
      <c r="S93" s="25"/>
      <c r="T93" s="25"/>
      <c r="U93" s="25"/>
      <c r="V93" s="25"/>
      <c r="W93" s="25"/>
      <c r="X93" s="25"/>
      <c r="Y93" s="74"/>
      <c r="Z93" s="74"/>
      <c r="AA93" s="74"/>
      <c r="AB93" s="74"/>
      <c r="AC93" s="74"/>
      <c r="AD93" s="74"/>
      <c r="AE93" s="74"/>
      <c r="AF93" s="74"/>
      <c r="AG93" s="74"/>
      <c r="AH93" s="74"/>
      <c r="AI93" s="74"/>
      <c r="AJ93" s="74"/>
      <c r="AK93" s="74"/>
      <c r="AL93" s="74"/>
      <c r="AM93" s="74"/>
      <c r="AN93" s="74"/>
      <c r="AO93" s="74"/>
    </row>
    <row r="94" spans="1:41" s="75" customFormat="1" x14ac:dyDescent="0.35">
      <c r="A94" s="25"/>
      <c r="B94" s="25"/>
      <c r="C94" s="25"/>
      <c r="D94" s="25"/>
      <c r="E94" s="25"/>
      <c r="F94" s="25"/>
      <c r="G94" s="25"/>
      <c r="H94" s="25"/>
      <c r="I94" s="25"/>
      <c r="J94" s="25"/>
      <c r="K94" s="25"/>
      <c r="L94" s="25"/>
      <c r="M94" s="25"/>
      <c r="N94" s="25"/>
      <c r="O94" s="25"/>
      <c r="P94" s="25"/>
      <c r="Q94" s="25"/>
      <c r="R94" s="25"/>
      <c r="S94" s="25"/>
      <c r="T94" s="25"/>
      <c r="U94" s="25"/>
      <c r="V94" s="25"/>
      <c r="W94" s="25"/>
      <c r="X94" s="25"/>
      <c r="Y94" s="74"/>
      <c r="Z94" s="74"/>
      <c r="AA94" s="74"/>
      <c r="AB94" s="74"/>
      <c r="AC94" s="74"/>
      <c r="AD94" s="74"/>
      <c r="AE94" s="74"/>
      <c r="AF94" s="74"/>
      <c r="AG94" s="74"/>
      <c r="AH94" s="74"/>
      <c r="AI94" s="74"/>
      <c r="AJ94" s="74"/>
      <c r="AK94" s="74"/>
      <c r="AL94" s="74"/>
      <c r="AM94" s="74"/>
      <c r="AN94" s="74"/>
      <c r="AO94" s="74"/>
    </row>
  </sheetData>
  <sheetProtection algorithmName="SHA-512" hashValue="Hp+96fP2269yRwqdt8ph2HjY31xpyWbHjhC/qJRt8CqRTtJeseeL0Bb9+osF1Yfw7XlL5MvqQH/8KJejuP3qdQ==" saltValue="BGDButVSRPra+8t0V1tezQ==" spinCount="100000" sheet="1" objects="1" scenarios="1"/>
  <mergeCells count="23">
    <mergeCell ref="C2:E2"/>
    <mergeCell ref="F49:G49"/>
    <mergeCell ref="B50:C50"/>
    <mergeCell ref="D5:E5"/>
    <mergeCell ref="F5:G5"/>
    <mergeCell ref="B13:G13"/>
    <mergeCell ref="B5:C5"/>
    <mergeCell ref="B6:C6"/>
    <mergeCell ref="B7:C7"/>
    <mergeCell ref="B8:C8"/>
    <mergeCell ref="B9:C9"/>
    <mergeCell ref="B10:C10"/>
    <mergeCell ref="B11:C11"/>
    <mergeCell ref="B12:C12"/>
    <mergeCell ref="B49:C49"/>
    <mergeCell ref="D49:E49"/>
    <mergeCell ref="B44:C44"/>
    <mergeCell ref="B38:C38"/>
    <mergeCell ref="B39:C39"/>
    <mergeCell ref="B40:C40"/>
    <mergeCell ref="B41:C41"/>
    <mergeCell ref="B42:C42"/>
    <mergeCell ref="B43:C43"/>
  </mergeCells>
  <conditionalFormatting sqref="D6:E6">
    <cfRule type="expression" dxfId="13" priority="23">
      <formula>$D$6="Additive Manufacturing (BL)"</formula>
    </cfRule>
    <cfRule type="expression" dxfId="12" priority="24">
      <formula>$D$6="Conventional Manufacturing (BL)"</formula>
    </cfRule>
  </conditionalFormatting>
  <conditionalFormatting sqref="D5">
    <cfRule type="expression" dxfId="11" priority="19">
      <formula>$D$6="Additive Manufacturing (BL)"</formula>
    </cfRule>
    <cfRule type="expression" dxfId="10" priority="20">
      <formula>$D$6="Conventional Manufacturing (BL)"</formula>
    </cfRule>
  </conditionalFormatting>
  <conditionalFormatting sqref="D50:E50">
    <cfRule type="expression" dxfId="9" priority="11">
      <formula>$D$6="Additive Manufacturing (BL)"</formula>
    </cfRule>
    <cfRule type="expression" dxfId="8" priority="12">
      <formula>$D$6="Conventional Manufacturing (BL)"</formula>
    </cfRule>
  </conditionalFormatting>
  <conditionalFormatting sqref="D49">
    <cfRule type="expression" dxfId="7" priority="9">
      <formula>$D$6="Additive Manufacturing (BL)"</formula>
    </cfRule>
    <cfRule type="expression" dxfId="6" priority="10">
      <formula>$D$6="Conventional Manufacturing (BL)"</formula>
    </cfRule>
  </conditionalFormatting>
  <conditionalFormatting sqref="F50">
    <cfRule type="expression" dxfId="5" priority="7">
      <formula>$D$6="Additive Manufacturing (BL)"</formula>
    </cfRule>
    <cfRule type="expression" dxfId="4" priority="8">
      <formula>$D$6="Conventional Manufacturing (BL)"</formula>
    </cfRule>
  </conditionalFormatting>
  <conditionalFormatting sqref="G50">
    <cfRule type="expression" dxfId="3" priority="5">
      <formula>$D$6="Additive Manufacturing (BL)"</formula>
    </cfRule>
    <cfRule type="expression" dxfId="2" priority="6">
      <formula>$D$6="Conventional Manufacturing (BL)"</formula>
    </cfRule>
  </conditionalFormatting>
  <conditionalFormatting sqref="F6:G6">
    <cfRule type="expression" dxfId="1" priority="1">
      <formula>$D$6="Additive Manufacturing (BL)"</formula>
    </cfRule>
    <cfRule type="expression" dxfId="0" priority="2">
      <formula>$D$6="Conventional Manufacturing (BL)"</formula>
    </cfRule>
  </conditionalFormatting>
  <printOptions horizontalCentered="1" verticalCentered="1"/>
  <pageMargins left="0.7" right="0.7" top="0.75" bottom="0.75" header="0.3" footer="0.3"/>
  <pageSetup scale="47" fitToHeight="3" orientation="landscape" r:id="rId1"/>
  <headerFooter>
    <oddFooter>&amp;R&amp;8Additive Manufacturing Energy Impacts Calculator</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locked="0" defaultSize="0" autoFill="0" autoLine="0" autoPict="0">
                <anchor moveWithCells="1">
                  <from>
                    <xdr:col>5</xdr:col>
                    <xdr:colOff>1200150</xdr:colOff>
                    <xdr:row>3</xdr:row>
                    <xdr:rowOff>171450</xdr:rowOff>
                  </from>
                  <to>
                    <xdr:col>5</xdr:col>
                    <xdr:colOff>1803400</xdr:colOff>
                    <xdr:row>4</xdr:row>
                    <xdr:rowOff>0</xdr:rowOff>
                  </to>
                </anchor>
              </controlPr>
            </control>
          </mc:Choice>
        </mc:AlternateContent>
        <mc:AlternateContent xmlns:mc="http://schemas.openxmlformats.org/markup-compatibility/2006">
          <mc:Choice Requires="x14">
            <control shapeId="5122" r:id="rId5" name="Check Box 2">
              <controlPr locked="0" defaultSize="0" autoFill="0" autoLine="0" autoPict="0">
                <anchor moveWithCells="1">
                  <from>
                    <xdr:col>7</xdr:col>
                    <xdr:colOff>0</xdr:colOff>
                    <xdr:row>6</xdr:row>
                    <xdr:rowOff>12700</xdr:rowOff>
                  </from>
                  <to>
                    <xdr:col>8</xdr:col>
                    <xdr:colOff>0</xdr:colOff>
                    <xdr:row>7</xdr:row>
                    <xdr:rowOff>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7</xdr:col>
                    <xdr:colOff>0</xdr:colOff>
                    <xdr:row>7</xdr:row>
                    <xdr:rowOff>0</xdr:rowOff>
                  </from>
                  <to>
                    <xdr:col>8</xdr:col>
                    <xdr:colOff>0</xdr:colOff>
                    <xdr:row>8</xdr:row>
                    <xdr:rowOff>0</xdr:rowOff>
                  </to>
                </anchor>
              </controlPr>
            </control>
          </mc:Choice>
        </mc:AlternateContent>
        <mc:AlternateContent xmlns:mc="http://schemas.openxmlformats.org/markup-compatibility/2006">
          <mc:Choice Requires="x14">
            <control shapeId="5124" r:id="rId7" name="Check Box 4">
              <controlPr locked="0" defaultSize="0" autoFill="0" autoLine="0" autoPict="0">
                <anchor mov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5125" r:id="rId8" name="Check Box 5">
              <controlPr locked="0" defaultSize="0" autoFill="0" autoLine="0" autoPict="0">
                <anchor moveWithCells="1">
                  <from>
                    <xdr:col>7</xdr:col>
                    <xdr:colOff>0</xdr:colOff>
                    <xdr:row>9</xdr:row>
                    <xdr:rowOff>0</xdr:rowOff>
                  </from>
                  <to>
                    <xdr:col>8</xdr:col>
                    <xdr:colOff>0</xdr:colOff>
                    <xdr:row>10</xdr:row>
                    <xdr:rowOff>0</xdr:rowOff>
                  </to>
                </anchor>
              </controlPr>
            </control>
          </mc:Choice>
        </mc:AlternateContent>
        <mc:AlternateContent xmlns:mc="http://schemas.openxmlformats.org/markup-compatibility/2006">
          <mc:Choice Requires="x14">
            <control shapeId="5126" r:id="rId9" name="Check Box 6">
              <controlPr locked="0" defaultSize="0" autoFill="0" autoLine="0" autoPict="0">
                <anchor moveWithCells="1">
                  <from>
                    <xdr:col>7</xdr:col>
                    <xdr:colOff>0</xdr:colOff>
                    <xdr:row>10</xdr:row>
                    <xdr:rowOff>0</xdr:rowOff>
                  </from>
                  <to>
                    <xdr:col>8</xdr:col>
                    <xdr:colOff>0</xdr:colOff>
                    <xdr:row>11</xdr:row>
                    <xdr:rowOff>0</xdr:rowOff>
                  </to>
                </anchor>
              </controlPr>
            </control>
          </mc:Choice>
        </mc:AlternateContent>
        <mc:AlternateContent xmlns:mc="http://schemas.openxmlformats.org/markup-compatibility/2006">
          <mc:Choice Requires="x14">
            <control shapeId="5127" r:id="rId10" name="Check Box 7">
              <controlPr locked="0" defaultSize="0" autoFill="0" autoLine="0" autoPict="0">
                <anchor moveWithCells="1">
                  <from>
                    <xdr:col>7</xdr:col>
                    <xdr:colOff>0</xdr:colOff>
                    <xdr:row>50</xdr:row>
                    <xdr:rowOff>0</xdr:rowOff>
                  </from>
                  <to>
                    <xdr:col>8</xdr:col>
                    <xdr:colOff>0</xdr:colOff>
                    <xdr:row>51</xdr:row>
                    <xdr:rowOff>0</xdr:rowOff>
                  </to>
                </anchor>
              </controlPr>
            </control>
          </mc:Choice>
        </mc:AlternateContent>
        <mc:AlternateContent xmlns:mc="http://schemas.openxmlformats.org/markup-compatibility/2006">
          <mc:Choice Requires="x14">
            <control shapeId="5128" r:id="rId11" name="Check Box 8">
              <controlPr locked="0" defaultSize="0" autoFill="0" autoLine="0" autoPict="0">
                <anchor moveWithCells="1">
                  <from>
                    <xdr:col>7</xdr:col>
                    <xdr:colOff>0</xdr:colOff>
                    <xdr:row>51</xdr:row>
                    <xdr:rowOff>12700</xdr:rowOff>
                  </from>
                  <to>
                    <xdr:col>8</xdr:col>
                    <xdr:colOff>88900</xdr:colOff>
                    <xdr:row>52</xdr:row>
                    <xdr:rowOff>12700</xdr:rowOff>
                  </to>
                </anchor>
              </controlPr>
            </control>
          </mc:Choice>
        </mc:AlternateContent>
        <mc:AlternateContent xmlns:mc="http://schemas.openxmlformats.org/markup-compatibility/2006">
          <mc:Choice Requires="x14">
            <control shapeId="5129" r:id="rId12" name="Check Box 9">
              <controlPr locked="0" defaultSize="0" autoFill="0" autoLine="0" autoPict="0">
                <anchor moveWithCells="1">
                  <from>
                    <xdr:col>7</xdr:col>
                    <xdr:colOff>0</xdr:colOff>
                    <xdr:row>52</xdr:row>
                    <xdr:rowOff>0</xdr:rowOff>
                  </from>
                  <to>
                    <xdr:col>8</xdr:col>
                    <xdr:colOff>0</xdr:colOff>
                    <xdr:row>53</xdr:row>
                    <xdr:rowOff>0</xdr:rowOff>
                  </to>
                </anchor>
              </controlPr>
            </control>
          </mc:Choice>
        </mc:AlternateContent>
        <mc:AlternateContent xmlns:mc="http://schemas.openxmlformats.org/markup-compatibility/2006">
          <mc:Choice Requires="x14">
            <control shapeId="5130" r:id="rId13" name="Check Box 10">
              <controlPr locked="0" defaultSize="0" autoFill="0" autoLine="0" autoPict="0">
                <anchor moveWithCells="1">
                  <from>
                    <xdr:col>7</xdr:col>
                    <xdr:colOff>0</xdr:colOff>
                    <xdr:row>52</xdr:row>
                    <xdr:rowOff>368300</xdr:rowOff>
                  </from>
                  <to>
                    <xdr:col>8</xdr:col>
                    <xdr:colOff>88900</xdr:colOff>
                    <xdr:row>53</xdr:row>
                    <xdr:rowOff>368300</xdr:rowOff>
                  </to>
                </anchor>
              </controlPr>
            </control>
          </mc:Choice>
        </mc:AlternateContent>
        <mc:AlternateContent xmlns:mc="http://schemas.openxmlformats.org/markup-compatibility/2006">
          <mc:Choice Requires="x14">
            <control shapeId="5131" r:id="rId14" name="Check Box 11">
              <controlPr locked="0" defaultSize="0" autoFill="0" autoLine="0" autoPict="0">
                <anchor moveWithCells="1">
                  <from>
                    <xdr:col>7</xdr:col>
                    <xdr:colOff>0</xdr:colOff>
                    <xdr:row>54</xdr:row>
                    <xdr:rowOff>0</xdr:rowOff>
                  </from>
                  <to>
                    <xdr:col>8</xdr:col>
                    <xdr:colOff>0</xdr:colOff>
                    <xdr:row>55</xdr:row>
                    <xdr:rowOff>0</xdr:rowOff>
                  </to>
                </anchor>
              </controlPr>
            </control>
          </mc:Choice>
        </mc:AlternateContent>
        <mc:AlternateContent xmlns:mc="http://schemas.openxmlformats.org/markup-compatibility/2006">
          <mc:Choice Requires="x14">
            <control shapeId="5132" r:id="rId15" name="Check Box 12">
              <controlPr locked="0" defaultSize="0" autoFill="0" autoLine="0" autoPict="0">
                <anchor moveWithCells="1">
                  <from>
                    <xdr:col>7</xdr:col>
                    <xdr:colOff>0</xdr:colOff>
                    <xdr:row>55</xdr:row>
                    <xdr:rowOff>0</xdr:rowOff>
                  </from>
                  <to>
                    <xdr:col>8</xdr:col>
                    <xdr:colOff>0</xdr:colOff>
                    <xdr:row>56</xdr:row>
                    <xdr:rowOff>0</xdr:rowOff>
                  </to>
                </anchor>
              </controlPr>
            </control>
          </mc:Choice>
        </mc:AlternateContent>
        <mc:AlternateContent xmlns:mc="http://schemas.openxmlformats.org/markup-compatibility/2006">
          <mc:Choice Requires="x14">
            <control shapeId="5133" r:id="rId16" name="Check Box 13">
              <controlPr locked="0" defaultSize="0" autoFill="0" autoLine="0" autoPict="0">
                <anchor moveWithCells="1">
                  <from>
                    <xdr:col>7</xdr:col>
                    <xdr:colOff>12700</xdr:colOff>
                    <xdr:row>56</xdr:row>
                    <xdr:rowOff>0</xdr:rowOff>
                  </from>
                  <to>
                    <xdr:col>8</xdr:col>
                    <xdr:colOff>101600</xdr:colOff>
                    <xdr:row>57</xdr:row>
                    <xdr:rowOff>0</xdr:rowOff>
                  </to>
                </anchor>
              </controlPr>
            </control>
          </mc:Choice>
        </mc:AlternateContent>
        <mc:AlternateContent xmlns:mc="http://schemas.openxmlformats.org/markup-compatibility/2006">
          <mc:Choice Requires="x14">
            <control shapeId="5134" r:id="rId17" name="Check Box 14">
              <controlPr locked="0" defaultSize="0" autoFill="0" autoLine="0" autoPict="0">
                <anchor moveWithCells="1">
                  <from>
                    <xdr:col>7</xdr:col>
                    <xdr:colOff>12700</xdr:colOff>
                    <xdr:row>57</xdr:row>
                    <xdr:rowOff>0</xdr:rowOff>
                  </from>
                  <to>
                    <xdr:col>8</xdr:col>
                    <xdr:colOff>101600</xdr:colOff>
                    <xdr:row>58</xdr:row>
                    <xdr:rowOff>0</xdr:rowOff>
                  </to>
                </anchor>
              </controlPr>
            </control>
          </mc:Choice>
        </mc:AlternateContent>
        <mc:AlternateContent xmlns:mc="http://schemas.openxmlformats.org/markup-compatibility/2006">
          <mc:Choice Requires="x14">
            <control shapeId="5135" r:id="rId18" name="Check Box 15">
              <controlPr locked="0" defaultSize="0" autoFill="0" autoLine="0" autoPict="0">
                <anchor moveWithCells="1">
                  <from>
                    <xdr:col>7</xdr:col>
                    <xdr:colOff>12700</xdr:colOff>
                    <xdr:row>58</xdr:row>
                    <xdr:rowOff>12700</xdr:rowOff>
                  </from>
                  <to>
                    <xdr:col>8</xdr:col>
                    <xdr:colOff>101600</xdr:colOff>
                    <xdr:row>59</xdr:row>
                    <xdr:rowOff>12700</xdr:rowOff>
                  </to>
                </anchor>
              </controlPr>
            </control>
          </mc:Choice>
        </mc:AlternateContent>
        <mc:AlternateContent xmlns:mc="http://schemas.openxmlformats.org/markup-compatibility/2006">
          <mc:Choice Requires="x14">
            <control shapeId="5136" r:id="rId19" name="Check Box 16">
              <controlPr locked="0" defaultSize="0" autoFill="0" autoLine="0" autoPict="0">
                <anchor moveWithCells="1">
                  <from>
                    <xdr:col>7</xdr:col>
                    <xdr:colOff>0</xdr:colOff>
                    <xdr:row>59</xdr:row>
                    <xdr:rowOff>0</xdr:rowOff>
                  </from>
                  <to>
                    <xdr:col>8</xdr:col>
                    <xdr:colOff>0</xdr:colOff>
                    <xdr:row>60</xdr:row>
                    <xdr:rowOff>0</xdr:rowOff>
                  </to>
                </anchor>
              </controlPr>
            </control>
          </mc:Choice>
        </mc:AlternateContent>
        <mc:AlternateContent xmlns:mc="http://schemas.openxmlformats.org/markup-compatibility/2006">
          <mc:Choice Requires="x14">
            <control shapeId="5137" r:id="rId20" name="Check Box 17">
              <controlPr locked="0" defaultSize="0" autoFill="0" autoLine="0" autoPict="0">
                <anchor moveWithCells="1">
                  <from>
                    <xdr:col>6</xdr:col>
                    <xdr:colOff>1784350</xdr:colOff>
                    <xdr:row>59</xdr:row>
                    <xdr:rowOff>355600</xdr:rowOff>
                  </from>
                  <to>
                    <xdr:col>8</xdr:col>
                    <xdr:colOff>63500</xdr:colOff>
                    <xdr:row>60</xdr:row>
                    <xdr:rowOff>355600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F1FFC-35B8-4BF6-8CA5-BAA4CE77D8BE}">
  <sheetPr codeName="Sheet17">
    <tabColor theme="3"/>
  </sheetPr>
  <dimension ref="A1:E30"/>
  <sheetViews>
    <sheetView zoomScaleNormal="100" workbookViewId="0">
      <selection activeCell="D11" sqref="D11"/>
    </sheetView>
  </sheetViews>
  <sheetFormatPr defaultColWidth="0" defaultRowHeight="20.149999999999999" customHeight="1" zeroHeight="1" x14ac:dyDescent="0.35"/>
  <cols>
    <col min="1" max="1" width="10.7265625" customWidth="1"/>
    <col min="2" max="2" width="30.7265625" customWidth="1"/>
    <col min="3" max="3" width="10.7265625" customWidth="1"/>
    <col min="4" max="4" width="69.7265625" customWidth="1"/>
    <col min="5" max="5" width="10.7265625" customWidth="1"/>
    <col min="6" max="16384" width="9.1796875" hidden="1"/>
  </cols>
  <sheetData>
    <row r="1" spans="1:5" s="104" customFormat="1" ht="90" customHeight="1" x14ac:dyDescent="0.35">
      <c r="A1" s="193"/>
      <c r="B1" s="409" t="s">
        <v>957</v>
      </c>
      <c r="C1" s="409"/>
      <c r="D1" s="409"/>
      <c r="E1" s="194"/>
    </row>
    <row r="2" spans="1:5" s="25" customFormat="1" ht="20.149999999999999" customHeight="1" x14ac:dyDescent="0.35">
      <c r="A2" s="105"/>
      <c r="B2" s="105"/>
      <c r="C2" s="105"/>
      <c r="D2" s="105"/>
      <c r="E2" s="105"/>
    </row>
    <row r="3" spans="1:5" s="25" customFormat="1" ht="20.149999999999999" customHeight="1" x14ac:dyDescent="0.35">
      <c r="A3" s="105"/>
      <c r="E3" s="105"/>
    </row>
    <row r="4" spans="1:5" s="25" customFormat="1" ht="20.149999999999999" customHeight="1" x14ac:dyDescent="0.35">
      <c r="A4" s="105"/>
      <c r="B4" s="106"/>
      <c r="C4" s="105"/>
      <c r="D4" s="106"/>
      <c r="E4" s="105"/>
    </row>
    <row r="5" spans="1:5" s="25" customFormat="1" ht="42" customHeight="1" x14ac:dyDescent="0.35">
      <c r="A5" s="105"/>
      <c r="B5" s="105" t="s">
        <v>993</v>
      </c>
      <c r="C5" s="105"/>
      <c r="D5" s="318" t="s">
        <v>1000</v>
      </c>
      <c r="E5" s="105"/>
    </row>
    <row r="6" spans="1:5" s="25" customFormat="1" ht="42" customHeight="1" x14ac:dyDescent="0.35">
      <c r="A6" s="105"/>
      <c r="B6" s="105" t="s">
        <v>994</v>
      </c>
      <c r="C6" s="105"/>
      <c r="D6" s="318" t="s">
        <v>1001</v>
      </c>
      <c r="E6" s="105"/>
    </row>
    <row r="7" spans="1:5" s="25" customFormat="1" ht="42" customHeight="1" x14ac:dyDescent="0.35">
      <c r="A7" s="105"/>
      <c r="B7" s="105" t="s">
        <v>995</v>
      </c>
      <c r="C7" s="105"/>
      <c r="D7" s="318" t="s">
        <v>1003</v>
      </c>
      <c r="E7" s="105"/>
    </row>
    <row r="8" spans="1:5" s="25" customFormat="1" ht="42" customHeight="1" x14ac:dyDescent="0.35">
      <c r="A8" s="105"/>
      <c r="B8" s="105" t="s">
        <v>996</v>
      </c>
      <c r="C8" s="105"/>
      <c r="D8" s="318" t="s">
        <v>1002</v>
      </c>
      <c r="E8" s="105"/>
    </row>
    <row r="9" spans="1:5" s="25" customFormat="1" ht="42" customHeight="1" x14ac:dyDescent="0.35">
      <c r="A9" s="105"/>
      <c r="B9" s="105" t="s">
        <v>76</v>
      </c>
      <c r="C9" s="105"/>
      <c r="D9" s="318" t="s">
        <v>1004</v>
      </c>
      <c r="E9" s="105"/>
    </row>
    <row r="10" spans="1:5" s="25" customFormat="1" ht="42" customHeight="1" x14ac:dyDescent="0.35">
      <c r="A10" s="105"/>
      <c r="B10" s="105" t="s">
        <v>997</v>
      </c>
      <c r="C10" s="105"/>
      <c r="D10" s="318" t="s">
        <v>1005</v>
      </c>
      <c r="E10" s="105"/>
    </row>
    <row r="11" spans="1:5" s="25" customFormat="1" ht="42" customHeight="1" x14ac:dyDescent="0.35">
      <c r="A11" s="105"/>
      <c r="B11" s="105" t="s">
        <v>998</v>
      </c>
      <c r="C11" s="105"/>
      <c r="D11" s="318" t="s">
        <v>1006</v>
      </c>
      <c r="E11" s="105"/>
    </row>
    <row r="12" spans="1:5" s="25" customFormat="1" ht="42" customHeight="1" x14ac:dyDescent="0.35">
      <c r="A12" s="105"/>
      <c r="B12" s="105" t="s">
        <v>999</v>
      </c>
      <c r="C12" s="105"/>
      <c r="D12" s="318" t="s">
        <v>1007</v>
      </c>
      <c r="E12" s="105"/>
    </row>
    <row r="13" spans="1:5" s="25" customFormat="1" ht="20.149999999999999" customHeight="1" x14ac:dyDescent="0.35">
      <c r="A13" s="105"/>
      <c r="B13" s="105"/>
      <c r="C13" s="105"/>
      <c r="D13" s="105"/>
      <c r="E13" s="105"/>
    </row>
    <row r="14" spans="1:5" s="25" customFormat="1" ht="20.149999999999999" customHeight="1" x14ac:dyDescent="0.35">
      <c r="A14" s="105"/>
      <c r="B14" s="105"/>
      <c r="C14" s="105"/>
      <c r="D14" s="105"/>
      <c r="E14" s="105"/>
    </row>
    <row r="15" spans="1:5" s="25" customFormat="1" ht="20.149999999999999" customHeight="1" x14ac:dyDescent="0.35">
      <c r="A15" s="105"/>
      <c r="B15" s="105"/>
      <c r="C15" s="105"/>
      <c r="D15" s="105"/>
      <c r="E15" s="105"/>
    </row>
    <row r="16" spans="1:5" s="25" customFormat="1" ht="20.149999999999999" customHeight="1" x14ac:dyDescent="0.35">
      <c r="A16" s="105"/>
      <c r="B16" s="105"/>
      <c r="C16" s="105"/>
      <c r="D16" s="105"/>
      <c r="E16" s="105"/>
    </row>
    <row r="17" spans="1:5" s="25" customFormat="1" ht="20.149999999999999" customHeight="1" x14ac:dyDescent="0.35">
      <c r="A17" s="105"/>
      <c r="B17" s="105"/>
      <c r="C17" s="105"/>
      <c r="D17" s="105"/>
      <c r="E17" s="105"/>
    </row>
    <row r="18" spans="1:5" s="25" customFormat="1" ht="20.149999999999999" customHeight="1" x14ac:dyDescent="0.35">
      <c r="A18" s="105"/>
      <c r="E18" s="105"/>
    </row>
    <row r="19" spans="1:5" s="25" customFormat="1" ht="20.149999999999999" customHeight="1" x14ac:dyDescent="0.35">
      <c r="A19" s="105"/>
      <c r="B19" s="105"/>
      <c r="C19" s="105"/>
      <c r="D19" s="105"/>
      <c r="E19" s="105"/>
    </row>
    <row r="20" spans="1:5" s="25" customFormat="1" ht="20.149999999999999" customHeight="1" x14ac:dyDescent="0.35">
      <c r="A20" s="105"/>
      <c r="B20" s="105"/>
      <c r="C20" s="105"/>
      <c r="D20" s="105"/>
      <c r="E20" s="105"/>
    </row>
    <row r="21" spans="1:5" s="25" customFormat="1" ht="20.149999999999999" customHeight="1" x14ac:dyDescent="0.35">
      <c r="A21" s="105"/>
      <c r="B21" s="105"/>
      <c r="C21" s="105"/>
      <c r="D21" s="105"/>
      <c r="E21" s="105"/>
    </row>
    <row r="22" spans="1:5" s="25" customFormat="1" ht="20.149999999999999" hidden="1" customHeight="1" x14ac:dyDescent="0.35">
      <c r="A22" s="105"/>
      <c r="B22" s="105"/>
      <c r="C22" s="105"/>
      <c r="D22" s="105"/>
      <c r="E22" s="105"/>
    </row>
    <row r="23" spans="1:5" s="25" customFormat="1" ht="20.149999999999999" hidden="1" customHeight="1" x14ac:dyDescent="0.35">
      <c r="A23" s="105"/>
      <c r="B23" s="105"/>
      <c r="C23" s="105"/>
      <c r="D23" s="105"/>
      <c r="E23" s="105"/>
    </row>
    <row r="24" spans="1:5" s="25" customFormat="1" ht="20.149999999999999" hidden="1" customHeight="1" x14ac:dyDescent="0.35">
      <c r="A24" s="105"/>
      <c r="B24" s="105"/>
      <c r="C24" s="105"/>
      <c r="D24" s="105"/>
      <c r="E24" s="105"/>
    </row>
    <row r="25" spans="1:5" s="25" customFormat="1" ht="20.149999999999999" hidden="1" customHeight="1" x14ac:dyDescent="0.35">
      <c r="A25" s="105"/>
      <c r="B25" s="105"/>
      <c r="C25" s="105"/>
      <c r="D25" s="105"/>
      <c r="E25" s="105"/>
    </row>
    <row r="26" spans="1:5" s="25" customFormat="1" ht="20.149999999999999" hidden="1" customHeight="1" x14ac:dyDescent="0.35">
      <c r="A26" s="105"/>
      <c r="B26" s="105"/>
      <c r="C26" s="105"/>
      <c r="D26" s="105"/>
      <c r="E26" s="105"/>
    </row>
    <row r="27" spans="1:5" s="25" customFormat="1" ht="20.149999999999999" hidden="1" customHeight="1" x14ac:dyDescent="0.35"/>
    <row r="28" spans="1:5" s="25" customFormat="1" ht="20.149999999999999" hidden="1" customHeight="1" x14ac:dyDescent="0.35"/>
    <row r="29" spans="1:5" s="25" customFormat="1" ht="20.149999999999999" hidden="1" customHeight="1" x14ac:dyDescent="0.35"/>
    <row r="30" spans="1:5" s="25" customFormat="1" ht="20.149999999999999" hidden="1" customHeight="1" x14ac:dyDescent="0.35"/>
  </sheetData>
  <sheetProtection algorithmName="SHA-512" hashValue="V0XQaiL7KwL2hr8EETudNqeW/RahAy0xCkVH5k2VutOFGo48WGmWGn4YjhznrZF00LdO5UngFRYLLK2qzVuGYw==" saltValue="B0zhf9Dw03SYEi/mpoEFjQ==" spinCount="100000" sheet="1" objects="1" scenarios="1"/>
  <mergeCells count="1">
    <mergeCell ref="B1:D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047C0-18F3-469A-8BC5-F6BCF87E872D}">
  <sheetPr codeName="Sheet21">
    <tabColor theme="4"/>
  </sheetPr>
  <dimension ref="A1:R170"/>
  <sheetViews>
    <sheetView zoomScale="85" zoomScaleNormal="85" workbookViewId="0">
      <selection activeCell="Q35" sqref="Q35"/>
    </sheetView>
  </sheetViews>
  <sheetFormatPr defaultRowHeight="14.5" x14ac:dyDescent="0.35"/>
  <cols>
    <col min="1" max="1" width="4.453125" customWidth="1"/>
    <col min="2" max="2" width="15.7265625" customWidth="1"/>
    <col min="3" max="3" width="43.26953125" customWidth="1"/>
    <col min="4" max="4" width="11" bestFit="1" customWidth="1"/>
    <col min="7" max="7" width="2.7265625" customWidth="1"/>
    <col min="10" max="10" width="3.81640625" style="38" customWidth="1"/>
    <col min="11" max="11" width="11.26953125" style="38" bestFit="1" customWidth="1"/>
    <col min="12" max="12" width="9.1796875" style="38"/>
    <col min="13" max="13" width="4.1796875" customWidth="1"/>
    <col min="16" max="16" width="4.26953125" customWidth="1"/>
    <col min="17" max="17" width="34" style="38" customWidth="1"/>
    <col min="18" max="18" width="53.1796875" customWidth="1"/>
  </cols>
  <sheetData>
    <row r="1" spans="1:18" ht="61.5" customHeight="1" x14ac:dyDescent="0.35">
      <c r="A1" s="81"/>
      <c r="B1" s="81"/>
      <c r="C1" s="81"/>
      <c r="D1" s="81"/>
      <c r="E1" s="532" t="s">
        <v>310</v>
      </c>
      <c r="F1" s="532"/>
      <c r="G1" s="82"/>
      <c r="H1" s="532" t="s">
        <v>454</v>
      </c>
      <c r="I1" s="532"/>
      <c r="J1" s="82"/>
      <c r="K1" s="82" t="s">
        <v>655</v>
      </c>
      <c r="L1" s="82" t="s">
        <v>689</v>
      </c>
      <c r="M1" s="81"/>
      <c r="N1" s="532" t="s">
        <v>455</v>
      </c>
      <c r="O1" s="532"/>
      <c r="P1" s="81"/>
      <c r="Q1" s="155" t="s">
        <v>686</v>
      </c>
      <c r="R1" s="81"/>
    </row>
    <row r="2" spans="1:18" x14ac:dyDescent="0.35">
      <c r="A2" s="154" t="s">
        <v>497</v>
      </c>
      <c r="B2" s="81" t="s">
        <v>498</v>
      </c>
      <c r="C2" s="81" t="s">
        <v>60</v>
      </c>
      <c r="D2" s="81" t="s">
        <v>15</v>
      </c>
      <c r="E2" s="81" t="s">
        <v>438</v>
      </c>
      <c r="F2" s="81" t="s">
        <v>439</v>
      </c>
      <c r="G2" s="81"/>
      <c r="H2" s="81" t="s">
        <v>438</v>
      </c>
      <c r="I2" s="81" t="s">
        <v>439</v>
      </c>
      <c r="J2" s="81"/>
      <c r="K2" s="154" t="s">
        <v>209</v>
      </c>
      <c r="L2" s="154" t="s">
        <v>209</v>
      </c>
      <c r="M2" s="81"/>
      <c r="N2" s="81" t="s">
        <v>439</v>
      </c>
      <c r="O2" s="81" t="s">
        <v>438</v>
      </c>
      <c r="P2" s="81"/>
      <c r="Q2" s="81"/>
      <c r="R2" s="81" t="s">
        <v>893</v>
      </c>
    </row>
    <row r="3" spans="1:18" x14ac:dyDescent="0.35">
      <c r="A3" s="103" t="str">
        <f t="shared" ref="A3:A34" si="0">C3&amp; " "&amp;D3</f>
        <v>Acrylonitrile Butadiene Styrene (ABS) Market Mix</v>
      </c>
      <c r="B3" t="s">
        <v>396</v>
      </c>
      <c r="C3" t="s">
        <v>440</v>
      </c>
      <c r="D3" t="s">
        <v>496</v>
      </c>
      <c r="E3">
        <v>87.983999999999995</v>
      </c>
      <c r="F3">
        <v>97.176000000000002</v>
      </c>
      <c r="H3">
        <v>3.5537999999999998</v>
      </c>
      <c r="I3">
        <v>3.9657999999999998</v>
      </c>
      <c r="K3" s="38">
        <f>14000/(1000000/(1055.06*2.20462))</f>
        <v>32.564089280799998</v>
      </c>
      <c r="L3" s="38">
        <v>0.88</v>
      </c>
      <c r="N3">
        <v>4.2</v>
      </c>
      <c r="O3">
        <v>3.8</v>
      </c>
      <c r="Q3" s="38" t="s">
        <v>539</v>
      </c>
      <c r="R3" t="s">
        <v>687</v>
      </c>
    </row>
    <row r="4" spans="1:18" x14ac:dyDescent="0.35">
      <c r="A4" s="103" t="str">
        <f t="shared" si="0"/>
        <v>Acrylonitrile Butadiene Styrene (ABS) Primary</v>
      </c>
      <c r="B4" t="s">
        <v>396</v>
      </c>
      <c r="C4" t="s">
        <v>440</v>
      </c>
      <c r="D4" t="s">
        <v>405</v>
      </c>
      <c r="E4">
        <v>90</v>
      </c>
      <c r="F4">
        <v>99</v>
      </c>
      <c r="H4">
        <v>3.6</v>
      </c>
      <c r="I4">
        <v>4</v>
      </c>
      <c r="K4" s="38">
        <f>K3</f>
        <v>32.564089280799998</v>
      </c>
      <c r="L4" s="38">
        <v>0.88</v>
      </c>
      <c r="N4">
        <v>4.2</v>
      </c>
      <c r="O4">
        <v>3.8</v>
      </c>
      <c r="Q4" s="38" t="s">
        <v>539</v>
      </c>
      <c r="R4" t="s">
        <v>687</v>
      </c>
    </row>
    <row r="5" spans="1:18" x14ac:dyDescent="0.35">
      <c r="A5" s="103" t="str">
        <f t="shared" si="0"/>
        <v>Acrylonitrile Butadiene Styrene (ABS) Secondary</v>
      </c>
      <c r="B5" t="s">
        <v>396</v>
      </c>
      <c r="C5" t="s">
        <v>440</v>
      </c>
      <c r="D5" t="s">
        <v>495</v>
      </c>
      <c r="E5">
        <v>42</v>
      </c>
      <c r="F5">
        <v>51</v>
      </c>
      <c r="H5">
        <v>2.5</v>
      </c>
      <c r="I5">
        <v>3.1</v>
      </c>
      <c r="K5" s="38">
        <f>K4</f>
        <v>32.564089280799998</v>
      </c>
      <c r="L5" s="38">
        <v>0.88</v>
      </c>
      <c r="N5">
        <v>4.2</v>
      </c>
      <c r="O5">
        <v>3.8</v>
      </c>
      <c r="Q5" s="38" t="s">
        <v>539</v>
      </c>
      <c r="R5" t="s">
        <v>687</v>
      </c>
    </row>
    <row r="6" spans="1:18" x14ac:dyDescent="0.35">
      <c r="A6" s="103" t="str">
        <f t="shared" si="0"/>
        <v>Alumina Market Mix</v>
      </c>
      <c r="B6" t="s">
        <v>387</v>
      </c>
      <c r="C6" t="s">
        <v>110</v>
      </c>
      <c r="D6" t="s">
        <v>496</v>
      </c>
      <c r="E6">
        <v>49.5</v>
      </c>
      <c r="F6">
        <v>54.7</v>
      </c>
      <c r="H6">
        <v>2.67</v>
      </c>
      <c r="I6">
        <v>2.95</v>
      </c>
      <c r="K6" s="38" t="s">
        <v>209</v>
      </c>
      <c r="L6" s="38" t="s">
        <v>209</v>
      </c>
      <c r="N6">
        <v>1</v>
      </c>
      <c r="O6">
        <v>0.5</v>
      </c>
      <c r="Q6" s="38" t="s">
        <v>539</v>
      </c>
      <c r="R6" t="s">
        <v>209</v>
      </c>
    </row>
    <row r="7" spans="1:18" x14ac:dyDescent="0.35">
      <c r="A7" s="103" t="str">
        <f t="shared" si="0"/>
        <v>Alumina Primary</v>
      </c>
      <c r="B7" t="s">
        <v>387</v>
      </c>
      <c r="C7" t="s">
        <v>110</v>
      </c>
      <c r="D7" t="s">
        <v>405</v>
      </c>
      <c r="E7">
        <v>49.5</v>
      </c>
      <c r="F7">
        <v>54.7</v>
      </c>
      <c r="H7">
        <v>2.67</v>
      </c>
      <c r="I7">
        <v>2.95</v>
      </c>
      <c r="K7" s="38" t="s">
        <v>209</v>
      </c>
      <c r="L7" s="38" t="s">
        <v>209</v>
      </c>
      <c r="N7">
        <v>1</v>
      </c>
      <c r="O7">
        <v>0.5</v>
      </c>
      <c r="Q7" s="38" t="s">
        <v>539</v>
      </c>
      <c r="R7" t="s">
        <v>209</v>
      </c>
    </row>
    <row r="8" spans="1:18" x14ac:dyDescent="0.35">
      <c r="A8" s="103" t="str">
        <f t="shared" si="0"/>
        <v>Alumina Secondary</v>
      </c>
      <c r="B8" t="s">
        <v>387</v>
      </c>
      <c r="C8" t="s">
        <v>110</v>
      </c>
      <c r="D8" t="s">
        <v>495</v>
      </c>
      <c r="E8">
        <v>49.5</v>
      </c>
      <c r="F8">
        <v>54.7</v>
      </c>
      <c r="H8">
        <v>2.67</v>
      </c>
      <c r="I8">
        <v>2.95</v>
      </c>
      <c r="K8" s="38" t="s">
        <v>209</v>
      </c>
      <c r="L8" s="38" t="s">
        <v>209</v>
      </c>
      <c r="N8">
        <v>1</v>
      </c>
      <c r="O8">
        <v>0.5</v>
      </c>
      <c r="Q8" s="38" t="s">
        <v>539</v>
      </c>
      <c r="R8" t="s">
        <v>209</v>
      </c>
    </row>
    <row r="9" spans="1:18" x14ac:dyDescent="0.35">
      <c r="A9" s="103" t="str">
        <f t="shared" si="0"/>
        <v>Aluminum alloys Market Mix</v>
      </c>
      <c r="B9" t="s">
        <v>385</v>
      </c>
      <c r="C9" t="s">
        <v>295</v>
      </c>
      <c r="D9" t="s">
        <v>496</v>
      </c>
      <c r="E9">
        <v>119.90000000000002</v>
      </c>
      <c r="F9">
        <v>142.10000000000002</v>
      </c>
      <c r="H9">
        <v>6.9050000000000011</v>
      </c>
      <c r="I9">
        <v>8.6130000000000013</v>
      </c>
      <c r="K9" s="38" t="s">
        <v>209</v>
      </c>
      <c r="L9" s="38" t="s">
        <v>209</v>
      </c>
      <c r="N9">
        <v>45</v>
      </c>
      <c r="O9">
        <v>41</v>
      </c>
      <c r="Q9" s="38" t="s">
        <v>539</v>
      </c>
      <c r="R9" t="s">
        <v>209</v>
      </c>
    </row>
    <row r="10" spans="1:18" x14ac:dyDescent="0.35">
      <c r="A10" s="103" t="str">
        <f t="shared" si="0"/>
        <v>Aluminum alloys Primary</v>
      </c>
      <c r="B10" t="s">
        <v>385</v>
      </c>
      <c r="C10" t="s">
        <v>295</v>
      </c>
      <c r="D10" t="s">
        <v>405</v>
      </c>
      <c r="E10">
        <v>200</v>
      </c>
      <c r="F10">
        <v>220</v>
      </c>
      <c r="H10">
        <v>11</v>
      </c>
      <c r="I10">
        <v>13</v>
      </c>
      <c r="K10" s="38" t="s">
        <v>209</v>
      </c>
      <c r="L10" s="38" t="s">
        <v>209</v>
      </c>
      <c r="N10">
        <v>45</v>
      </c>
      <c r="O10">
        <v>41</v>
      </c>
      <c r="Q10" s="38" t="s">
        <v>539</v>
      </c>
      <c r="R10" t="s">
        <v>209</v>
      </c>
    </row>
    <row r="11" spans="1:18" x14ac:dyDescent="0.35">
      <c r="A11" s="103" t="str">
        <f t="shared" si="0"/>
        <v>Aluminum alloys Secondary</v>
      </c>
      <c r="B11" t="s">
        <v>385</v>
      </c>
      <c r="C11" t="s">
        <v>295</v>
      </c>
      <c r="D11" t="s">
        <v>495</v>
      </c>
      <c r="E11">
        <v>22</v>
      </c>
      <c r="F11">
        <v>30</v>
      </c>
      <c r="H11">
        <v>1.9</v>
      </c>
      <c r="I11">
        <v>2.2999999999999998</v>
      </c>
      <c r="K11" s="38" t="s">
        <v>209</v>
      </c>
      <c r="L11" s="38" t="s">
        <v>209</v>
      </c>
      <c r="N11">
        <v>45</v>
      </c>
      <c r="O11">
        <v>41</v>
      </c>
      <c r="Q11" s="38" t="s">
        <v>539</v>
      </c>
      <c r="R11" t="s">
        <v>209</v>
      </c>
    </row>
    <row r="12" spans="1:18" x14ac:dyDescent="0.35">
      <c r="A12" s="103" t="str">
        <f t="shared" si="0"/>
        <v>Aluminum Market Mix</v>
      </c>
      <c r="B12" t="s">
        <v>385</v>
      </c>
      <c r="C12" t="s">
        <v>294</v>
      </c>
      <c r="D12" t="s">
        <v>496</v>
      </c>
      <c r="E12">
        <v>105.12</v>
      </c>
      <c r="F12">
        <v>106.19499999999999</v>
      </c>
      <c r="H12">
        <v>9.8166000000000011</v>
      </c>
      <c r="I12">
        <v>12.1571</v>
      </c>
      <c r="K12" s="38" t="s">
        <v>209</v>
      </c>
      <c r="L12" s="38" t="s">
        <v>209</v>
      </c>
      <c r="N12">
        <v>57</v>
      </c>
      <c r="O12">
        <v>57</v>
      </c>
      <c r="Q12" s="38" t="s">
        <v>540</v>
      </c>
      <c r="R12" t="s">
        <v>209</v>
      </c>
    </row>
    <row r="13" spans="1:18" x14ac:dyDescent="0.35">
      <c r="A13" s="103" t="str">
        <f t="shared" si="0"/>
        <v>Aluminum Primary</v>
      </c>
      <c r="B13" t="s">
        <v>385</v>
      </c>
      <c r="C13" t="s">
        <v>294</v>
      </c>
      <c r="D13" t="s">
        <v>405</v>
      </c>
      <c r="E13">
        <v>210</v>
      </c>
      <c r="F13">
        <v>212.5</v>
      </c>
      <c r="H13">
        <v>17.010000000000002</v>
      </c>
      <c r="I13">
        <v>21.83</v>
      </c>
      <c r="K13" s="38" t="s">
        <v>209</v>
      </c>
      <c r="L13" s="38" t="s">
        <v>209</v>
      </c>
      <c r="N13">
        <v>57</v>
      </c>
      <c r="O13">
        <v>57</v>
      </c>
      <c r="Q13" s="38" t="s">
        <v>541</v>
      </c>
      <c r="R13" t="s">
        <v>209</v>
      </c>
    </row>
    <row r="14" spans="1:18" x14ac:dyDescent="0.35">
      <c r="A14" s="103" t="str">
        <f t="shared" si="0"/>
        <v>Aluminum Secondary</v>
      </c>
      <c r="B14" t="s">
        <v>385</v>
      </c>
      <c r="C14" t="s">
        <v>294</v>
      </c>
      <c r="D14" t="s">
        <v>495</v>
      </c>
      <c r="E14">
        <v>26</v>
      </c>
      <c r="F14">
        <v>26</v>
      </c>
      <c r="H14">
        <v>4.3899999999999997</v>
      </c>
      <c r="I14">
        <v>4.8600000000000003</v>
      </c>
      <c r="K14" s="38" t="s">
        <v>209</v>
      </c>
      <c r="L14" s="38" t="s">
        <v>209</v>
      </c>
      <c r="N14">
        <v>57</v>
      </c>
      <c r="O14">
        <v>57</v>
      </c>
      <c r="Q14" s="38" t="s">
        <v>541</v>
      </c>
      <c r="R14" t="s">
        <v>209</v>
      </c>
    </row>
    <row r="15" spans="1:18" x14ac:dyDescent="0.35">
      <c r="A15" s="103" t="str">
        <f t="shared" si="0"/>
        <v>Bio-fiber (softwood) Market Mix</v>
      </c>
      <c r="B15" t="s">
        <v>386</v>
      </c>
      <c r="C15" t="s">
        <v>466</v>
      </c>
      <c r="D15" t="s">
        <v>496</v>
      </c>
      <c r="E15" s="38">
        <v>840</v>
      </c>
      <c r="F15" s="38">
        <v>3590</v>
      </c>
      <c r="G15" s="38"/>
      <c r="H15" s="38">
        <f>112*0.401</f>
        <v>44.912000000000006</v>
      </c>
      <c r="I15" s="38">
        <f>419*0.401</f>
        <v>168.01900000000001</v>
      </c>
      <c r="K15" s="38" t="s">
        <v>209</v>
      </c>
      <c r="L15" s="38" t="s">
        <v>209</v>
      </c>
      <c r="N15">
        <v>0</v>
      </c>
      <c r="O15">
        <v>0</v>
      </c>
      <c r="Q15" s="38" t="s">
        <v>574</v>
      </c>
      <c r="R15" t="s">
        <v>209</v>
      </c>
    </row>
    <row r="16" spans="1:18" x14ac:dyDescent="0.35">
      <c r="A16" s="103" t="str">
        <f t="shared" si="0"/>
        <v>Bio-fiber (softwood) Primary</v>
      </c>
      <c r="B16" t="s">
        <v>386</v>
      </c>
      <c r="C16" t="s">
        <v>466</v>
      </c>
      <c r="D16" t="s">
        <v>405</v>
      </c>
      <c r="E16" s="38">
        <v>840</v>
      </c>
      <c r="F16" s="38">
        <v>3590</v>
      </c>
      <c r="G16" s="38"/>
      <c r="H16" s="38">
        <f>112*0.401</f>
        <v>44.912000000000006</v>
      </c>
      <c r="I16" s="38">
        <f>419*0.401</f>
        <v>168.01900000000001</v>
      </c>
      <c r="K16" s="38" t="s">
        <v>209</v>
      </c>
      <c r="L16" s="38" t="s">
        <v>209</v>
      </c>
      <c r="N16">
        <v>0</v>
      </c>
      <c r="O16">
        <v>0</v>
      </c>
      <c r="Q16" s="38" t="s">
        <v>574</v>
      </c>
      <c r="R16" t="s">
        <v>209</v>
      </c>
    </row>
    <row r="17" spans="1:18" x14ac:dyDescent="0.35">
      <c r="A17" s="103" t="str">
        <f t="shared" si="0"/>
        <v>Bio-fiber (softwood) Secondary</v>
      </c>
      <c r="B17" t="s">
        <v>386</v>
      </c>
      <c r="C17" t="s">
        <v>466</v>
      </c>
      <c r="D17" t="s">
        <v>495</v>
      </c>
      <c r="E17" s="38">
        <v>840</v>
      </c>
      <c r="F17" s="38">
        <v>3590</v>
      </c>
      <c r="G17" s="38"/>
      <c r="H17" s="38">
        <f>112*0.401</f>
        <v>44.912000000000006</v>
      </c>
      <c r="I17" s="38">
        <f>419*0.401</f>
        <v>168.01900000000001</v>
      </c>
      <c r="K17" s="38" t="s">
        <v>209</v>
      </c>
      <c r="L17" s="38" t="s">
        <v>209</v>
      </c>
      <c r="N17">
        <v>0</v>
      </c>
      <c r="O17">
        <v>0</v>
      </c>
      <c r="Q17" s="38" t="s">
        <v>574</v>
      </c>
      <c r="R17" t="s">
        <v>209</v>
      </c>
    </row>
    <row r="18" spans="1:18" x14ac:dyDescent="0.35">
      <c r="A18" s="103" t="str">
        <f t="shared" si="0"/>
        <v>Carbon fiber Market Mix</v>
      </c>
      <c r="B18" t="s">
        <v>386</v>
      </c>
      <c r="C18" t="s">
        <v>441</v>
      </c>
      <c r="D18" t="s">
        <v>496</v>
      </c>
      <c r="E18">
        <f>(N18/100)*E20+(1-(N18/100))*E19</f>
        <v>369.77175999999997</v>
      </c>
      <c r="F18">
        <f>(O18/100)*F20+(1-(O18/100))*F19</f>
        <v>1137.4268400000001</v>
      </c>
      <c r="H18">
        <f>(N18/100)*H20+(1-(N18/100))*H19</f>
        <v>28.685902000000002</v>
      </c>
      <c r="I18">
        <f>(O18/100)*I20+(1-(O18/100))*I19</f>
        <v>61.562748999999997</v>
      </c>
      <c r="K18" s="38" t="s">
        <v>209</v>
      </c>
      <c r="L18" s="38" t="s">
        <v>209</v>
      </c>
      <c r="N18">
        <v>5.22</v>
      </c>
      <c r="O18">
        <v>4.7300000000000004</v>
      </c>
      <c r="Q18" s="38" t="s">
        <v>575</v>
      </c>
      <c r="R18" t="s">
        <v>209</v>
      </c>
    </row>
    <row r="19" spans="1:18" x14ac:dyDescent="0.35">
      <c r="A19" s="103" t="str">
        <f t="shared" si="0"/>
        <v>Carbon fiber Primary</v>
      </c>
      <c r="B19" t="s">
        <v>386</v>
      </c>
      <c r="C19" t="s">
        <v>441</v>
      </c>
      <c r="D19" t="s">
        <v>405</v>
      </c>
      <c r="E19">
        <v>388</v>
      </c>
      <c r="F19">
        <v>1188</v>
      </c>
      <c r="H19">
        <v>30.1</v>
      </c>
      <c r="I19">
        <v>64.3</v>
      </c>
      <c r="K19" s="38" t="s">
        <v>209</v>
      </c>
      <c r="L19" s="38" t="s">
        <v>209</v>
      </c>
      <c r="N19">
        <v>5.22</v>
      </c>
      <c r="O19">
        <v>4.7300000000000004</v>
      </c>
      <c r="Q19" s="38" t="s">
        <v>575</v>
      </c>
      <c r="R19" t="s">
        <v>209</v>
      </c>
    </row>
    <row r="20" spans="1:18" x14ac:dyDescent="0.35">
      <c r="A20" s="103" t="str">
        <f t="shared" si="0"/>
        <v>Carbon fiber Secondary</v>
      </c>
      <c r="B20" t="s">
        <v>386</v>
      </c>
      <c r="C20" t="s">
        <v>441</v>
      </c>
      <c r="D20" t="s">
        <v>495</v>
      </c>
      <c r="E20" s="38">
        <f>E19*0.1</f>
        <v>38.800000000000004</v>
      </c>
      <c r="F20" s="38">
        <f>F19*0.1</f>
        <v>118.80000000000001</v>
      </c>
      <c r="G20" s="38"/>
      <c r="H20" s="38">
        <f>H19*0.1</f>
        <v>3.0100000000000002</v>
      </c>
      <c r="I20" s="38">
        <f>I19*0.1</f>
        <v>6.43</v>
      </c>
      <c r="K20" s="38" t="s">
        <v>209</v>
      </c>
      <c r="L20" s="38" t="s">
        <v>209</v>
      </c>
      <c r="N20">
        <v>5.22</v>
      </c>
      <c r="O20">
        <v>4.7300000000000004</v>
      </c>
      <c r="Q20" s="38" t="s">
        <v>575</v>
      </c>
      <c r="R20" t="s">
        <v>209</v>
      </c>
    </row>
    <row r="21" spans="1:18" x14ac:dyDescent="0.35">
      <c r="A21" s="103" t="str">
        <f t="shared" si="0"/>
        <v>Cast iron, ductile Market Mix</v>
      </c>
      <c r="B21" t="s">
        <v>385</v>
      </c>
      <c r="C21" t="s">
        <v>299</v>
      </c>
      <c r="D21" t="s">
        <v>496</v>
      </c>
      <c r="E21">
        <v>11.68</v>
      </c>
      <c r="F21">
        <v>14.059999999999999</v>
      </c>
      <c r="H21">
        <v>0.73760000000000003</v>
      </c>
      <c r="I21">
        <v>0.90700000000000003</v>
      </c>
      <c r="K21" s="38" t="s">
        <v>209</v>
      </c>
      <c r="L21" s="38" t="s">
        <v>209</v>
      </c>
      <c r="N21">
        <v>72</v>
      </c>
      <c r="O21">
        <v>66</v>
      </c>
      <c r="Q21" s="38" t="s">
        <v>539</v>
      </c>
      <c r="R21" t="s">
        <v>209</v>
      </c>
    </row>
    <row r="22" spans="1:18" x14ac:dyDescent="0.35">
      <c r="A22" s="103" t="str">
        <f t="shared" si="0"/>
        <v>Cast iron, ductile Primary</v>
      </c>
      <c r="B22" t="s">
        <v>385</v>
      </c>
      <c r="C22" t="s">
        <v>299</v>
      </c>
      <c r="D22" t="s">
        <v>405</v>
      </c>
      <c r="E22">
        <v>16</v>
      </c>
      <c r="F22">
        <v>20</v>
      </c>
      <c r="H22">
        <v>1.4</v>
      </c>
      <c r="I22">
        <v>1.6</v>
      </c>
      <c r="K22" s="38" t="s">
        <v>209</v>
      </c>
      <c r="L22" s="38" t="s">
        <v>209</v>
      </c>
      <c r="N22">
        <v>72</v>
      </c>
      <c r="O22">
        <v>66</v>
      </c>
      <c r="Q22" s="38" t="s">
        <v>539</v>
      </c>
      <c r="R22" t="s">
        <v>209</v>
      </c>
    </row>
    <row r="23" spans="1:18" x14ac:dyDescent="0.35">
      <c r="A23" s="103" t="str">
        <f t="shared" si="0"/>
        <v>Cast iron, ductile Secondary</v>
      </c>
      <c r="B23" t="s">
        <v>385</v>
      </c>
      <c r="C23" t="s">
        <v>299</v>
      </c>
      <c r="D23" t="s">
        <v>495</v>
      </c>
      <c r="E23">
        <v>10</v>
      </c>
      <c r="F23">
        <v>11</v>
      </c>
      <c r="H23">
        <v>0.48</v>
      </c>
      <c r="I23">
        <v>0.55000000000000004</v>
      </c>
      <c r="K23" s="38" t="s">
        <v>209</v>
      </c>
      <c r="L23" s="38" t="s">
        <v>209</v>
      </c>
      <c r="N23">
        <v>72</v>
      </c>
      <c r="O23">
        <v>66</v>
      </c>
      <c r="Q23" s="38" t="s">
        <v>539</v>
      </c>
      <c r="R23" t="s">
        <v>209</v>
      </c>
    </row>
    <row r="24" spans="1:18" x14ac:dyDescent="0.35">
      <c r="A24" s="103" t="str">
        <f t="shared" si="0"/>
        <v>Cobalt-chromium alloys Market Mix</v>
      </c>
      <c r="B24" t="s">
        <v>385</v>
      </c>
      <c r="C24" t="s">
        <v>9</v>
      </c>
      <c r="D24" t="s">
        <v>496</v>
      </c>
      <c r="E24" s="38">
        <v>190.5</v>
      </c>
      <c r="F24" s="38">
        <v>190.5</v>
      </c>
      <c r="G24" s="38"/>
      <c r="H24" s="38">
        <v>11.9</v>
      </c>
      <c r="I24" s="38">
        <v>11.9</v>
      </c>
      <c r="K24" s="38" t="s">
        <v>209</v>
      </c>
      <c r="L24" s="38" t="s">
        <v>209</v>
      </c>
      <c r="N24">
        <v>0</v>
      </c>
      <c r="O24">
        <v>0</v>
      </c>
      <c r="Q24" s="38" t="s">
        <v>542</v>
      </c>
      <c r="R24" t="s">
        <v>209</v>
      </c>
    </row>
    <row r="25" spans="1:18" x14ac:dyDescent="0.35">
      <c r="A25" s="103" t="str">
        <f t="shared" si="0"/>
        <v>Cobalt-chromium alloys Primary</v>
      </c>
      <c r="B25" t="s">
        <v>385</v>
      </c>
      <c r="C25" t="s">
        <v>9</v>
      </c>
      <c r="D25" t="s">
        <v>405</v>
      </c>
      <c r="E25" s="38">
        <v>190.5</v>
      </c>
      <c r="F25" s="38">
        <v>190.5</v>
      </c>
      <c r="G25" s="38"/>
      <c r="H25" s="38">
        <v>11.9</v>
      </c>
      <c r="I25" s="38">
        <v>11.9</v>
      </c>
      <c r="K25" s="38" t="s">
        <v>209</v>
      </c>
      <c r="L25" s="38" t="s">
        <v>209</v>
      </c>
      <c r="N25">
        <v>0</v>
      </c>
      <c r="O25">
        <v>0</v>
      </c>
      <c r="Q25" s="38" t="s">
        <v>542</v>
      </c>
      <c r="R25" t="s">
        <v>209</v>
      </c>
    </row>
    <row r="26" spans="1:18" x14ac:dyDescent="0.35">
      <c r="A26" s="103" t="str">
        <f t="shared" si="0"/>
        <v>Cobalt-chromium alloys Secondary</v>
      </c>
      <c r="B26" t="s">
        <v>385</v>
      </c>
      <c r="C26" t="s">
        <v>9</v>
      </c>
      <c r="D26" t="s">
        <v>495</v>
      </c>
      <c r="E26" s="38">
        <v>190.5</v>
      </c>
      <c r="F26" s="38">
        <v>190.5</v>
      </c>
      <c r="G26" s="38"/>
      <c r="H26" s="38">
        <v>11.9</v>
      </c>
      <c r="I26" s="38">
        <v>11.9</v>
      </c>
      <c r="K26" s="38" t="s">
        <v>209</v>
      </c>
      <c r="L26" s="38" t="s">
        <v>209</v>
      </c>
      <c r="N26">
        <v>0</v>
      </c>
      <c r="O26">
        <v>0</v>
      </c>
      <c r="Q26" s="38" t="s">
        <v>542</v>
      </c>
      <c r="R26" t="s">
        <v>209</v>
      </c>
    </row>
    <row r="27" spans="1:18" x14ac:dyDescent="0.35">
      <c r="A27" s="103" t="str">
        <f t="shared" si="0"/>
        <v>Copper alloys - ingots Market Mix</v>
      </c>
      <c r="B27" t="s">
        <v>385</v>
      </c>
      <c r="C27" t="s">
        <v>442</v>
      </c>
      <c r="D27" t="s">
        <v>496</v>
      </c>
      <c r="E27">
        <v>36.200000000000003</v>
      </c>
      <c r="F27">
        <v>43.199999999999996</v>
      </c>
      <c r="H27">
        <v>2.2625000000000002</v>
      </c>
      <c r="I27">
        <v>2.6999999999999997</v>
      </c>
      <c r="K27" s="38" t="s">
        <v>209</v>
      </c>
      <c r="L27" s="38" t="s">
        <v>209</v>
      </c>
      <c r="N27">
        <v>45</v>
      </c>
      <c r="O27">
        <v>40</v>
      </c>
      <c r="Q27" s="38" t="s">
        <v>539</v>
      </c>
      <c r="R27" t="s">
        <v>209</v>
      </c>
    </row>
    <row r="28" spans="1:18" x14ac:dyDescent="0.35">
      <c r="A28" s="103" t="str">
        <f t="shared" si="0"/>
        <v>Copper alloys - ingots Primary</v>
      </c>
      <c r="B28" t="s">
        <v>385</v>
      </c>
      <c r="C28" t="s">
        <v>442</v>
      </c>
      <c r="D28" t="s">
        <v>405</v>
      </c>
      <c r="E28">
        <v>56</v>
      </c>
      <c r="F28">
        <v>62</v>
      </c>
      <c r="H28">
        <v>3.5</v>
      </c>
      <c r="I28">
        <v>3.9</v>
      </c>
      <c r="K28" s="38" t="s">
        <v>209</v>
      </c>
      <c r="L28" s="38" t="s">
        <v>209</v>
      </c>
      <c r="N28">
        <v>45</v>
      </c>
      <c r="O28">
        <v>40</v>
      </c>
      <c r="Q28" s="38" t="s">
        <v>539</v>
      </c>
      <c r="R28" t="s">
        <v>209</v>
      </c>
    </row>
    <row r="29" spans="1:18" x14ac:dyDescent="0.35">
      <c r="A29" s="103" t="str">
        <f t="shared" si="0"/>
        <v>Copper alloys - ingots Secondary</v>
      </c>
      <c r="B29" t="s">
        <v>385</v>
      </c>
      <c r="C29" t="s">
        <v>442</v>
      </c>
      <c r="D29" t="s">
        <v>495</v>
      </c>
      <c r="E29">
        <v>12</v>
      </c>
      <c r="F29">
        <v>15</v>
      </c>
      <c r="H29">
        <v>0.75</v>
      </c>
      <c r="I29">
        <v>0.9</v>
      </c>
      <c r="K29" s="38" t="s">
        <v>209</v>
      </c>
      <c r="L29" s="38" t="s">
        <v>209</v>
      </c>
      <c r="N29">
        <v>45</v>
      </c>
      <c r="O29">
        <v>40</v>
      </c>
      <c r="Q29" s="38" t="s">
        <v>539</v>
      </c>
      <c r="R29" t="s">
        <v>209</v>
      </c>
    </row>
    <row r="30" spans="1:18" x14ac:dyDescent="0.35">
      <c r="A30" s="103" t="str">
        <f t="shared" si="0"/>
        <v>Custom Market Mix</v>
      </c>
      <c r="B30" t="s">
        <v>387</v>
      </c>
      <c r="C30" t="s">
        <v>555</v>
      </c>
      <c r="D30" t="s">
        <v>496</v>
      </c>
      <c r="K30" s="38" t="s">
        <v>209</v>
      </c>
      <c r="L30" s="38" t="s">
        <v>209</v>
      </c>
      <c r="Q30" s="38" t="s">
        <v>209</v>
      </c>
      <c r="R30" t="s">
        <v>209</v>
      </c>
    </row>
    <row r="31" spans="1:18" x14ac:dyDescent="0.35">
      <c r="A31" s="103" t="str">
        <f t="shared" si="0"/>
        <v>Custom Market Mix</v>
      </c>
      <c r="B31" t="s">
        <v>385</v>
      </c>
      <c r="C31" t="s">
        <v>555</v>
      </c>
      <c r="D31" t="s">
        <v>496</v>
      </c>
      <c r="K31" s="38" t="s">
        <v>209</v>
      </c>
      <c r="L31" s="38" t="s">
        <v>209</v>
      </c>
      <c r="Q31" s="38" t="s">
        <v>209</v>
      </c>
      <c r="R31" t="s">
        <v>209</v>
      </c>
    </row>
    <row r="32" spans="1:18" x14ac:dyDescent="0.35">
      <c r="A32" s="103" t="str">
        <f t="shared" si="0"/>
        <v>Custom Market Mix</v>
      </c>
      <c r="B32" t="s">
        <v>396</v>
      </c>
      <c r="C32" t="s">
        <v>555</v>
      </c>
      <c r="D32" t="s">
        <v>496</v>
      </c>
      <c r="K32" s="38" t="s">
        <v>656</v>
      </c>
      <c r="L32" s="38" t="s">
        <v>656</v>
      </c>
      <c r="Q32" s="38" t="s">
        <v>209</v>
      </c>
      <c r="R32" t="s">
        <v>656</v>
      </c>
    </row>
    <row r="33" spans="1:18" x14ac:dyDescent="0.35">
      <c r="A33" s="103" t="str">
        <f t="shared" si="0"/>
        <v>Custom Market Mix</v>
      </c>
      <c r="B33" t="s">
        <v>386</v>
      </c>
      <c r="C33" t="s">
        <v>555</v>
      </c>
      <c r="D33" t="s">
        <v>496</v>
      </c>
      <c r="K33" s="38" t="s">
        <v>209</v>
      </c>
      <c r="L33" s="38" t="s">
        <v>209</v>
      </c>
      <c r="Q33" s="38" t="s">
        <v>209</v>
      </c>
      <c r="R33" t="s">
        <v>209</v>
      </c>
    </row>
    <row r="34" spans="1:18" x14ac:dyDescent="0.35">
      <c r="A34" s="103" t="str">
        <f t="shared" si="0"/>
        <v>Custom Primary</v>
      </c>
      <c r="B34" t="s">
        <v>387</v>
      </c>
      <c r="C34" t="s">
        <v>555</v>
      </c>
      <c r="D34" t="s">
        <v>405</v>
      </c>
      <c r="K34" s="38" t="s">
        <v>209</v>
      </c>
      <c r="L34" s="38" t="s">
        <v>209</v>
      </c>
      <c r="Q34" s="38" t="s">
        <v>209</v>
      </c>
      <c r="R34" t="s">
        <v>209</v>
      </c>
    </row>
    <row r="35" spans="1:18" x14ac:dyDescent="0.35">
      <c r="A35" s="103" t="str">
        <f t="shared" ref="A35:A66" si="1">C35&amp; " "&amp;D35</f>
        <v>Custom Primary</v>
      </c>
      <c r="B35" t="s">
        <v>385</v>
      </c>
      <c r="C35" t="s">
        <v>555</v>
      </c>
      <c r="D35" t="s">
        <v>405</v>
      </c>
      <c r="K35" s="38" t="s">
        <v>209</v>
      </c>
      <c r="L35" s="38" t="s">
        <v>209</v>
      </c>
      <c r="Q35" s="38" t="s">
        <v>209</v>
      </c>
      <c r="R35" t="s">
        <v>209</v>
      </c>
    </row>
    <row r="36" spans="1:18" x14ac:dyDescent="0.35">
      <c r="A36" s="103" t="str">
        <f t="shared" si="1"/>
        <v>Custom Primary</v>
      </c>
      <c r="B36" t="s">
        <v>396</v>
      </c>
      <c r="C36" t="s">
        <v>555</v>
      </c>
      <c r="D36" t="s">
        <v>405</v>
      </c>
      <c r="K36" s="38" t="s">
        <v>656</v>
      </c>
      <c r="L36" s="38" t="s">
        <v>656</v>
      </c>
      <c r="Q36" s="38" t="s">
        <v>209</v>
      </c>
      <c r="R36" t="s">
        <v>656</v>
      </c>
    </row>
    <row r="37" spans="1:18" x14ac:dyDescent="0.35">
      <c r="A37" s="103" t="str">
        <f t="shared" si="1"/>
        <v>Custom Primary</v>
      </c>
      <c r="B37" t="s">
        <v>386</v>
      </c>
      <c r="C37" t="s">
        <v>555</v>
      </c>
      <c r="D37" t="s">
        <v>405</v>
      </c>
      <c r="K37" s="38" t="s">
        <v>209</v>
      </c>
      <c r="L37" s="38" t="s">
        <v>209</v>
      </c>
      <c r="Q37" s="38" t="s">
        <v>209</v>
      </c>
      <c r="R37" t="s">
        <v>209</v>
      </c>
    </row>
    <row r="38" spans="1:18" x14ac:dyDescent="0.35">
      <c r="A38" s="103" t="str">
        <f t="shared" si="1"/>
        <v>Custom Secondary</v>
      </c>
      <c r="B38" t="s">
        <v>387</v>
      </c>
      <c r="C38" t="s">
        <v>555</v>
      </c>
      <c r="D38" t="s">
        <v>495</v>
      </c>
      <c r="K38" s="38" t="s">
        <v>209</v>
      </c>
      <c r="L38" s="38" t="s">
        <v>209</v>
      </c>
      <c r="Q38" s="38" t="s">
        <v>209</v>
      </c>
      <c r="R38" t="s">
        <v>209</v>
      </c>
    </row>
    <row r="39" spans="1:18" x14ac:dyDescent="0.35">
      <c r="A39" s="103" t="str">
        <f t="shared" si="1"/>
        <v>Custom Secondary</v>
      </c>
      <c r="B39" t="s">
        <v>385</v>
      </c>
      <c r="C39" t="s">
        <v>555</v>
      </c>
      <c r="D39" t="s">
        <v>495</v>
      </c>
      <c r="K39" s="38" t="s">
        <v>209</v>
      </c>
      <c r="L39" s="38" t="s">
        <v>209</v>
      </c>
      <c r="Q39" s="38" t="s">
        <v>209</v>
      </c>
      <c r="R39" t="s">
        <v>209</v>
      </c>
    </row>
    <row r="40" spans="1:18" x14ac:dyDescent="0.35">
      <c r="A40" s="103" t="str">
        <f t="shared" si="1"/>
        <v>Custom Secondary</v>
      </c>
      <c r="B40" t="s">
        <v>396</v>
      </c>
      <c r="C40" t="s">
        <v>555</v>
      </c>
      <c r="D40" t="s">
        <v>495</v>
      </c>
      <c r="K40" s="38" t="s">
        <v>656</v>
      </c>
      <c r="L40" s="38" t="s">
        <v>656</v>
      </c>
      <c r="Q40" s="38" t="s">
        <v>209</v>
      </c>
      <c r="R40" t="s">
        <v>656</v>
      </c>
    </row>
    <row r="41" spans="1:18" x14ac:dyDescent="0.35">
      <c r="A41" s="103" t="str">
        <f t="shared" si="1"/>
        <v>Custom Secondary</v>
      </c>
      <c r="B41" t="s">
        <v>386</v>
      </c>
      <c r="C41" t="s">
        <v>555</v>
      </c>
      <c r="D41" t="s">
        <v>495</v>
      </c>
      <c r="K41" s="38" t="s">
        <v>209</v>
      </c>
      <c r="L41" s="38" t="s">
        <v>209</v>
      </c>
      <c r="Q41" s="38" t="s">
        <v>209</v>
      </c>
      <c r="R41" t="s">
        <v>209</v>
      </c>
    </row>
    <row r="42" spans="1:18" x14ac:dyDescent="0.35">
      <c r="A42" s="103" t="str">
        <f t="shared" si="1"/>
        <v>Epoxy Market Mix</v>
      </c>
      <c r="B42" t="s">
        <v>396</v>
      </c>
      <c r="C42" t="s">
        <v>109</v>
      </c>
      <c r="D42" t="s">
        <v>496</v>
      </c>
      <c r="E42" s="38">
        <v>127</v>
      </c>
      <c r="F42" s="38">
        <v>140</v>
      </c>
      <c r="G42" s="38"/>
      <c r="H42" s="38">
        <v>6.8</v>
      </c>
      <c r="I42" s="38">
        <v>7.5</v>
      </c>
      <c r="K42" s="38" t="s">
        <v>656</v>
      </c>
      <c r="L42" s="38" t="s">
        <v>656</v>
      </c>
      <c r="N42">
        <v>0</v>
      </c>
      <c r="O42">
        <v>0</v>
      </c>
      <c r="Q42" s="38" t="s">
        <v>539</v>
      </c>
      <c r="R42" t="s">
        <v>656</v>
      </c>
    </row>
    <row r="43" spans="1:18" x14ac:dyDescent="0.35">
      <c r="A43" s="103" t="str">
        <f t="shared" si="1"/>
        <v>Epoxy Primary</v>
      </c>
      <c r="B43" t="s">
        <v>396</v>
      </c>
      <c r="C43" t="s">
        <v>109</v>
      </c>
      <c r="D43" t="s">
        <v>405</v>
      </c>
      <c r="E43" s="38">
        <v>127</v>
      </c>
      <c r="F43" s="38">
        <v>140</v>
      </c>
      <c r="G43" s="38"/>
      <c r="H43" s="38">
        <v>6.8</v>
      </c>
      <c r="I43" s="38">
        <v>7.5</v>
      </c>
      <c r="K43" s="38" t="s">
        <v>656</v>
      </c>
      <c r="L43" s="38" t="s">
        <v>656</v>
      </c>
      <c r="N43">
        <v>0</v>
      </c>
      <c r="O43">
        <v>0</v>
      </c>
      <c r="Q43" s="38" t="s">
        <v>539</v>
      </c>
      <c r="R43" t="s">
        <v>656</v>
      </c>
    </row>
    <row r="44" spans="1:18" x14ac:dyDescent="0.35">
      <c r="A44" s="103" t="str">
        <f t="shared" si="1"/>
        <v>Epoxy Secondary</v>
      </c>
      <c r="B44" t="s">
        <v>396</v>
      </c>
      <c r="C44" t="s">
        <v>109</v>
      </c>
      <c r="D44" t="s">
        <v>495</v>
      </c>
      <c r="E44" s="38">
        <v>127</v>
      </c>
      <c r="F44" s="38">
        <v>140</v>
      </c>
      <c r="G44" s="38"/>
      <c r="H44" s="38">
        <v>6.8</v>
      </c>
      <c r="I44" s="38">
        <v>7.5</v>
      </c>
      <c r="K44" s="38" t="s">
        <v>656</v>
      </c>
      <c r="L44" s="38" t="s">
        <v>656</v>
      </c>
      <c r="N44">
        <v>0</v>
      </c>
      <c r="O44">
        <v>0</v>
      </c>
      <c r="Q44" s="38" t="s">
        <v>539</v>
      </c>
      <c r="R44" t="s">
        <v>656</v>
      </c>
    </row>
    <row r="45" spans="1:18" x14ac:dyDescent="0.35">
      <c r="A45" s="103" t="str">
        <f t="shared" si="1"/>
        <v>Ethylene-vinyl acetate  Market Mix</v>
      </c>
      <c r="B45" t="s">
        <v>396</v>
      </c>
      <c r="C45" t="s">
        <v>543</v>
      </c>
      <c r="D45" t="s">
        <v>496</v>
      </c>
      <c r="E45" s="38">
        <v>71.7</v>
      </c>
      <c r="F45" s="38">
        <v>81.14</v>
      </c>
      <c r="G45" s="38"/>
      <c r="H45" s="38">
        <v>2.0499999999999998</v>
      </c>
      <c r="I45" s="38">
        <v>2.254</v>
      </c>
      <c r="K45" s="38">
        <f>12000/(1000000/(1055.06*2.20462))</f>
        <v>27.912076526399996</v>
      </c>
      <c r="L45" s="38">
        <v>0.63</v>
      </c>
      <c r="N45">
        <v>10</v>
      </c>
      <c r="O45">
        <v>6</v>
      </c>
      <c r="Q45" s="38" t="s">
        <v>539</v>
      </c>
      <c r="R45" t="s">
        <v>687</v>
      </c>
    </row>
    <row r="46" spans="1:18" x14ac:dyDescent="0.35">
      <c r="A46" s="103" t="str">
        <f t="shared" si="1"/>
        <v>Ethylene-vinyl acetate  Primary</v>
      </c>
      <c r="B46" t="s">
        <v>396</v>
      </c>
      <c r="C46" t="s">
        <v>543</v>
      </c>
      <c r="D46" t="s">
        <v>405</v>
      </c>
      <c r="E46" s="38">
        <v>75</v>
      </c>
      <c r="F46" s="38">
        <v>83</v>
      </c>
      <c r="G46" s="38"/>
      <c r="H46" s="38">
        <v>2</v>
      </c>
      <c r="I46" s="38">
        <v>2.2000000000000002</v>
      </c>
      <c r="K46" s="38">
        <f>K45</f>
        <v>27.912076526399996</v>
      </c>
      <c r="L46" s="38">
        <v>0.63</v>
      </c>
      <c r="N46">
        <v>10</v>
      </c>
      <c r="O46">
        <v>6</v>
      </c>
      <c r="Q46" s="38" t="s">
        <v>539</v>
      </c>
      <c r="R46" t="s">
        <v>687</v>
      </c>
    </row>
    <row r="47" spans="1:18" x14ac:dyDescent="0.35">
      <c r="A47" s="103" t="str">
        <f t="shared" si="1"/>
        <v>Ethylene-vinyl acetate  Secondary</v>
      </c>
      <c r="B47" t="s">
        <v>396</v>
      </c>
      <c r="C47" t="s">
        <v>543</v>
      </c>
      <c r="D47" t="s">
        <v>495</v>
      </c>
      <c r="E47" s="38">
        <v>42</v>
      </c>
      <c r="F47" s="38">
        <v>52</v>
      </c>
      <c r="G47" s="38"/>
      <c r="H47" s="38">
        <v>2.5</v>
      </c>
      <c r="I47" s="38">
        <v>3.1</v>
      </c>
      <c r="K47" s="38">
        <f>K46</f>
        <v>27.912076526399996</v>
      </c>
      <c r="L47" s="38">
        <v>0.63</v>
      </c>
      <c r="N47">
        <v>10</v>
      </c>
      <c r="O47">
        <v>6</v>
      </c>
      <c r="Q47" s="38" t="s">
        <v>539</v>
      </c>
      <c r="R47" t="s">
        <v>687</v>
      </c>
    </row>
    <row r="48" spans="1:18" x14ac:dyDescent="0.35">
      <c r="A48" s="103" t="str">
        <f t="shared" si="1"/>
        <v>Glass fiber Market Mix</v>
      </c>
      <c r="B48" t="s">
        <v>386</v>
      </c>
      <c r="C48" t="s">
        <v>309</v>
      </c>
      <c r="D48" t="s">
        <v>496</v>
      </c>
      <c r="E48" s="38">
        <v>62.2</v>
      </c>
      <c r="F48" s="38">
        <v>68.8</v>
      </c>
      <c r="G48" s="38"/>
      <c r="H48" s="38">
        <v>3.34</v>
      </c>
      <c r="I48" s="38">
        <v>3.69</v>
      </c>
      <c r="K48" s="38" t="s">
        <v>209</v>
      </c>
      <c r="L48" s="38" t="s">
        <v>209</v>
      </c>
      <c r="N48">
        <v>0.1</v>
      </c>
      <c r="O48">
        <v>0.1</v>
      </c>
      <c r="Q48" s="38" t="s">
        <v>539</v>
      </c>
      <c r="R48" t="s">
        <v>209</v>
      </c>
    </row>
    <row r="49" spans="1:18" x14ac:dyDescent="0.35">
      <c r="A49" s="103" t="str">
        <f t="shared" si="1"/>
        <v>Glass fiber Primary</v>
      </c>
      <c r="B49" t="s">
        <v>386</v>
      </c>
      <c r="C49" t="s">
        <v>309</v>
      </c>
      <c r="D49" t="s">
        <v>405</v>
      </c>
      <c r="E49" s="38">
        <v>62.2</v>
      </c>
      <c r="F49" s="38">
        <v>68.8</v>
      </c>
      <c r="G49" s="38"/>
      <c r="H49" s="38">
        <v>3.34</v>
      </c>
      <c r="I49" s="38">
        <v>3.69</v>
      </c>
      <c r="K49" s="38" t="s">
        <v>209</v>
      </c>
      <c r="L49" s="38" t="s">
        <v>209</v>
      </c>
      <c r="N49">
        <v>0.1</v>
      </c>
      <c r="O49">
        <v>0.1</v>
      </c>
      <c r="Q49" s="38" t="s">
        <v>539</v>
      </c>
      <c r="R49" t="s">
        <v>209</v>
      </c>
    </row>
    <row r="50" spans="1:18" x14ac:dyDescent="0.35">
      <c r="A50" s="103" t="str">
        <f t="shared" si="1"/>
        <v>Glass fiber Secondary</v>
      </c>
      <c r="B50" t="s">
        <v>386</v>
      </c>
      <c r="C50" t="s">
        <v>309</v>
      </c>
      <c r="D50" t="s">
        <v>495</v>
      </c>
      <c r="E50" s="38">
        <v>62.2</v>
      </c>
      <c r="F50" s="38">
        <v>68.8</v>
      </c>
      <c r="G50" s="38"/>
      <c r="H50" s="38">
        <v>3.34</v>
      </c>
      <c r="I50" s="38">
        <v>3.69</v>
      </c>
      <c r="K50" s="38" t="s">
        <v>209</v>
      </c>
      <c r="L50" s="38" t="s">
        <v>209</v>
      </c>
      <c r="N50">
        <v>0.1</v>
      </c>
      <c r="O50">
        <v>0.1</v>
      </c>
      <c r="Q50" s="38" t="s">
        <v>539</v>
      </c>
      <c r="R50" t="s">
        <v>209</v>
      </c>
    </row>
    <row r="51" spans="1:18" x14ac:dyDescent="0.35">
      <c r="A51" s="103" t="str">
        <f t="shared" si="1"/>
        <v>Glass, borosilicate (Pyrex) Market Mix</v>
      </c>
      <c r="B51" t="s">
        <v>387</v>
      </c>
      <c r="C51" t="s">
        <v>308</v>
      </c>
      <c r="D51" t="s">
        <v>496</v>
      </c>
      <c r="E51" s="38">
        <v>25.39</v>
      </c>
      <c r="F51" s="38">
        <v>28.74</v>
      </c>
      <c r="G51" s="38"/>
      <c r="H51" s="38">
        <v>1.508</v>
      </c>
      <c r="I51" s="38">
        <v>1.7279999999999998</v>
      </c>
      <c r="K51" s="38" t="s">
        <v>209</v>
      </c>
      <c r="L51" s="38" t="s">
        <v>209</v>
      </c>
      <c r="N51">
        <v>23</v>
      </c>
      <c r="O51">
        <v>18</v>
      </c>
      <c r="Q51" s="38" t="s">
        <v>539</v>
      </c>
      <c r="R51" t="s">
        <v>209</v>
      </c>
    </row>
    <row r="52" spans="1:18" x14ac:dyDescent="0.35">
      <c r="A52" s="103" t="str">
        <f t="shared" si="1"/>
        <v>Glass, borosilicate (Pyrex) Primary</v>
      </c>
      <c r="B52" t="s">
        <v>387</v>
      </c>
      <c r="C52" t="s">
        <v>308</v>
      </c>
      <c r="D52" t="s">
        <v>405</v>
      </c>
      <c r="E52">
        <v>27</v>
      </c>
      <c r="F52">
        <v>30</v>
      </c>
      <c r="H52">
        <v>1.6</v>
      </c>
      <c r="I52">
        <v>1.8</v>
      </c>
      <c r="K52" s="38" t="s">
        <v>209</v>
      </c>
      <c r="L52" s="38" t="s">
        <v>209</v>
      </c>
      <c r="N52">
        <v>23</v>
      </c>
      <c r="O52">
        <v>18</v>
      </c>
      <c r="Q52" s="38" t="s">
        <v>539</v>
      </c>
      <c r="R52" t="s">
        <v>209</v>
      </c>
    </row>
    <row r="53" spans="1:18" x14ac:dyDescent="0.35">
      <c r="A53" s="103" t="str">
        <f t="shared" si="1"/>
        <v>Glass, borosilicate (Pyrex) Secondary</v>
      </c>
      <c r="B53" t="s">
        <v>387</v>
      </c>
      <c r="C53" t="s">
        <v>308</v>
      </c>
      <c r="D53" t="s">
        <v>495</v>
      </c>
      <c r="E53">
        <v>20</v>
      </c>
      <c r="F53">
        <v>23</v>
      </c>
      <c r="H53">
        <v>1.2</v>
      </c>
      <c r="I53">
        <v>1.4</v>
      </c>
      <c r="K53" s="38" t="s">
        <v>209</v>
      </c>
      <c r="L53" s="38" t="s">
        <v>209</v>
      </c>
      <c r="N53">
        <v>23</v>
      </c>
      <c r="O53">
        <v>18</v>
      </c>
      <c r="Q53" s="38" t="s">
        <v>539</v>
      </c>
      <c r="R53" t="s">
        <v>209</v>
      </c>
    </row>
    <row r="54" spans="1:18" x14ac:dyDescent="0.35">
      <c r="A54" s="103" t="str">
        <f t="shared" si="1"/>
        <v>Glass, soda-lime Market Mix</v>
      </c>
      <c r="B54" t="s">
        <v>387</v>
      </c>
      <c r="C54" t="s">
        <v>307</v>
      </c>
      <c r="D54" t="s">
        <v>496</v>
      </c>
      <c r="E54">
        <v>9.3239999999999998</v>
      </c>
      <c r="F54">
        <v>10.56</v>
      </c>
      <c r="H54">
        <v>0.63239999999999996</v>
      </c>
      <c r="I54">
        <v>0.74280000000000002</v>
      </c>
      <c r="K54" s="38" t="s">
        <v>209</v>
      </c>
      <c r="L54" s="38" t="s">
        <v>209</v>
      </c>
      <c r="N54">
        <v>26</v>
      </c>
      <c r="O54">
        <v>22</v>
      </c>
      <c r="Q54" s="38" t="s">
        <v>539</v>
      </c>
      <c r="R54" t="s">
        <v>209</v>
      </c>
    </row>
    <row r="55" spans="1:18" x14ac:dyDescent="0.35">
      <c r="A55" s="103" t="str">
        <f t="shared" si="1"/>
        <v>Glass, soda-lime Primary</v>
      </c>
      <c r="B55" t="s">
        <v>387</v>
      </c>
      <c r="C55" t="s">
        <v>307</v>
      </c>
      <c r="D55" t="s">
        <v>405</v>
      </c>
      <c r="E55">
        <v>10</v>
      </c>
      <c r="F55">
        <v>11</v>
      </c>
      <c r="H55">
        <v>0.7</v>
      </c>
      <c r="I55">
        <v>0.8</v>
      </c>
      <c r="K55" s="38" t="s">
        <v>209</v>
      </c>
      <c r="L55" s="38" t="s">
        <v>209</v>
      </c>
      <c r="N55">
        <v>26</v>
      </c>
      <c r="O55">
        <v>22</v>
      </c>
      <c r="Q55" s="38" t="s">
        <v>539</v>
      </c>
      <c r="R55" t="s">
        <v>209</v>
      </c>
    </row>
    <row r="56" spans="1:18" x14ac:dyDescent="0.35">
      <c r="A56" s="103" t="str">
        <f t="shared" si="1"/>
        <v>Glass, soda-lime Secondary</v>
      </c>
      <c r="B56" t="s">
        <v>387</v>
      </c>
      <c r="C56" t="s">
        <v>307</v>
      </c>
      <c r="D56" t="s">
        <v>495</v>
      </c>
      <c r="E56">
        <v>7.4</v>
      </c>
      <c r="F56">
        <v>9</v>
      </c>
      <c r="H56">
        <v>0.44</v>
      </c>
      <c r="I56">
        <v>0.54</v>
      </c>
      <c r="K56" s="38" t="s">
        <v>209</v>
      </c>
      <c r="L56" s="38" t="s">
        <v>209</v>
      </c>
      <c r="N56">
        <v>26</v>
      </c>
      <c r="O56">
        <v>22</v>
      </c>
      <c r="Q56" s="38" t="s">
        <v>539</v>
      </c>
      <c r="R56" t="s">
        <v>209</v>
      </c>
    </row>
    <row r="57" spans="1:18" x14ac:dyDescent="0.35">
      <c r="A57" s="103" t="str">
        <f t="shared" si="1"/>
        <v>Gold Market Mix</v>
      </c>
      <c r="B57" t="s">
        <v>385</v>
      </c>
      <c r="C57" t="s">
        <v>108</v>
      </c>
      <c r="D57" t="s">
        <v>496</v>
      </c>
      <c r="E57">
        <v>134686</v>
      </c>
      <c r="F57">
        <v>159287.6</v>
      </c>
      <c r="H57">
        <v>14018.040000000003</v>
      </c>
      <c r="I57">
        <v>16818</v>
      </c>
      <c r="K57" s="38" t="s">
        <v>209</v>
      </c>
      <c r="L57" s="38" t="s">
        <v>209</v>
      </c>
      <c r="N57">
        <v>44</v>
      </c>
      <c r="O57">
        <v>40</v>
      </c>
      <c r="Q57" s="38" t="s">
        <v>539</v>
      </c>
      <c r="R57" t="s">
        <v>209</v>
      </c>
    </row>
    <row r="58" spans="1:18" x14ac:dyDescent="0.35">
      <c r="A58" s="103" t="str">
        <f t="shared" si="1"/>
        <v>Gold Primary</v>
      </c>
      <c r="B58" t="s">
        <v>385</v>
      </c>
      <c r="C58" t="s">
        <v>108</v>
      </c>
      <c r="D58" t="s">
        <v>405</v>
      </c>
      <c r="E58">
        <v>240000</v>
      </c>
      <c r="F58">
        <v>265000</v>
      </c>
      <c r="H58">
        <v>25000</v>
      </c>
      <c r="I58">
        <v>28000</v>
      </c>
      <c r="K58" s="38" t="s">
        <v>209</v>
      </c>
      <c r="L58" s="38" t="s">
        <v>209</v>
      </c>
      <c r="N58">
        <v>44</v>
      </c>
      <c r="O58">
        <v>40</v>
      </c>
      <c r="Q58" s="38" t="s">
        <v>539</v>
      </c>
      <c r="R58" t="s">
        <v>209</v>
      </c>
    </row>
    <row r="59" spans="1:18" x14ac:dyDescent="0.35">
      <c r="A59" s="103" t="str">
        <f t="shared" si="1"/>
        <v>Gold Secondary</v>
      </c>
      <c r="B59" t="s">
        <v>385</v>
      </c>
      <c r="C59" t="s">
        <v>108</v>
      </c>
      <c r="D59" t="s">
        <v>495</v>
      </c>
      <c r="E59" s="38">
        <v>650</v>
      </c>
      <c r="F59" s="38">
        <v>719</v>
      </c>
      <c r="G59" s="38"/>
      <c r="H59" s="38">
        <v>41</v>
      </c>
      <c r="I59" s="38">
        <v>45</v>
      </c>
      <c r="K59" s="38" t="s">
        <v>209</v>
      </c>
      <c r="L59" s="38" t="s">
        <v>209</v>
      </c>
      <c r="N59">
        <v>44</v>
      </c>
      <c r="O59">
        <v>40</v>
      </c>
      <c r="Q59" s="38" t="s">
        <v>539</v>
      </c>
      <c r="R59" t="s">
        <v>209</v>
      </c>
    </row>
    <row r="60" spans="1:18" x14ac:dyDescent="0.35">
      <c r="A60" s="103" t="str">
        <f t="shared" si="1"/>
        <v>Inconel 625 Market Mix</v>
      </c>
      <c r="B60" t="s">
        <v>385</v>
      </c>
      <c r="C60" t="s">
        <v>544</v>
      </c>
      <c r="D60" t="s">
        <v>496</v>
      </c>
      <c r="E60" s="38">
        <v>60</v>
      </c>
      <c r="F60" s="38">
        <v>480</v>
      </c>
      <c r="G60" s="38"/>
      <c r="H60" s="38">
        <v>4.9000000000000004</v>
      </c>
      <c r="I60" s="38">
        <v>38</v>
      </c>
      <c r="K60" s="38" t="s">
        <v>209</v>
      </c>
      <c r="L60" s="38" t="s">
        <v>209</v>
      </c>
      <c r="N60">
        <v>0</v>
      </c>
      <c r="O60">
        <v>0</v>
      </c>
      <c r="Q60" s="38" t="s">
        <v>545</v>
      </c>
      <c r="R60" t="s">
        <v>209</v>
      </c>
    </row>
    <row r="61" spans="1:18" x14ac:dyDescent="0.35">
      <c r="A61" s="103" t="str">
        <f t="shared" si="1"/>
        <v>Inconel 625 Primary</v>
      </c>
      <c r="B61" t="s">
        <v>385</v>
      </c>
      <c r="C61" t="s">
        <v>544</v>
      </c>
      <c r="D61" t="s">
        <v>405</v>
      </c>
      <c r="E61" s="38">
        <v>60</v>
      </c>
      <c r="F61" s="38">
        <v>480</v>
      </c>
      <c r="G61" s="38"/>
      <c r="H61" s="38">
        <v>4.9000000000000004</v>
      </c>
      <c r="I61" s="38">
        <v>38</v>
      </c>
      <c r="K61" s="38" t="s">
        <v>209</v>
      </c>
      <c r="L61" s="38" t="s">
        <v>209</v>
      </c>
      <c r="N61">
        <v>0</v>
      </c>
      <c r="O61">
        <v>0</v>
      </c>
      <c r="Q61" s="38" t="s">
        <v>545</v>
      </c>
      <c r="R61" t="s">
        <v>209</v>
      </c>
    </row>
    <row r="62" spans="1:18" x14ac:dyDescent="0.35">
      <c r="A62" s="103" t="str">
        <f t="shared" si="1"/>
        <v>Inconel 625 Secondary</v>
      </c>
      <c r="B62" t="s">
        <v>385</v>
      </c>
      <c r="C62" t="s">
        <v>544</v>
      </c>
      <c r="D62" t="s">
        <v>495</v>
      </c>
      <c r="E62" s="38">
        <v>60</v>
      </c>
      <c r="F62" s="38">
        <v>480</v>
      </c>
      <c r="G62" s="38"/>
      <c r="H62" s="38">
        <v>4.9000000000000004</v>
      </c>
      <c r="I62" s="38">
        <v>38</v>
      </c>
      <c r="K62" s="38" t="s">
        <v>209</v>
      </c>
      <c r="L62" s="38" t="s">
        <v>209</v>
      </c>
      <c r="N62">
        <v>0</v>
      </c>
      <c r="O62">
        <v>0</v>
      </c>
      <c r="Q62" s="38" t="s">
        <v>545</v>
      </c>
      <c r="R62" t="s">
        <v>209</v>
      </c>
    </row>
    <row r="63" spans="1:18" x14ac:dyDescent="0.35">
      <c r="A63" s="103" t="str">
        <f t="shared" si="1"/>
        <v>Lead alloys Market Mix</v>
      </c>
      <c r="B63" t="s">
        <v>385</v>
      </c>
      <c r="C63" t="s">
        <v>300</v>
      </c>
      <c r="D63" t="s">
        <v>496</v>
      </c>
      <c r="E63">
        <v>11.332000000000001</v>
      </c>
      <c r="F63">
        <v>14.338000000000001</v>
      </c>
      <c r="H63">
        <v>0.74056</v>
      </c>
      <c r="I63">
        <v>1.0201000000000002</v>
      </c>
      <c r="K63" s="38" t="s">
        <v>209</v>
      </c>
      <c r="L63" s="38" t="s">
        <v>209</v>
      </c>
      <c r="N63">
        <v>76</v>
      </c>
      <c r="O63">
        <v>69</v>
      </c>
      <c r="Q63" s="38" t="s">
        <v>539</v>
      </c>
      <c r="R63" t="s">
        <v>209</v>
      </c>
    </row>
    <row r="64" spans="1:18" x14ac:dyDescent="0.35">
      <c r="A64" s="103" t="str">
        <f t="shared" si="1"/>
        <v>Lead alloys Primary</v>
      </c>
      <c r="B64" t="s">
        <v>385</v>
      </c>
      <c r="C64" t="s">
        <v>300</v>
      </c>
      <c r="D64" t="s">
        <v>405</v>
      </c>
      <c r="E64">
        <v>26</v>
      </c>
      <c r="F64">
        <v>28</v>
      </c>
      <c r="H64">
        <v>1.8</v>
      </c>
      <c r="I64">
        <v>2.2000000000000002</v>
      </c>
      <c r="K64" s="38" t="s">
        <v>209</v>
      </c>
      <c r="L64" s="38" t="s">
        <v>209</v>
      </c>
      <c r="N64">
        <v>76</v>
      </c>
      <c r="O64">
        <v>69</v>
      </c>
      <c r="Q64" s="38" t="s">
        <v>539</v>
      </c>
      <c r="R64" t="s">
        <v>209</v>
      </c>
    </row>
    <row r="65" spans="1:18" x14ac:dyDescent="0.35">
      <c r="A65" s="103" t="str">
        <f t="shared" si="1"/>
        <v>Lead alloys Secondary</v>
      </c>
      <c r="B65" t="s">
        <v>385</v>
      </c>
      <c r="C65" t="s">
        <v>300</v>
      </c>
      <c r="D65" t="s">
        <v>495</v>
      </c>
      <c r="E65">
        <v>6.7</v>
      </c>
      <c r="F65">
        <v>8.1999999999999993</v>
      </c>
      <c r="H65">
        <v>0.40600000000000003</v>
      </c>
      <c r="I65">
        <v>0.49</v>
      </c>
      <c r="K65" s="38" t="s">
        <v>209</v>
      </c>
      <c r="L65" s="38" t="s">
        <v>209</v>
      </c>
      <c r="N65">
        <v>76</v>
      </c>
      <c r="O65">
        <v>69</v>
      </c>
      <c r="Q65" s="38" t="s">
        <v>539</v>
      </c>
      <c r="R65" t="s">
        <v>209</v>
      </c>
    </row>
    <row r="66" spans="1:18" x14ac:dyDescent="0.35">
      <c r="A66" s="103" t="str">
        <f t="shared" si="1"/>
        <v>Magnesium Alloys Market Mix</v>
      </c>
      <c r="B66" t="s">
        <v>385</v>
      </c>
      <c r="C66" t="s">
        <v>16</v>
      </c>
      <c r="D66" t="s">
        <v>496</v>
      </c>
      <c r="E66">
        <v>186.43000000000004</v>
      </c>
      <c r="F66">
        <v>220.56</v>
      </c>
      <c r="H66">
        <v>21.126000000000001</v>
      </c>
      <c r="I66">
        <v>25.472000000000001</v>
      </c>
      <c r="K66" s="38" t="s">
        <v>209</v>
      </c>
      <c r="L66" s="38" t="s">
        <v>209</v>
      </c>
      <c r="N66">
        <v>41</v>
      </c>
      <c r="O66">
        <v>36</v>
      </c>
      <c r="Q66" s="38" t="s">
        <v>539</v>
      </c>
      <c r="R66" t="s">
        <v>209</v>
      </c>
    </row>
    <row r="67" spans="1:18" x14ac:dyDescent="0.35">
      <c r="A67" s="103" t="str">
        <f t="shared" ref="A67:A98" si="2">C67&amp; " "&amp;D67</f>
        <v>Magnesium Alloys Primary</v>
      </c>
      <c r="B67" t="s">
        <v>385</v>
      </c>
      <c r="C67" t="s">
        <v>16</v>
      </c>
      <c r="D67" t="s">
        <v>405</v>
      </c>
      <c r="E67">
        <v>300</v>
      </c>
      <c r="F67">
        <v>330</v>
      </c>
      <c r="H67">
        <v>34</v>
      </c>
      <c r="I67">
        <v>38</v>
      </c>
      <c r="K67" s="38" t="s">
        <v>209</v>
      </c>
      <c r="L67" s="38" t="s">
        <v>209</v>
      </c>
      <c r="N67">
        <v>41</v>
      </c>
      <c r="O67">
        <v>36</v>
      </c>
      <c r="Q67" s="38" t="s">
        <v>539</v>
      </c>
      <c r="R67" t="s">
        <v>209</v>
      </c>
    </row>
    <row r="68" spans="1:18" x14ac:dyDescent="0.35">
      <c r="A68" s="103" t="str">
        <f t="shared" si="2"/>
        <v>Magnesium Alloys Secondary</v>
      </c>
      <c r="B68" t="s">
        <v>385</v>
      </c>
      <c r="C68" t="s">
        <v>16</v>
      </c>
      <c r="D68" t="s">
        <v>495</v>
      </c>
      <c r="E68">
        <v>23</v>
      </c>
      <c r="F68">
        <v>26</v>
      </c>
      <c r="H68">
        <v>2.6</v>
      </c>
      <c r="I68">
        <v>3.2</v>
      </c>
      <c r="K68" s="38" t="s">
        <v>209</v>
      </c>
      <c r="L68" s="38" t="s">
        <v>209</v>
      </c>
      <c r="N68">
        <v>41</v>
      </c>
      <c r="O68">
        <v>36</v>
      </c>
      <c r="Q68" s="38" t="s">
        <v>539</v>
      </c>
      <c r="R68" t="s">
        <v>209</v>
      </c>
    </row>
    <row r="69" spans="1:18" x14ac:dyDescent="0.35">
      <c r="A69" s="103" t="str">
        <f t="shared" si="2"/>
        <v>Nickel-based super alloys Market Mix</v>
      </c>
      <c r="B69" t="s">
        <v>385</v>
      </c>
      <c r="C69" t="s">
        <v>303</v>
      </c>
      <c r="D69" t="s">
        <v>496</v>
      </c>
      <c r="E69">
        <v>172.328</v>
      </c>
      <c r="F69">
        <v>198.57</v>
      </c>
      <c r="H69">
        <v>8.6522000000000006</v>
      </c>
      <c r="I69">
        <v>9.9440000000000008</v>
      </c>
      <c r="K69" s="38" t="s">
        <v>209</v>
      </c>
      <c r="L69" s="38" t="s">
        <v>209</v>
      </c>
      <c r="N69">
        <v>26</v>
      </c>
      <c r="O69">
        <v>22</v>
      </c>
      <c r="Q69" s="38" t="s">
        <v>539</v>
      </c>
      <c r="R69" t="s">
        <v>209</v>
      </c>
    </row>
    <row r="70" spans="1:18" x14ac:dyDescent="0.35">
      <c r="A70" s="103" t="str">
        <f t="shared" si="2"/>
        <v>Nickel-based super alloys Primary</v>
      </c>
      <c r="B70" t="s">
        <v>385</v>
      </c>
      <c r="C70" t="s">
        <v>303</v>
      </c>
      <c r="D70" t="s">
        <v>405</v>
      </c>
      <c r="E70">
        <v>221</v>
      </c>
      <c r="F70">
        <v>244</v>
      </c>
      <c r="H70">
        <v>11</v>
      </c>
      <c r="I70">
        <v>12.1</v>
      </c>
      <c r="K70" s="38" t="s">
        <v>209</v>
      </c>
      <c r="L70" s="38" t="s">
        <v>209</v>
      </c>
      <c r="N70">
        <v>26</v>
      </c>
      <c r="O70">
        <v>22</v>
      </c>
      <c r="Q70" s="38" t="s">
        <v>539</v>
      </c>
      <c r="R70" t="s">
        <v>209</v>
      </c>
    </row>
    <row r="71" spans="1:18" x14ac:dyDescent="0.35">
      <c r="A71" s="103" t="str">
        <f t="shared" si="2"/>
        <v>Nickel-based super alloys Secondary</v>
      </c>
      <c r="B71" t="s">
        <v>385</v>
      </c>
      <c r="C71" t="s">
        <v>303</v>
      </c>
      <c r="D71" t="s">
        <v>495</v>
      </c>
      <c r="E71">
        <v>33.799999999999997</v>
      </c>
      <c r="F71">
        <v>37.5</v>
      </c>
      <c r="H71">
        <v>1.97</v>
      </c>
      <c r="I71">
        <v>2.2999999999999998</v>
      </c>
      <c r="K71" s="38" t="s">
        <v>209</v>
      </c>
      <c r="L71" s="38" t="s">
        <v>209</v>
      </c>
      <c r="N71">
        <v>26</v>
      </c>
      <c r="O71">
        <v>22</v>
      </c>
      <c r="Q71" s="38" t="s">
        <v>539</v>
      </c>
      <c r="R71" t="s">
        <v>209</v>
      </c>
    </row>
    <row r="72" spans="1:18" x14ac:dyDescent="0.35">
      <c r="A72" s="103" t="str">
        <f t="shared" si="2"/>
        <v>Nickel-chromium alloys Market Mix</v>
      </c>
      <c r="B72" t="s">
        <v>385</v>
      </c>
      <c r="C72" t="s">
        <v>302</v>
      </c>
      <c r="D72" t="s">
        <v>496</v>
      </c>
      <c r="E72">
        <v>127.23999999999998</v>
      </c>
      <c r="F72">
        <v>145.34</v>
      </c>
      <c r="H72">
        <v>8.0559999999999992</v>
      </c>
      <c r="I72">
        <v>9.1579999999999995</v>
      </c>
      <c r="K72" s="38" t="s">
        <v>209</v>
      </c>
      <c r="L72" s="38" t="s">
        <v>209</v>
      </c>
      <c r="N72">
        <v>32</v>
      </c>
      <c r="O72">
        <v>29</v>
      </c>
      <c r="Q72" s="38" t="s">
        <v>539</v>
      </c>
      <c r="R72" t="s">
        <v>209</v>
      </c>
    </row>
    <row r="73" spans="1:18" x14ac:dyDescent="0.35">
      <c r="A73" s="103" t="str">
        <f t="shared" si="2"/>
        <v>Nickel-chromium alloys Primary</v>
      </c>
      <c r="B73" t="s">
        <v>385</v>
      </c>
      <c r="C73" t="s">
        <v>302</v>
      </c>
      <c r="D73" t="s">
        <v>405</v>
      </c>
      <c r="E73">
        <v>173</v>
      </c>
      <c r="F73">
        <v>190</v>
      </c>
      <c r="H73">
        <v>11</v>
      </c>
      <c r="I73">
        <v>12</v>
      </c>
      <c r="K73" s="38" t="s">
        <v>209</v>
      </c>
      <c r="L73" s="38" t="s">
        <v>209</v>
      </c>
      <c r="N73">
        <v>32</v>
      </c>
      <c r="O73">
        <v>29</v>
      </c>
      <c r="Q73" s="38" t="s">
        <v>539</v>
      </c>
      <c r="R73" t="s">
        <v>209</v>
      </c>
    </row>
    <row r="74" spans="1:18" x14ac:dyDescent="0.35">
      <c r="A74" s="103" t="str">
        <f t="shared" si="2"/>
        <v>Nickel-chromium alloys Secondary</v>
      </c>
      <c r="B74" t="s">
        <v>385</v>
      </c>
      <c r="C74" t="s">
        <v>302</v>
      </c>
      <c r="D74" t="s">
        <v>495</v>
      </c>
      <c r="E74">
        <v>30</v>
      </c>
      <c r="F74">
        <v>36</v>
      </c>
      <c r="H74">
        <v>1.8</v>
      </c>
      <c r="I74">
        <v>2.2000000000000002</v>
      </c>
      <c r="K74" s="38" t="s">
        <v>209</v>
      </c>
      <c r="L74" s="38" t="s">
        <v>209</v>
      </c>
      <c r="N74">
        <v>32</v>
      </c>
      <c r="O74">
        <v>29</v>
      </c>
      <c r="Q74" s="38" t="s">
        <v>539</v>
      </c>
      <c r="R74" t="s">
        <v>209</v>
      </c>
    </row>
    <row r="75" spans="1:18" x14ac:dyDescent="0.35">
      <c r="A75" s="103" t="str">
        <f t="shared" si="2"/>
        <v>None Market Mix</v>
      </c>
      <c r="B75" t="s">
        <v>208</v>
      </c>
      <c r="C75" t="s">
        <v>208</v>
      </c>
      <c r="D75" t="s">
        <v>496</v>
      </c>
      <c r="E75">
        <v>0</v>
      </c>
      <c r="F75">
        <v>0</v>
      </c>
      <c r="H75">
        <v>0</v>
      </c>
      <c r="I75">
        <v>0</v>
      </c>
      <c r="K75" s="38" t="s">
        <v>209</v>
      </c>
      <c r="L75" s="38" t="s">
        <v>209</v>
      </c>
      <c r="N75">
        <v>0</v>
      </c>
      <c r="O75">
        <v>0</v>
      </c>
      <c r="Q75" s="38" t="s">
        <v>209</v>
      </c>
      <c r="R75" t="s">
        <v>209</v>
      </c>
    </row>
    <row r="76" spans="1:18" x14ac:dyDescent="0.35">
      <c r="A76" s="103" t="str">
        <f t="shared" si="2"/>
        <v>None Primary</v>
      </c>
      <c r="B76" t="s">
        <v>208</v>
      </c>
      <c r="C76" t="s">
        <v>208</v>
      </c>
      <c r="D76" t="s">
        <v>405</v>
      </c>
      <c r="E76">
        <v>0</v>
      </c>
      <c r="F76">
        <v>0</v>
      </c>
      <c r="H76">
        <v>0</v>
      </c>
      <c r="I76">
        <v>0</v>
      </c>
      <c r="K76" s="38" t="s">
        <v>209</v>
      </c>
      <c r="L76" s="38" t="s">
        <v>209</v>
      </c>
      <c r="N76">
        <v>0</v>
      </c>
      <c r="O76">
        <v>0</v>
      </c>
      <c r="Q76" s="38" t="s">
        <v>209</v>
      </c>
      <c r="R76" t="s">
        <v>209</v>
      </c>
    </row>
    <row r="77" spans="1:18" x14ac:dyDescent="0.35">
      <c r="A77" s="103" t="str">
        <f t="shared" si="2"/>
        <v>None Secondary</v>
      </c>
      <c r="B77" t="s">
        <v>208</v>
      </c>
      <c r="C77" t="s">
        <v>208</v>
      </c>
      <c r="D77" t="s">
        <v>495</v>
      </c>
      <c r="E77">
        <v>0</v>
      </c>
      <c r="F77">
        <v>0</v>
      </c>
      <c r="H77">
        <v>0</v>
      </c>
      <c r="I77">
        <v>0</v>
      </c>
      <c r="K77" s="38" t="s">
        <v>209</v>
      </c>
      <c r="L77" s="38" t="s">
        <v>209</v>
      </c>
      <c r="N77">
        <v>0</v>
      </c>
      <c r="O77">
        <v>0</v>
      </c>
      <c r="Q77" s="38" t="s">
        <v>209</v>
      </c>
      <c r="R77" t="s">
        <v>209</v>
      </c>
    </row>
    <row r="78" spans="1:18" x14ac:dyDescent="0.35">
      <c r="A78" s="103" t="str">
        <f t="shared" si="2"/>
        <v>Phenolics Market Mix</v>
      </c>
      <c r="B78" t="s">
        <v>396</v>
      </c>
      <c r="C78" t="s">
        <v>305</v>
      </c>
      <c r="D78" t="s">
        <v>496</v>
      </c>
      <c r="E78">
        <v>75</v>
      </c>
      <c r="F78">
        <v>83</v>
      </c>
      <c r="H78">
        <v>3.4</v>
      </c>
      <c r="I78">
        <v>3.8</v>
      </c>
      <c r="K78" s="38">
        <f>14000/(1000000/(1055.06*2.20462))</f>
        <v>32.564089280799998</v>
      </c>
      <c r="L78" s="38">
        <v>0.78</v>
      </c>
      <c r="N78">
        <v>0</v>
      </c>
      <c r="O78">
        <v>0</v>
      </c>
      <c r="Q78" s="38" t="s">
        <v>539</v>
      </c>
      <c r="R78" t="s">
        <v>687</v>
      </c>
    </row>
    <row r="79" spans="1:18" x14ac:dyDescent="0.35">
      <c r="A79" s="103" t="str">
        <f t="shared" si="2"/>
        <v>Phenolics Primary</v>
      </c>
      <c r="B79" t="s">
        <v>396</v>
      </c>
      <c r="C79" t="s">
        <v>305</v>
      </c>
      <c r="D79" t="s">
        <v>405</v>
      </c>
      <c r="E79">
        <v>75</v>
      </c>
      <c r="F79">
        <v>83</v>
      </c>
      <c r="H79">
        <v>3.4</v>
      </c>
      <c r="I79">
        <v>3.8</v>
      </c>
      <c r="K79" s="38">
        <f>K78</f>
        <v>32.564089280799998</v>
      </c>
      <c r="L79" s="38">
        <v>0.78</v>
      </c>
      <c r="N79">
        <v>0</v>
      </c>
      <c r="O79">
        <v>0</v>
      </c>
      <c r="Q79" s="38" t="s">
        <v>539</v>
      </c>
      <c r="R79" t="s">
        <v>687</v>
      </c>
    </row>
    <row r="80" spans="1:18" x14ac:dyDescent="0.35">
      <c r="A80" s="103" t="str">
        <f t="shared" si="2"/>
        <v>Phenolics Secondary</v>
      </c>
      <c r="B80" t="s">
        <v>396</v>
      </c>
      <c r="C80" t="s">
        <v>305</v>
      </c>
      <c r="D80" t="s">
        <v>495</v>
      </c>
      <c r="E80">
        <v>75</v>
      </c>
      <c r="F80">
        <v>83</v>
      </c>
      <c r="H80">
        <v>3.4</v>
      </c>
      <c r="I80">
        <v>3.8</v>
      </c>
      <c r="K80" s="38">
        <f>K79</f>
        <v>32.564089280799998</v>
      </c>
      <c r="L80" s="38">
        <v>0.78</v>
      </c>
      <c r="N80">
        <v>0</v>
      </c>
      <c r="O80">
        <v>0</v>
      </c>
      <c r="Q80" s="38" t="s">
        <v>539</v>
      </c>
      <c r="R80" t="s">
        <v>687</v>
      </c>
    </row>
    <row r="81" spans="1:18" x14ac:dyDescent="0.35">
      <c r="A81" s="103" t="str">
        <f t="shared" si="2"/>
        <v>Polyamide (nylon) Market Mix</v>
      </c>
      <c r="B81" t="s">
        <v>396</v>
      </c>
      <c r="C81" t="s">
        <v>11</v>
      </c>
      <c r="D81" t="s">
        <v>496</v>
      </c>
      <c r="E81">
        <v>115.22</v>
      </c>
      <c r="F81">
        <v>128.59</v>
      </c>
      <c r="H81">
        <v>7.5471000000000004</v>
      </c>
      <c r="I81">
        <v>8.2725000000000009</v>
      </c>
      <c r="K81" s="38">
        <f>10000/(1000000/(1055.06*2.20462))</f>
        <v>23.260063771999999</v>
      </c>
      <c r="L81" s="38">
        <v>0.62</v>
      </c>
      <c r="N81">
        <v>1</v>
      </c>
      <c r="O81">
        <v>0.5</v>
      </c>
      <c r="Q81" s="38" t="s">
        <v>539</v>
      </c>
      <c r="R81" t="s">
        <v>687</v>
      </c>
    </row>
    <row r="82" spans="1:18" x14ac:dyDescent="0.35">
      <c r="A82" s="103" t="str">
        <f t="shared" si="2"/>
        <v>Polyamide (nylon) Primary</v>
      </c>
      <c r="B82" t="s">
        <v>396</v>
      </c>
      <c r="C82" t="s">
        <v>11</v>
      </c>
      <c r="D82" t="s">
        <v>405</v>
      </c>
      <c r="E82">
        <v>116</v>
      </c>
      <c r="F82">
        <v>129</v>
      </c>
      <c r="H82">
        <v>7.6</v>
      </c>
      <c r="I82">
        <v>8.3000000000000007</v>
      </c>
      <c r="K82" s="38">
        <f>K81</f>
        <v>23.260063771999999</v>
      </c>
      <c r="L82" s="38">
        <v>0.62</v>
      </c>
      <c r="N82">
        <v>1</v>
      </c>
      <c r="O82">
        <v>0.5</v>
      </c>
      <c r="Q82" s="38" t="s">
        <v>539</v>
      </c>
      <c r="R82" t="s">
        <v>687</v>
      </c>
    </row>
    <row r="83" spans="1:18" x14ac:dyDescent="0.35">
      <c r="A83" s="103" t="str">
        <f t="shared" si="2"/>
        <v>Polyamide (nylon) Secondary</v>
      </c>
      <c r="B83" t="s">
        <v>396</v>
      </c>
      <c r="C83" t="s">
        <v>11</v>
      </c>
      <c r="D83" t="s">
        <v>495</v>
      </c>
      <c r="E83">
        <v>38</v>
      </c>
      <c r="F83">
        <v>47</v>
      </c>
      <c r="H83">
        <v>2.31</v>
      </c>
      <c r="I83">
        <v>3.22</v>
      </c>
      <c r="K83" s="38">
        <f>K82</f>
        <v>23.260063771999999</v>
      </c>
      <c r="L83" s="38">
        <v>0.62</v>
      </c>
      <c r="N83">
        <v>1</v>
      </c>
      <c r="O83">
        <v>0.5</v>
      </c>
      <c r="Q83" s="38" t="s">
        <v>539</v>
      </c>
      <c r="R83" t="s">
        <v>687</v>
      </c>
    </row>
    <row r="84" spans="1:18" x14ac:dyDescent="0.35">
      <c r="A84" s="103" t="str">
        <f t="shared" si="2"/>
        <v>Polybutylene succinate (PBS) Market Mix</v>
      </c>
      <c r="B84" t="s">
        <v>396</v>
      </c>
      <c r="C84" t="s">
        <v>448</v>
      </c>
      <c r="D84" t="s">
        <v>496</v>
      </c>
      <c r="E84" s="38">
        <v>138.85</v>
      </c>
      <c r="F84" s="38">
        <v>140</v>
      </c>
      <c r="G84" s="38"/>
      <c r="H84" s="38">
        <v>6.6</v>
      </c>
      <c r="I84" s="38">
        <v>6.6</v>
      </c>
      <c r="K84" s="38">
        <f>11500/(1000000/(1055.06*2.20462))</f>
        <v>26.749073337799995</v>
      </c>
      <c r="L84" s="38">
        <v>0.56000000000000005</v>
      </c>
      <c r="N84">
        <v>0</v>
      </c>
      <c r="O84">
        <v>0</v>
      </c>
      <c r="Q84" s="38" t="s">
        <v>546</v>
      </c>
      <c r="R84" t="s">
        <v>687</v>
      </c>
    </row>
    <row r="85" spans="1:18" x14ac:dyDescent="0.35">
      <c r="A85" s="103" t="str">
        <f t="shared" si="2"/>
        <v>Polybutylene succinate (PBS) Primary</v>
      </c>
      <c r="B85" t="s">
        <v>396</v>
      </c>
      <c r="C85" t="s">
        <v>448</v>
      </c>
      <c r="D85" t="s">
        <v>405</v>
      </c>
      <c r="E85" s="38">
        <v>138.85</v>
      </c>
      <c r="F85" s="38">
        <v>140</v>
      </c>
      <c r="G85" s="38"/>
      <c r="H85" s="38">
        <v>6.6</v>
      </c>
      <c r="I85" s="38">
        <v>6.6</v>
      </c>
      <c r="K85" s="38">
        <f>K84</f>
        <v>26.749073337799995</v>
      </c>
      <c r="L85" s="38">
        <v>0.56000000000000005</v>
      </c>
      <c r="N85">
        <v>0</v>
      </c>
      <c r="O85">
        <v>0</v>
      </c>
      <c r="Q85" s="38" t="s">
        <v>546</v>
      </c>
      <c r="R85" t="s">
        <v>687</v>
      </c>
    </row>
    <row r="86" spans="1:18" x14ac:dyDescent="0.35">
      <c r="A86" s="103" t="str">
        <f t="shared" si="2"/>
        <v>Polybutylene succinate (PBS) Secondary</v>
      </c>
      <c r="B86" t="s">
        <v>396</v>
      </c>
      <c r="C86" t="s">
        <v>448</v>
      </c>
      <c r="D86" t="s">
        <v>495</v>
      </c>
      <c r="E86" s="38">
        <v>138.85</v>
      </c>
      <c r="F86" s="38">
        <v>140</v>
      </c>
      <c r="G86" s="38"/>
      <c r="H86" s="38">
        <v>6.6</v>
      </c>
      <c r="I86" s="38">
        <v>6.6</v>
      </c>
      <c r="K86" s="38">
        <f>K85</f>
        <v>26.749073337799995</v>
      </c>
      <c r="L86" s="38">
        <v>0.56000000000000005</v>
      </c>
      <c r="N86">
        <v>0</v>
      </c>
      <c r="O86">
        <v>0</v>
      </c>
      <c r="Q86" s="38" t="s">
        <v>546</v>
      </c>
      <c r="R86" t="s">
        <v>687</v>
      </c>
    </row>
    <row r="87" spans="1:18" x14ac:dyDescent="0.35">
      <c r="A87" s="103" t="str">
        <f t="shared" si="2"/>
        <v>Polycarbonate (PC) Market Mix</v>
      </c>
      <c r="B87" t="s">
        <v>396</v>
      </c>
      <c r="C87" t="s">
        <v>443</v>
      </c>
      <c r="D87" t="s">
        <v>496</v>
      </c>
      <c r="E87">
        <v>102.35</v>
      </c>
      <c r="F87">
        <v>113.66499999999999</v>
      </c>
      <c r="H87">
        <v>5.6659999999999995</v>
      </c>
      <c r="I87">
        <v>6.2824999999999998</v>
      </c>
      <c r="K87" s="38">
        <f>14000/(1000000/(1055.06*2.20462))</f>
        <v>32.564089280799998</v>
      </c>
      <c r="L87" s="38">
        <v>0.76</v>
      </c>
      <c r="N87">
        <v>1</v>
      </c>
      <c r="O87">
        <v>0.5</v>
      </c>
      <c r="Q87" s="38" t="s">
        <v>539</v>
      </c>
      <c r="R87" t="s">
        <v>687</v>
      </c>
    </row>
    <row r="88" spans="1:18" x14ac:dyDescent="0.35">
      <c r="A88" s="103" t="str">
        <f t="shared" si="2"/>
        <v>Polycarbonate (PC) Primary</v>
      </c>
      <c r="B88" t="s">
        <v>396</v>
      </c>
      <c r="C88" t="s">
        <v>443</v>
      </c>
      <c r="D88" t="s">
        <v>405</v>
      </c>
      <c r="E88">
        <v>103</v>
      </c>
      <c r="F88">
        <v>114</v>
      </c>
      <c r="H88">
        <v>5.7</v>
      </c>
      <c r="I88">
        <v>6.3</v>
      </c>
      <c r="K88" s="38">
        <f>K87</f>
        <v>32.564089280799998</v>
      </c>
      <c r="L88" s="38">
        <v>0.76</v>
      </c>
      <c r="N88">
        <v>1</v>
      </c>
      <c r="O88">
        <v>0.5</v>
      </c>
      <c r="Q88" s="38" t="s">
        <v>539</v>
      </c>
      <c r="R88" t="s">
        <v>687</v>
      </c>
    </row>
    <row r="89" spans="1:18" x14ac:dyDescent="0.35">
      <c r="A89" s="103" t="str">
        <f t="shared" si="2"/>
        <v>Polycarbonate (PC) Secondary</v>
      </c>
      <c r="B89" t="s">
        <v>396</v>
      </c>
      <c r="C89" t="s">
        <v>443</v>
      </c>
      <c r="D89" t="s">
        <v>495</v>
      </c>
      <c r="E89">
        <v>38</v>
      </c>
      <c r="F89">
        <v>47</v>
      </c>
      <c r="H89">
        <v>2.2999999999999998</v>
      </c>
      <c r="I89">
        <v>2.8</v>
      </c>
      <c r="K89" s="38">
        <f>K88</f>
        <v>32.564089280799998</v>
      </c>
      <c r="L89" s="38">
        <v>0.76</v>
      </c>
      <c r="N89">
        <v>1</v>
      </c>
      <c r="O89">
        <v>0.5</v>
      </c>
      <c r="Q89" s="38" t="s">
        <v>539</v>
      </c>
      <c r="R89" t="s">
        <v>687</v>
      </c>
    </row>
    <row r="90" spans="1:18" x14ac:dyDescent="0.35">
      <c r="A90" s="103" t="str">
        <f t="shared" si="2"/>
        <v>Polyesters Market Mix</v>
      </c>
      <c r="B90" t="s">
        <v>396</v>
      </c>
      <c r="C90" t="s">
        <v>444</v>
      </c>
      <c r="D90" t="s">
        <v>496</v>
      </c>
      <c r="E90" s="38">
        <v>68</v>
      </c>
      <c r="F90" s="38">
        <v>75</v>
      </c>
      <c r="G90" s="38"/>
      <c r="H90" s="38">
        <v>2.8</v>
      </c>
      <c r="I90" s="38">
        <v>3.2</v>
      </c>
      <c r="K90" s="38">
        <f>10600/(1000000/(1055.06*2.20462))</f>
        <v>24.655667598319997</v>
      </c>
      <c r="L90" s="38">
        <v>0.86</v>
      </c>
      <c r="N90">
        <v>0</v>
      </c>
      <c r="O90">
        <v>0</v>
      </c>
      <c r="Q90" s="38" t="s">
        <v>539</v>
      </c>
      <c r="R90" t="s">
        <v>690</v>
      </c>
    </row>
    <row r="91" spans="1:18" x14ac:dyDescent="0.35">
      <c r="A91" s="103" t="str">
        <f t="shared" si="2"/>
        <v>Polyesters Primary</v>
      </c>
      <c r="B91" t="s">
        <v>396</v>
      </c>
      <c r="C91" t="s">
        <v>444</v>
      </c>
      <c r="D91" t="s">
        <v>405</v>
      </c>
      <c r="E91" s="38">
        <v>68</v>
      </c>
      <c r="F91" s="38">
        <v>75</v>
      </c>
      <c r="G91" s="38"/>
      <c r="H91" s="38">
        <v>2.8</v>
      </c>
      <c r="I91" s="38">
        <v>3.2</v>
      </c>
      <c r="K91" s="38">
        <f>K90</f>
        <v>24.655667598319997</v>
      </c>
      <c r="L91" s="38">
        <v>0.83</v>
      </c>
      <c r="N91">
        <v>0</v>
      </c>
      <c r="O91">
        <v>0</v>
      </c>
      <c r="Q91" s="38" t="s">
        <v>539</v>
      </c>
      <c r="R91" t="s">
        <v>690</v>
      </c>
    </row>
    <row r="92" spans="1:18" x14ac:dyDescent="0.35">
      <c r="A92" s="103" t="str">
        <f t="shared" si="2"/>
        <v>Polyesters Secondary</v>
      </c>
      <c r="B92" t="s">
        <v>396</v>
      </c>
      <c r="C92" t="s">
        <v>444</v>
      </c>
      <c r="D92" t="s">
        <v>495</v>
      </c>
      <c r="E92" s="38">
        <v>68</v>
      </c>
      <c r="F92" s="38">
        <v>75</v>
      </c>
      <c r="G92" s="38"/>
      <c r="H92" s="38">
        <v>2.8</v>
      </c>
      <c r="I92" s="38">
        <v>3.2</v>
      </c>
      <c r="K92" s="38">
        <f>K91</f>
        <v>24.655667598319997</v>
      </c>
      <c r="L92" s="38">
        <v>0.86</v>
      </c>
      <c r="N92">
        <v>0</v>
      </c>
      <c r="O92">
        <v>0</v>
      </c>
      <c r="Q92" s="38" t="s">
        <v>539</v>
      </c>
      <c r="R92" t="s">
        <v>690</v>
      </c>
    </row>
    <row r="93" spans="1:18" x14ac:dyDescent="0.35">
      <c r="A93" s="103" t="str">
        <f t="shared" si="2"/>
        <v>Polyether ether ketone (PEEK) Market Mix</v>
      </c>
      <c r="B93" t="s">
        <v>396</v>
      </c>
      <c r="C93" t="s">
        <v>547</v>
      </c>
      <c r="D93" t="s">
        <v>496</v>
      </c>
      <c r="E93" s="38">
        <v>95</v>
      </c>
      <c r="F93" s="38">
        <v>315</v>
      </c>
      <c r="G93" s="38"/>
      <c r="H93" s="38">
        <v>5.5</v>
      </c>
      <c r="I93" s="38">
        <v>17.5</v>
      </c>
      <c r="K93" s="38">
        <f>14000/(1000000/(1055.06*2.20462))</f>
        <v>32.564089280799998</v>
      </c>
      <c r="L93" s="38">
        <v>0.63</v>
      </c>
      <c r="N93">
        <v>0</v>
      </c>
      <c r="O93">
        <v>0</v>
      </c>
      <c r="Q93" s="38" t="s">
        <v>545</v>
      </c>
      <c r="R93" t="s">
        <v>687</v>
      </c>
    </row>
    <row r="94" spans="1:18" x14ac:dyDescent="0.35">
      <c r="A94" s="103" t="str">
        <f t="shared" si="2"/>
        <v>Polyether ether ketone (PEEK) Primary</v>
      </c>
      <c r="B94" t="s">
        <v>396</v>
      </c>
      <c r="C94" t="s">
        <v>547</v>
      </c>
      <c r="D94" t="s">
        <v>405</v>
      </c>
      <c r="E94" s="38">
        <v>95</v>
      </c>
      <c r="F94" s="38">
        <v>315</v>
      </c>
      <c r="G94" s="38"/>
      <c r="H94" s="38">
        <v>5.5</v>
      </c>
      <c r="I94" s="38">
        <v>17.5</v>
      </c>
      <c r="K94" s="38">
        <f>K93</f>
        <v>32.564089280799998</v>
      </c>
      <c r="L94" s="38">
        <v>0.63</v>
      </c>
      <c r="N94">
        <v>0</v>
      </c>
      <c r="O94">
        <v>0</v>
      </c>
      <c r="Q94" s="38" t="s">
        <v>545</v>
      </c>
      <c r="R94" t="s">
        <v>687</v>
      </c>
    </row>
    <row r="95" spans="1:18" x14ac:dyDescent="0.35">
      <c r="A95" s="103" t="str">
        <f t="shared" si="2"/>
        <v>Polyether ether ketone (PEEK) Secondary</v>
      </c>
      <c r="B95" t="s">
        <v>396</v>
      </c>
      <c r="C95" t="s">
        <v>547</v>
      </c>
      <c r="D95" t="s">
        <v>495</v>
      </c>
      <c r="E95" s="38">
        <v>95</v>
      </c>
      <c r="F95" s="38">
        <v>315</v>
      </c>
      <c r="G95" s="38"/>
      <c r="H95" s="38">
        <v>5.5</v>
      </c>
      <c r="I95" s="38">
        <v>17.5</v>
      </c>
      <c r="K95" s="38">
        <f>K94</f>
        <v>32.564089280799998</v>
      </c>
      <c r="L95" s="38">
        <v>0.63</v>
      </c>
      <c r="N95">
        <v>0</v>
      </c>
      <c r="O95">
        <v>0</v>
      </c>
      <c r="Q95" s="38" t="s">
        <v>545</v>
      </c>
      <c r="R95" t="s">
        <v>687</v>
      </c>
    </row>
    <row r="96" spans="1:18" x14ac:dyDescent="0.35">
      <c r="A96" s="103" t="str">
        <f t="shared" si="2"/>
        <v>Polyethylene (PE) Market Mix</v>
      </c>
      <c r="B96" t="s">
        <v>396</v>
      </c>
      <c r="C96" t="s">
        <v>304</v>
      </c>
      <c r="D96" t="s">
        <v>496</v>
      </c>
      <c r="E96">
        <v>73.960000000000008</v>
      </c>
      <c r="F96">
        <v>82.600000000000009</v>
      </c>
      <c r="H96">
        <v>2.6095000000000002</v>
      </c>
      <c r="I96">
        <v>2.9080000000000004</v>
      </c>
      <c r="K96" s="38">
        <f>20000/(1000000/(1055.06*2.20462))</f>
        <v>46.520127543999997</v>
      </c>
      <c r="L96" s="38">
        <v>0.86</v>
      </c>
      <c r="N96">
        <v>9.5</v>
      </c>
      <c r="O96">
        <v>8</v>
      </c>
      <c r="Q96" s="38" t="s">
        <v>539</v>
      </c>
      <c r="R96" t="s">
        <v>688</v>
      </c>
    </row>
    <row r="97" spans="1:18" x14ac:dyDescent="0.35">
      <c r="A97" s="103" t="str">
        <f t="shared" si="2"/>
        <v>Polyethylene (PE) Primary</v>
      </c>
      <c r="B97" t="s">
        <v>396</v>
      </c>
      <c r="C97" t="s">
        <v>304</v>
      </c>
      <c r="D97" t="s">
        <v>405</v>
      </c>
      <c r="E97">
        <v>77</v>
      </c>
      <c r="F97">
        <v>85</v>
      </c>
      <c r="H97">
        <v>2.6</v>
      </c>
      <c r="I97">
        <v>2.9</v>
      </c>
      <c r="K97" s="38">
        <f>K96</f>
        <v>46.520127543999997</v>
      </c>
      <c r="L97" s="38">
        <v>0.86</v>
      </c>
      <c r="N97">
        <v>9.5</v>
      </c>
      <c r="O97">
        <v>8</v>
      </c>
      <c r="Q97" s="38" t="s">
        <v>539</v>
      </c>
      <c r="R97" t="s">
        <v>688</v>
      </c>
    </row>
    <row r="98" spans="1:18" x14ac:dyDescent="0.35">
      <c r="A98" s="103" t="str">
        <f t="shared" si="2"/>
        <v>Polyethylene (PE) Secondary</v>
      </c>
      <c r="B98" t="s">
        <v>396</v>
      </c>
      <c r="C98" t="s">
        <v>304</v>
      </c>
      <c r="D98" t="s">
        <v>495</v>
      </c>
      <c r="E98">
        <v>45</v>
      </c>
      <c r="F98">
        <v>55</v>
      </c>
      <c r="H98">
        <v>2.7</v>
      </c>
      <c r="I98">
        <v>3</v>
      </c>
      <c r="K98" s="38">
        <f>K97</f>
        <v>46.520127543999997</v>
      </c>
      <c r="L98" s="38">
        <v>0.86</v>
      </c>
      <c r="N98">
        <v>9.5</v>
      </c>
      <c r="O98">
        <v>8</v>
      </c>
      <c r="Q98" s="38" t="s">
        <v>539</v>
      </c>
      <c r="R98" t="s">
        <v>688</v>
      </c>
    </row>
    <row r="99" spans="1:18" x14ac:dyDescent="0.35">
      <c r="A99" s="103" t="str">
        <f t="shared" ref="A99:A130" si="3">C99&amp; " "&amp;D99</f>
        <v>Polyethylene Terephthalate (PET) Market Mix</v>
      </c>
      <c r="B99" t="s">
        <v>396</v>
      </c>
      <c r="C99" t="s">
        <v>445</v>
      </c>
      <c r="D99" t="s">
        <v>496</v>
      </c>
      <c r="E99">
        <v>70.88</v>
      </c>
      <c r="F99">
        <v>79.8</v>
      </c>
      <c r="H99">
        <v>3.3480000000000003</v>
      </c>
      <c r="I99">
        <v>3.8</v>
      </c>
      <c r="K99" s="38">
        <f>10600/(1000000/(1055.06*2.20462))</f>
        <v>24.655667598319997</v>
      </c>
      <c r="L99" s="38">
        <v>0.63</v>
      </c>
      <c r="N99">
        <v>22</v>
      </c>
      <c r="O99">
        <v>20</v>
      </c>
      <c r="Q99" s="38" t="s">
        <v>539</v>
      </c>
      <c r="R99" t="s">
        <v>688</v>
      </c>
    </row>
    <row r="100" spans="1:18" x14ac:dyDescent="0.35">
      <c r="A100" s="103" t="str">
        <f t="shared" si="3"/>
        <v>Polyethylene Terephthalate (PET) Primary</v>
      </c>
      <c r="B100" t="s">
        <v>396</v>
      </c>
      <c r="C100" t="s">
        <v>445</v>
      </c>
      <c r="D100" t="s">
        <v>405</v>
      </c>
      <c r="E100">
        <v>81</v>
      </c>
      <c r="F100">
        <v>89</v>
      </c>
      <c r="H100">
        <v>3.7</v>
      </c>
      <c r="I100">
        <v>4.0999999999999996</v>
      </c>
      <c r="K100" s="38">
        <f>K99</f>
        <v>24.655667598319997</v>
      </c>
      <c r="L100" s="38">
        <v>0.63</v>
      </c>
      <c r="N100">
        <v>22</v>
      </c>
      <c r="O100">
        <v>20</v>
      </c>
      <c r="Q100" s="38" t="s">
        <v>539</v>
      </c>
      <c r="R100" t="s">
        <v>688</v>
      </c>
    </row>
    <row r="101" spans="1:18" x14ac:dyDescent="0.35">
      <c r="A101" s="103" t="str">
        <f t="shared" si="3"/>
        <v>Polyethylene Terephthalate (PET) Secondary</v>
      </c>
      <c r="B101" t="s">
        <v>396</v>
      </c>
      <c r="C101" t="s">
        <v>445</v>
      </c>
      <c r="D101" t="s">
        <v>495</v>
      </c>
      <c r="E101">
        <v>35</v>
      </c>
      <c r="F101">
        <v>43</v>
      </c>
      <c r="H101">
        <v>2.1</v>
      </c>
      <c r="I101">
        <v>2.6</v>
      </c>
      <c r="K101" s="38">
        <f>K100</f>
        <v>24.655667598319997</v>
      </c>
      <c r="L101" s="38">
        <v>0.63</v>
      </c>
      <c r="N101">
        <v>22</v>
      </c>
      <c r="O101">
        <v>20</v>
      </c>
      <c r="Q101" s="38" t="s">
        <v>539</v>
      </c>
      <c r="R101" t="s">
        <v>688</v>
      </c>
    </row>
    <row r="102" spans="1:18" x14ac:dyDescent="0.35">
      <c r="A102" s="103" t="str">
        <f t="shared" si="3"/>
        <v>Polyhydroxyalkanoates (PHA,PHB) Market Mix</v>
      </c>
      <c r="B102" t="s">
        <v>396</v>
      </c>
      <c r="C102" t="s">
        <v>446</v>
      </c>
      <c r="D102" t="s">
        <v>496</v>
      </c>
      <c r="E102">
        <v>80.539999999999992</v>
      </c>
      <c r="F102">
        <v>89.765000000000001</v>
      </c>
      <c r="H102">
        <v>4.0799999999999992</v>
      </c>
      <c r="I102">
        <v>4.59</v>
      </c>
      <c r="K102" s="38">
        <f>12000/(1000000/(1055.06*2.20462))</f>
        <v>27.912076526399996</v>
      </c>
      <c r="L102" s="38">
        <v>0.57999999999999996</v>
      </c>
      <c r="N102">
        <v>1</v>
      </c>
      <c r="O102">
        <v>0.5</v>
      </c>
      <c r="Q102" s="38" t="s">
        <v>539</v>
      </c>
      <c r="R102" t="s">
        <v>687</v>
      </c>
    </row>
    <row r="103" spans="1:18" x14ac:dyDescent="0.35">
      <c r="A103" s="103" t="str">
        <f t="shared" si="3"/>
        <v>Polyhydroxyalkanoates (PHA,PHB) Primary</v>
      </c>
      <c r="B103" t="s">
        <v>396</v>
      </c>
      <c r="C103" t="s">
        <v>446</v>
      </c>
      <c r="D103" t="s">
        <v>405</v>
      </c>
      <c r="E103">
        <v>81</v>
      </c>
      <c r="F103">
        <v>90</v>
      </c>
      <c r="H103">
        <v>4.0999999999999996</v>
      </c>
      <c r="I103">
        <v>4.5999999999999996</v>
      </c>
      <c r="K103" s="38">
        <f>K102</f>
        <v>27.912076526399996</v>
      </c>
      <c r="L103" s="38">
        <v>0.57999999999999996</v>
      </c>
      <c r="N103">
        <v>1</v>
      </c>
      <c r="O103">
        <v>0.5</v>
      </c>
      <c r="Q103" s="38" t="s">
        <v>539</v>
      </c>
      <c r="R103" t="s">
        <v>687</v>
      </c>
    </row>
    <row r="104" spans="1:18" x14ac:dyDescent="0.35">
      <c r="A104" s="103" t="str">
        <f t="shared" si="3"/>
        <v>Polyhydroxyalkanoates (PHA,PHB) Secondary</v>
      </c>
      <c r="B104" t="s">
        <v>396</v>
      </c>
      <c r="C104" t="s">
        <v>446</v>
      </c>
      <c r="D104" t="s">
        <v>495</v>
      </c>
      <c r="E104">
        <v>35</v>
      </c>
      <c r="F104">
        <v>43</v>
      </c>
      <c r="H104">
        <v>2.1</v>
      </c>
      <c r="I104">
        <v>2.6</v>
      </c>
      <c r="K104" s="38">
        <f>K103</f>
        <v>27.912076526399996</v>
      </c>
      <c r="L104" s="38">
        <v>0.57999999999999996</v>
      </c>
      <c r="N104">
        <v>1</v>
      </c>
      <c r="O104">
        <v>0.5</v>
      </c>
      <c r="Q104" s="38" t="s">
        <v>539</v>
      </c>
      <c r="R104" t="s">
        <v>687</v>
      </c>
    </row>
    <row r="105" spans="1:18" x14ac:dyDescent="0.35">
      <c r="A105" s="103" t="str">
        <f t="shared" si="3"/>
        <v>Polylactic Acid (PLA) Market Mix</v>
      </c>
      <c r="B105" t="s">
        <v>396</v>
      </c>
      <c r="C105" t="s">
        <v>447</v>
      </c>
      <c r="D105" t="s">
        <v>496</v>
      </c>
      <c r="E105">
        <v>48.839999999999996</v>
      </c>
      <c r="F105">
        <v>53.93</v>
      </c>
      <c r="H105">
        <v>3.3860000000000001</v>
      </c>
      <c r="I105">
        <v>3.7929999999999997</v>
      </c>
      <c r="K105" s="38">
        <f>8370/(1000000/(1055.06*2.20462))</f>
        <v>19.468673377163999</v>
      </c>
      <c r="L105" s="38">
        <v>0.5</v>
      </c>
      <c r="N105">
        <v>1</v>
      </c>
      <c r="O105">
        <v>0.5</v>
      </c>
      <c r="Q105" s="38" t="s">
        <v>539</v>
      </c>
      <c r="R105" t="s">
        <v>688</v>
      </c>
    </row>
    <row r="106" spans="1:18" x14ac:dyDescent="0.35">
      <c r="A106" s="103" t="str">
        <f t="shared" si="3"/>
        <v>Polylactic Acid (PLA) Primary</v>
      </c>
      <c r="B106" t="s">
        <v>396</v>
      </c>
      <c r="C106" t="s">
        <v>447</v>
      </c>
      <c r="D106" t="s">
        <v>405</v>
      </c>
      <c r="E106">
        <v>49</v>
      </c>
      <c r="F106">
        <v>54</v>
      </c>
      <c r="H106">
        <v>3.4</v>
      </c>
      <c r="I106">
        <v>3.8</v>
      </c>
      <c r="K106" s="38">
        <f>K105</f>
        <v>19.468673377163999</v>
      </c>
      <c r="L106" s="38">
        <v>0.5</v>
      </c>
      <c r="N106">
        <v>1</v>
      </c>
      <c r="O106">
        <v>0.5</v>
      </c>
      <c r="Q106" s="38" t="s">
        <v>539</v>
      </c>
      <c r="R106" t="s">
        <v>688</v>
      </c>
    </row>
    <row r="107" spans="1:18" x14ac:dyDescent="0.35">
      <c r="A107" s="103" t="str">
        <f t="shared" si="3"/>
        <v>Polylactic Acid (PLA) Secondary</v>
      </c>
      <c r="B107" t="s">
        <v>396</v>
      </c>
      <c r="C107" t="s">
        <v>447</v>
      </c>
      <c r="D107" t="s">
        <v>495</v>
      </c>
      <c r="E107" s="38">
        <v>33</v>
      </c>
      <c r="F107" s="38">
        <v>40</v>
      </c>
      <c r="G107" s="38"/>
      <c r="H107" s="38">
        <v>2</v>
      </c>
      <c r="I107" s="38">
        <v>2.4</v>
      </c>
      <c r="K107" s="38">
        <f>K106</f>
        <v>19.468673377163999</v>
      </c>
      <c r="L107" s="38">
        <v>0.5</v>
      </c>
      <c r="N107">
        <v>1</v>
      </c>
      <c r="O107">
        <v>0.5</v>
      </c>
      <c r="Q107" s="38" t="s">
        <v>539</v>
      </c>
      <c r="R107" t="s">
        <v>688</v>
      </c>
    </row>
    <row r="108" spans="1:18" x14ac:dyDescent="0.35">
      <c r="A108" s="103" t="str">
        <f t="shared" si="3"/>
        <v>Polyphenylsulfone (PPSU or PPSF) Market Mix</v>
      </c>
      <c r="B108" t="s">
        <v>396</v>
      </c>
      <c r="C108" t="s">
        <v>449</v>
      </c>
      <c r="D108" t="s">
        <v>496</v>
      </c>
      <c r="E108" s="38">
        <v>197.5</v>
      </c>
      <c r="F108" s="38">
        <v>197.5</v>
      </c>
      <c r="G108" s="38"/>
      <c r="H108" s="38">
        <v>7.91</v>
      </c>
      <c r="I108" s="38">
        <v>7.91</v>
      </c>
      <c r="K108" s="38">
        <f>12000/(1000000/(1055.06*2.20462))</f>
        <v>27.912076526399996</v>
      </c>
      <c r="L108" s="38">
        <v>0.73</v>
      </c>
      <c r="N108">
        <v>0</v>
      </c>
      <c r="O108">
        <v>0</v>
      </c>
      <c r="Q108" s="38" t="s">
        <v>548</v>
      </c>
      <c r="R108" t="s">
        <v>687</v>
      </c>
    </row>
    <row r="109" spans="1:18" x14ac:dyDescent="0.35">
      <c r="A109" s="103" t="str">
        <f t="shared" si="3"/>
        <v>Polyphenylsulfone (PPSU or PPSF) Primary</v>
      </c>
      <c r="B109" t="s">
        <v>396</v>
      </c>
      <c r="C109" t="s">
        <v>449</v>
      </c>
      <c r="D109" t="s">
        <v>405</v>
      </c>
      <c r="E109" s="38">
        <v>197.5</v>
      </c>
      <c r="F109" s="38">
        <v>197.5</v>
      </c>
      <c r="G109" s="38"/>
      <c r="H109" s="38">
        <v>7.91</v>
      </c>
      <c r="I109" s="38">
        <v>7.91</v>
      </c>
      <c r="K109" s="38">
        <f>K108</f>
        <v>27.912076526399996</v>
      </c>
      <c r="L109" s="38">
        <v>0.73</v>
      </c>
      <c r="N109">
        <v>0</v>
      </c>
      <c r="O109">
        <v>0</v>
      </c>
      <c r="Q109" s="38" t="s">
        <v>548</v>
      </c>
      <c r="R109" t="s">
        <v>687</v>
      </c>
    </row>
    <row r="110" spans="1:18" x14ac:dyDescent="0.35">
      <c r="A110" s="103" t="str">
        <f t="shared" si="3"/>
        <v>Polyphenylsulfone (PPSU or PPSF) Secondary</v>
      </c>
      <c r="B110" t="s">
        <v>396</v>
      </c>
      <c r="C110" t="s">
        <v>449</v>
      </c>
      <c r="D110" t="s">
        <v>495</v>
      </c>
      <c r="E110" s="38">
        <v>197.5</v>
      </c>
      <c r="F110" s="38">
        <v>197.5</v>
      </c>
      <c r="G110" s="38"/>
      <c r="H110" s="38">
        <v>7.91</v>
      </c>
      <c r="I110" s="38">
        <v>7.91</v>
      </c>
      <c r="K110" s="38">
        <f>K109</f>
        <v>27.912076526399996</v>
      </c>
      <c r="L110" s="38">
        <v>0.73</v>
      </c>
      <c r="N110">
        <v>0</v>
      </c>
      <c r="O110">
        <v>0</v>
      </c>
      <c r="Q110" s="38" t="s">
        <v>548</v>
      </c>
      <c r="R110" t="s">
        <v>687</v>
      </c>
    </row>
    <row r="111" spans="1:18" x14ac:dyDescent="0.35">
      <c r="A111" s="103" t="str">
        <f t="shared" si="3"/>
        <v>Polypropylene Market Mix</v>
      </c>
      <c r="B111" t="s">
        <v>396</v>
      </c>
      <c r="C111" t="s">
        <v>13</v>
      </c>
      <c r="D111" t="s">
        <v>496</v>
      </c>
      <c r="E111" s="38">
        <v>73.2</v>
      </c>
      <c r="F111" s="38">
        <v>81.599999999999994</v>
      </c>
      <c r="G111" s="38"/>
      <c r="H111" s="38">
        <v>2.8460000000000001</v>
      </c>
      <c r="I111" s="38">
        <v>4.1400000000000006</v>
      </c>
      <c r="K111" s="38">
        <f>19950/(1000000/(1055.06*2.20462))</f>
        <v>46.403827225139992</v>
      </c>
      <c r="L111" s="38">
        <v>0.86</v>
      </c>
      <c r="N111">
        <v>6</v>
      </c>
      <c r="O111">
        <v>5</v>
      </c>
      <c r="Q111" s="38" t="s">
        <v>539</v>
      </c>
      <c r="R111" t="s">
        <v>688</v>
      </c>
    </row>
    <row r="112" spans="1:18" x14ac:dyDescent="0.35">
      <c r="A112" s="103" t="str">
        <f t="shared" si="3"/>
        <v>Polypropylene Primary</v>
      </c>
      <c r="B112" t="s">
        <v>396</v>
      </c>
      <c r="C112" t="s">
        <v>13</v>
      </c>
      <c r="D112" t="s">
        <v>405</v>
      </c>
      <c r="E112" s="38">
        <v>75</v>
      </c>
      <c r="F112" s="38">
        <v>83</v>
      </c>
      <c r="G112" s="38"/>
      <c r="H112" s="38">
        <v>2.9</v>
      </c>
      <c r="I112" s="38">
        <v>3.2</v>
      </c>
      <c r="K112" s="38">
        <f>K111</f>
        <v>46.403827225139992</v>
      </c>
      <c r="L112" s="38">
        <v>0.86</v>
      </c>
      <c r="N112">
        <v>6</v>
      </c>
      <c r="O112">
        <v>5</v>
      </c>
      <c r="Q112" s="38" t="s">
        <v>539</v>
      </c>
      <c r="R112" t="s">
        <v>688</v>
      </c>
    </row>
    <row r="113" spans="1:18" x14ac:dyDescent="0.35">
      <c r="A113" s="103" t="str">
        <f t="shared" si="3"/>
        <v>Polypropylene Secondary</v>
      </c>
      <c r="B113" t="s">
        <v>396</v>
      </c>
      <c r="C113" t="s">
        <v>13</v>
      </c>
      <c r="D113" t="s">
        <v>495</v>
      </c>
      <c r="E113">
        <v>45</v>
      </c>
      <c r="F113">
        <v>55</v>
      </c>
      <c r="H113">
        <v>2</v>
      </c>
      <c r="I113">
        <v>22</v>
      </c>
      <c r="K113" s="38">
        <f>K112</f>
        <v>46.403827225139992</v>
      </c>
      <c r="L113" s="38">
        <v>0.86</v>
      </c>
      <c r="N113">
        <v>6</v>
      </c>
      <c r="O113">
        <v>5</v>
      </c>
      <c r="Q113" s="38" t="s">
        <v>539</v>
      </c>
      <c r="R113" t="s">
        <v>688</v>
      </c>
    </row>
    <row r="114" spans="1:18" x14ac:dyDescent="0.35">
      <c r="A114" s="103" t="str">
        <f t="shared" si="3"/>
        <v>Polystyrene Market Mix</v>
      </c>
      <c r="B114" t="s">
        <v>396</v>
      </c>
      <c r="C114" t="s">
        <v>12</v>
      </c>
      <c r="D114" t="s">
        <v>496</v>
      </c>
      <c r="E114">
        <v>92</v>
      </c>
      <c r="F114">
        <v>102</v>
      </c>
      <c r="H114">
        <v>3.5400000000000005</v>
      </c>
      <c r="I114">
        <v>3.9550000000000001</v>
      </c>
      <c r="K114" s="38">
        <f>18000/(1000000/(1055.06*2.20462))</f>
        <v>41.868114789599993</v>
      </c>
      <c r="L114" s="38">
        <v>0.92</v>
      </c>
      <c r="N114">
        <v>6</v>
      </c>
      <c r="O114">
        <v>5</v>
      </c>
      <c r="Q114" s="38" t="s">
        <v>539</v>
      </c>
      <c r="R114" t="s">
        <v>688</v>
      </c>
    </row>
    <row r="115" spans="1:18" x14ac:dyDescent="0.35">
      <c r="A115" s="103" t="str">
        <f t="shared" si="3"/>
        <v>Polystyrene Primary</v>
      </c>
      <c r="B115" t="s">
        <v>396</v>
      </c>
      <c r="C115" t="s">
        <v>12</v>
      </c>
      <c r="D115" t="s">
        <v>405</v>
      </c>
      <c r="E115">
        <v>92</v>
      </c>
      <c r="F115">
        <v>102</v>
      </c>
      <c r="H115">
        <v>3.6</v>
      </c>
      <c r="I115">
        <v>4</v>
      </c>
      <c r="K115" s="38">
        <f>K114</f>
        <v>41.868114789599993</v>
      </c>
      <c r="L115" s="38">
        <v>0.92</v>
      </c>
      <c r="N115">
        <v>6</v>
      </c>
      <c r="O115">
        <v>5</v>
      </c>
      <c r="Q115" s="38" t="s">
        <v>539</v>
      </c>
      <c r="R115" t="s">
        <v>688</v>
      </c>
    </row>
    <row r="116" spans="1:18" x14ac:dyDescent="0.35">
      <c r="A116" s="103" t="str">
        <f t="shared" si="3"/>
        <v>Polystyrene Secondary</v>
      </c>
      <c r="B116" t="s">
        <v>396</v>
      </c>
      <c r="C116" t="s">
        <v>12</v>
      </c>
      <c r="D116" t="s">
        <v>495</v>
      </c>
      <c r="E116">
        <v>43</v>
      </c>
      <c r="F116">
        <v>52</v>
      </c>
      <c r="H116">
        <v>2.6</v>
      </c>
      <c r="I116">
        <v>3.1</v>
      </c>
      <c r="K116" s="38">
        <f>K115</f>
        <v>41.868114789599993</v>
      </c>
      <c r="L116" s="38">
        <v>0.92</v>
      </c>
      <c r="N116">
        <v>6</v>
      </c>
      <c r="O116">
        <v>5</v>
      </c>
      <c r="Q116" s="38" t="s">
        <v>539</v>
      </c>
      <c r="R116" t="s">
        <v>688</v>
      </c>
    </row>
    <row r="117" spans="1:18" x14ac:dyDescent="0.35">
      <c r="A117" s="103" t="str">
        <f t="shared" si="3"/>
        <v>Polystyrene, high impact Market Mix</v>
      </c>
      <c r="B117" t="s">
        <v>396</v>
      </c>
      <c r="C117" t="s">
        <v>450</v>
      </c>
      <c r="D117" t="s">
        <v>496</v>
      </c>
      <c r="E117">
        <v>88.2</v>
      </c>
      <c r="F117">
        <v>88.2</v>
      </c>
      <c r="H117">
        <v>3.5</v>
      </c>
      <c r="I117">
        <v>3.5</v>
      </c>
      <c r="K117" s="38">
        <f>K116</f>
        <v>41.868114789599993</v>
      </c>
      <c r="L117" s="38">
        <v>0.92</v>
      </c>
      <c r="N117">
        <v>0</v>
      </c>
      <c r="O117">
        <v>0</v>
      </c>
      <c r="Q117" s="38" t="s">
        <v>541</v>
      </c>
      <c r="R117" t="s">
        <v>688</v>
      </c>
    </row>
    <row r="118" spans="1:18" x14ac:dyDescent="0.35">
      <c r="A118" s="103" t="str">
        <f t="shared" si="3"/>
        <v>Polystyrene, high impact Primary</v>
      </c>
      <c r="B118" t="s">
        <v>396</v>
      </c>
      <c r="C118" t="s">
        <v>450</v>
      </c>
      <c r="D118" t="s">
        <v>405</v>
      </c>
      <c r="E118">
        <v>88.2</v>
      </c>
      <c r="F118">
        <v>88.2</v>
      </c>
      <c r="H118">
        <v>3.5</v>
      </c>
      <c r="I118">
        <v>3.5</v>
      </c>
      <c r="K118" s="38">
        <f>K117</f>
        <v>41.868114789599993</v>
      </c>
      <c r="L118" s="38">
        <v>0.92</v>
      </c>
      <c r="N118">
        <v>0</v>
      </c>
      <c r="O118">
        <v>0</v>
      </c>
      <c r="Q118" s="38" t="s">
        <v>541</v>
      </c>
      <c r="R118" t="s">
        <v>688</v>
      </c>
    </row>
    <row r="119" spans="1:18" x14ac:dyDescent="0.35">
      <c r="A119" s="103" t="str">
        <f t="shared" si="3"/>
        <v>Polystyrene, high impact Secondary</v>
      </c>
      <c r="B119" t="s">
        <v>396</v>
      </c>
      <c r="C119" t="s">
        <v>450</v>
      </c>
      <c r="D119" t="s">
        <v>495</v>
      </c>
      <c r="E119">
        <v>88.2</v>
      </c>
      <c r="F119">
        <v>88.2</v>
      </c>
      <c r="H119">
        <v>3.5</v>
      </c>
      <c r="I119">
        <v>3.5</v>
      </c>
      <c r="K119" s="38">
        <f>K118</f>
        <v>41.868114789599993</v>
      </c>
      <c r="L119" s="38">
        <v>0.92</v>
      </c>
      <c r="N119">
        <v>0</v>
      </c>
      <c r="O119">
        <v>0</v>
      </c>
      <c r="Q119" s="38" t="s">
        <v>541</v>
      </c>
      <c r="R119" t="s">
        <v>688</v>
      </c>
    </row>
    <row r="120" spans="1:18" x14ac:dyDescent="0.35">
      <c r="A120" s="103" t="str">
        <f t="shared" si="3"/>
        <v>Polyvinylchloride Market Mix</v>
      </c>
      <c r="B120" t="s">
        <v>396</v>
      </c>
      <c r="C120" t="s">
        <v>451</v>
      </c>
      <c r="D120" t="s">
        <v>496</v>
      </c>
      <c r="E120">
        <v>55.519999999999996</v>
      </c>
      <c r="F120">
        <v>61.67</v>
      </c>
      <c r="H120">
        <v>2.3899999999999997</v>
      </c>
      <c r="I120">
        <v>2.597</v>
      </c>
      <c r="K120" s="38">
        <f>7900/(1000000/(1055.06*2.20462))</f>
        <v>18.375450379879997</v>
      </c>
      <c r="L120" s="38">
        <v>0.38</v>
      </c>
      <c r="N120">
        <v>2</v>
      </c>
      <c r="O120">
        <v>1.5</v>
      </c>
      <c r="Q120" s="38" t="s">
        <v>539</v>
      </c>
      <c r="R120" t="s">
        <v>688</v>
      </c>
    </row>
    <row r="121" spans="1:18" x14ac:dyDescent="0.35">
      <c r="A121" s="103" t="str">
        <f t="shared" si="3"/>
        <v>Polyvinylchloride Primary</v>
      </c>
      <c r="B121" t="s">
        <v>396</v>
      </c>
      <c r="C121" t="s">
        <v>451</v>
      </c>
      <c r="D121" t="s">
        <v>405</v>
      </c>
      <c r="E121">
        <v>56</v>
      </c>
      <c r="F121">
        <v>62</v>
      </c>
      <c r="H121">
        <v>2.4</v>
      </c>
      <c r="I121">
        <v>2.6</v>
      </c>
      <c r="K121" s="38">
        <f>K120</f>
        <v>18.375450379879997</v>
      </c>
      <c r="L121" s="38">
        <v>0.38</v>
      </c>
      <c r="N121">
        <v>2</v>
      </c>
      <c r="O121">
        <v>1.5</v>
      </c>
      <c r="Q121" s="38" t="s">
        <v>539</v>
      </c>
      <c r="R121" t="s">
        <v>688</v>
      </c>
    </row>
    <row r="122" spans="1:18" x14ac:dyDescent="0.35">
      <c r="A122" s="103" t="str">
        <f t="shared" si="3"/>
        <v>Polyvinylchloride Secondary</v>
      </c>
      <c r="B122" t="s">
        <v>396</v>
      </c>
      <c r="C122" t="s">
        <v>451</v>
      </c>
      <c r="D122" t="s">
        <v>495</v>
      </c>
      <c r="E122" s="38">
        <v>32</v>
      </c>
      <c r="F122" s="38">
        <v>40</v>
      </c>
      <c r="G122" s="38"/>
      <c r="H122" s="38">
        <v>1.9</v>
      </c>
      <c r="I122" s="38">
        <v>2.4</v>
      </c>
      <c r="K122" s="38">
        <f>K121</f>
        <v>18.375450379879997</v>
      </c>
      <c r="L122" s="38">
        <v>0.38</v>
      </c>
      <c r="N122">
        <v>2</v>
      </c>
      <c r="O122">
        <v>1.5</v>
      </c>
      <c r="Q122" s="38" t="s">
        <v>539</v>
      </c>
      <c r="R122" t="s">
        <v>688</v>
      </c>
    </row>
    <row r="123" spans="1:18" x14ac:dyDescent="0.35">
      <c r="A123" s="103" t="str">
        <f t="shared" si="3"/>
        <v>Rubber, butyl Market Mix</v>
      </c>
      <c r="B123" t="s">
        <v>396</v>
      </c>
      <c r="C123" t="s">
        <v>452</v>
      </c>
      <c r="D123" t="s">
        <v>496</v>
      </c>
      <c r="E123" s="38">
        <v>112</v>
      </c>
      <c r="F123" s="38">
        <v>124</v>
      </c>
      <c r="G123" s="38"/>
      <c r="H123" s="38">
        <v>6.3</v>
      </c>
      <c r="I123" s="38">
        <v>6.9</v>
      </c>
      <c r="K123" s="38">
        <f>14300/(1000000/(1055.06*2.20462))</f>
        <v>33.261891193959997</v>
      </c>
      <c r="L123" s="38">
        <v>0.88</v>
      </c>
      <c r="N123">
        <v>4.0999999999999996</v>
      </c>
      <c r="O123">
        <v>2</v>
      </c>
      <c r="Q123" s="38" t="s">
        <v>539</v>
      </c>
      <c r="R123" t="s">
        <v>687</v>
      </c>
    </row>
    <row r="124" spans="1:18" x14ac:dyDescent="0.35">
      <c r="A124" s="103" t="str">
        <f t="shared" si="3"/>
        <v>Rubber, butyl Primary</v>
      </c>
      <c r="B124" t="s">
        <v>396</v>
      </c>
      <c r="C124" t="s">
        <v>452</v>
      </c>
      <c r="D124" t="s">
        <v>405</v>
      </c>
      <c r="E124" s="38">
        <v>112</v>
      </c>
      <c r="F124" s="38">
        <v>124</v>
      </c>
      <c r="G124" s="38"/>
      <c r="H124" s="38">
        <v>6.3</v>
      </c>
      <c r="I124" s="38">
        <v>6.9</v>
      </c>
      <c r="K124" s="38">
        <f>K123</f>
        <v>33.261891193959997</v>
      </c>
      <c r="L124" s="38">
        <v>0.88</v>
      </c>
      <c r="N124">
        <v>4.0999999999999996</v>
      </c>
      <c r="O124">
        <v>2</v>
      </c>
      <c r="Q124" s="38" t="s">
        <v>539</v>
      </c>
      <c r="R124" t="s">
        <v>687</v>
      </c>
    </row>
    <row r="125" spans="1:18" x14ac:dyDescent="0.35">
      <c r="A125" s="103" t="str">
        <f t="shared" si="3"/>
        <v>Rubber, butyl Secondary</v>
      </c>
      <c r="B125" t="s">
        <v>396</v>
      </c>
      <c r="C125" t="s">
        <v>452</v>
      </c>
      <c r="D125" t="s">
        <v>495</v>
      </c>
      <c r="E125" s="38">
        <v>112</v>
      </c>
      <c r="F125" s="38">
        <v>124</v>
      </c>
      <c r="G125" s="38"/>
      <c r="H125" s="38">
        <v>6.3</v>
      </c>
      <c r="I125" s="38">
        <v>6.9</v>
      </c>
      <c r="K125" s="38">
        <f>K124</f>
        <v>33.261891193959997</v>
      </c>
      <c r="L125" s="38">
        <v>0.88</v>
      </c>
      <c r="N125">
        <v>4.0999999999999996</v>
      </c>
      <c r="O125">
        <v>2</v>
      </c>
      <c r="Q125" s="38" t="s">
        <v>539</v>
      </c>
      <c r="R125" t="s">
        <v>687</v>
      </c>
    </row>
    <row r="126" spans="1:18" x14ac:dyDescent="0.35">
      <c r="A126" s="103" t="str">
        <f t="shared" si="3"/>
        <v>Rubber, natural Market Mix</v>
      </c>
      <c r="B126" t="s">
        <v>396</v>
      </c>
      <c r="C126" t="s">
        <v>306</v>
      </c>
      <c r="D126" t="s">
        <v>496</v>
      </c>
      <c r="E126" s="38">
        <v>64</v>
      </c>
      <c r="F126" s="38">
        <v>71</v>
      </c>
      <c r="G126" s="38"/>
      <c r="H126" s="38">
        <v>2</v>
      </c>
      <c r="I126" s="38">
        <v>2.2000000000000002</v>
      </c>
      <c r="K126" s="38">
        <f>14300/(1000000/(1055.06*2.20462))</f>
        <v>33.261891193959997</v>
      </c>
      <c r="L126" s="38">
        <v>0.88</v>
      </c>
      <c r="N126">
        <v>0</v>
      </c>
      <c r="O126">
        <v>0</v>
      </c>
      <c r="Q126" s="38" t="s">
        <v>539</v>
      </c>
      <c r="R126" t="s">
        <v>687</v>
      </c>
    </row>
    <row r="127" spans="1:18" x14ac:dyDescent="0.35">
      <c r="A127" s="103" t="str">
        <f t="shared" si="3"/>
        <v>Rubber, natural Primary</v>
      </c>
      <c r="B127" t="s">
        <v>396</v>
      </c>
      <c r="C127" t="s">
        <v>306</v>
      </c>
      <c r="D127" t="s">
        <v>405</v>
      </c>
      <c r="E127" s="38">
        <v>64</v>
      </c>
      <c r="F127" s="38">
        <v>71</v>
      </c>
      <c r="G127" s="38"/>
      <c r="H127" s="38">
        <v>2</v>
      </c>
      <c r="I127" s="38">
        <v>2.2000000000000002</v>
      </c>
      <c r="K127" s="38">
        <f>K126</f>
        <v>33.261891193959997</v>
      </c>
      <c r="L127" s="38">
        <v>0.88</v>
      </c>
      <c r="N127">
        <v>0</v>
      </c>
      <c r="O127">
        <v>0</v>
      </c>
      <c r="Q127" s="38" t="s">
        <v>539</v>
      </c>
      <c r="R127" t="s">
        <v>687</v>
      </c>
    </row>
    <row r="128" spans="1:18" x14ac:dyDescent="0.35">
      <c r="A128" s="103" t="str">
        <f t="shared" si="3"/>
        <v>Rubber, natural Secondary</v>
      </c>
      <c r="B128" t="s">
        <v>396</v>
      </c>
      <c r="C128" t="s">
        <v>306</v>
      </c>
      <c r="D128" t="s">
        <v>495</v>
      </c>
      <c r="E128" s="38">
        <v>64</v>
      </c>
      <c r="F128" s="38">
        <v>71</v>
      </c>
      <c r="G128" s="38"/>
      <c r="H128" s="38">
        <v>2</v>
      </c>
      <c r="I128" s="38">
        <v>2.2000000000000002</v>
      </c>
      <c r="K128" s="38">
        <f>K127</f>
        <v>33.261891193959997</v>
      </c>
      <c r="L128" s="38">
        <v>0.88</v>
      </c>
      <c r="N128">
        <v>0</v>
      </c>
      <c r="O128">
        <v>0</v>
      </c>
      <c r="Q128" s="38" t="s">
        <v>539</v>
      </c>
      <c r="R128" t="s">
        <v>687</v>
      </c>
    </row>
    <row r="129" spans="1:18" x14ac:dyDescent="0.35">
      <c r="A129" s="103" t="str">
        <f t="shared" si="3"/>
        <v>Select Market Mix</v>
      </c>
      <c r="B129" t="s">
        <v>14</v>
      </c>
      <c r="C129" t="s">
        <v>14</v>
      </c>
      <c r="D129" t="s">
        <v>496</v>
      </c>
      <c r="E129">
        <v>0</v>
      </c>
      <c r="F129">
        <v>0</v>
      </c>
      <c r="H129">
        <v>0</v>
      </c>
      <c r="I129">
        <v>0</v>
      </c>
      <c r="K129" s="38" t="s">
        <v>209</v>
      </c>
      <c r="L129" s="38" t="s">
        <v>209</v>
      </c>
      <c r="N129">
        <v>0</v>
      </c>
      <c r="O129">
        <v>0</v>
      </c>
      <c r="Q129" s="38" t="s">
        <v>209</v>
      </c>
      <c r="R129" t="s">
        <v>209</v>
      </c>
    </row>
    <row r="130" spans="1:18" x14ac:dyDescent="0.35">
      <c r="A130" s="103" t="str">
        <f t="shared" si="3"/>
        <v>Select Primary</v>
      </c>
      <c r="B130" t="s">
        <v>14</v>
      </c>
      <c r="C130" t="s">
        <v>14</v>
      </c>
      <c r="D130" t="s">
        <v>405</v>
      </c>
      <c r="E130">
        <v>0</v>
      </c>
      <c r="F130">
        <v>0</v>
      </c>
      <c r="H130">
        <v>0</v>
      </c>
      <c r="I130">
        <v>0</v>
      </c>
      <c r="K130" s="38" t="s">
        <v>209</v>
      </c>
      <c r="L130" s="38" t="s">
        <v>209</v>
      </c>
      <c r="N130">
        <v>0</v>
      </c>
      <c r="O130">
        <v>0</v>
      </c>
      <c r="Q130" s="38" t="s">
        <v>209</v>
      </c>
      <c r="R130" t="s">
        <v>209</v>
      </c>
    </row>
    <row r="131" spans="1:18" x14ac:dyDescent="0.35">
      <c r="A131" s="103" t="str">
        <f t="shared" ref="A131:A162" si="4">C131&amp; " "&amp;D131</f>
        <v>Select Secondary</v>
      </c>
      <c r="B131" t="s">
        <v>14</v>
      </c>
      <c r="C131" t="s">
        <v>14</v>
      </c>
      <c r="D131" t="s">
        <v>495</v>
      </c>
      <c r="E131">
        <v>0</v>
      </c>
      <c r="F131">
        <v>0</v>
      </c>
      <c r="H131">
        <v>0</v>
      </c>
      <c r="I131">
        <v>0</v>
      </c>
      <c r="K131" s="38" t="s">
        <v>209</v>
      </c>
      <c r="L131" s="38" t="s">
        <v>209</v>
      </c>
      <c r="N131">
        <v>0</v>
      </c>
      <c r="O131">
        <v>0</v>
      </c>
      <c r="Q131" s="38" t="s">
        <v>209</v>
      </c>
      <c r="R131" t="s">
        <v>209</v>
      </c>
    </row>
    <row r="132" spans="1:18" x14ac:dyDescent="0.35">
      <c r="A132" s="103" t="str">
        <f t="shared" si="4"/>
        <v>Silver Market Mix</v>
      </c>
      <c r="B132" t="s">
        <v>385</v>
      </c>
      <c r="C132" t="s">
        <v>10</v>
      </c>
      <c r="D132" t="s">
        <v>496</v>
      </c>
      <c r="E132">
        <v>555.79999999999995</v>
      </c>
      <c r="F132">
        <v>653</v>
      </c>
      <c r="H132">
        <v>36.978000000000002</v>
      </c>
      <c r="I132">
        <v>43.38</v>
      </c>
      <c r="K132" s="38" t="s">
        <v>209</v>
      </c>
      <c r="L132" s="38" t="s">
        <v>209</v>
      </c>
      <c r="N132">
        <v>67</v>
      </c>
      <c r="O132">
        <v>65</v>
      </c>
      <c r="Q132" s="38" t="s">
        <v>539</v>
      </c>
      <c r="R132" t="s">
        <v>209</v>
      </c>
    </row>
    <row r="133" spans="1:18" x14ac:dyDescent="0.35">
      <c r="A133" s="103" t="str">
        <f t="shared" si="4"/>
        <v>Silver Primary</v>
      </c>
      <c r="B133" t="s">
        <v>385</v>
      </c>
      <c r="C133" t="s">
        <v>10</v>
      </c>
      <c r="D133" t="s">
        <v>405</v>
      </c>
      <c r="E133">
        <v>1400</v>
      </c>
      <c r="F133">
        <v>1550</v>
      </c>
      <c r="H133">
        <v>95</v>
      </c>
      <c r="I133">
        <v>105</v>
      </c>
      <c r="K133" s="38" t="s">
        <v>209</v>
      </c>
      <c r="L133" s="38" t="s">
        <v>209</v>
      </c>
      <c r="N133">
        <v>67</v>
      </c>
      <c r="O133">
        <v>65</v>
      </c>
      <c r="Q133" s="38" t="s">
        <v>539</v>
      </c>
      <c r="R133" t="s">
        <v>209</v>
      </c>
    </row>
    <row r="134" spans="1:18" x14ac:dyDescent="0.35">
      <c r="A134" s="103" t="str">
        <f t="shared" si="4"/>
        <v>Silver Secondary</v>
      </c>
      <c r="B134" t="s">
        <v>385</v>
      </c>
      <c r="C134" t="s">
        <v>10</v>
      </c>
      <c r="D134" t="s">
        <v>495</v>
      </c>
      <c r="E134">
        <v>140</v>
      </c>
      <c r="F134">
        <v>170</v>
      </c>
      <c r="H134">
        <v>8.4</v>
      </c>
      <c r="I134">
        <v>10.199999999999999</v>
      </c>
      <c r="K134" s="38" t="s">
        <v>209</v>
      </c>
      <c r="L134" s="38" t="s">
        <v>209</v>
      </c>
      <c r="N134">
        <v>67</v>
      </c>
      <c r="O134">
        <v>65</v>
      </c>
      <c r="Q134" s="38" t="s">
        <v>539</v>
      </c>
      <c r="R134" t="s">
        <v>209</v>
      </c>
    </row>
    <row r="135" spans="1:18" x14ac:dyDescent="0.35">
      <c r="A135" s="103" t="str">
        <f t="shared" si="4"/>
        <v>Stainless steel Market Mix</v>
      </c>
      <c r="B135" t="s">
        <v>385</v>
      </c>
      <c r="C135" t="s">
        <v>298</v>
      </c>
      <c r="D135" t="s">
        <v>496</v>
      </c>
      <c r="E135">
        <v>53</v>
      </c>
      <c r="F135">
        <v>61.75</v>
      </c>
      <c r="H135">
        <v>3.08</v>
      </c>
      <c r="I135">
        <v>3.66</v>
      </c>
      <c r="K135" s="38" t="s">
        <v>209</v>
      </c>
      <c r="L135" s="38" t="s">
        <v>209</v>
      </c>
      <c r="N135">
        <v>40</v>
      </c>
      <c r="O135">
        <v>35</v>
      </c>
      <c r="Q135" s="38" t="s">
        <v>539</v>
      </c>
      <c r="R135" t="s">
        <v>209</v>
      </c>
    </row>
    <row r="136" spans="1:18" x14ac:dyDescent="0.35">
      <c r="A136" s="103" t="str">
        <f t="shared" si="4"/>
        <v>Stainless steel Primary</v>
      </c>
      <c r="B136" t="s">
        <v>385</v>
      </c>
      <c r="C136" t="s">
        <v>298</v>
      </c>
      <c r="D136" t="s">
        <v>405</v>
      </c>
      <c r="E136">
        <v>81</v>
      </c>
      <c r="F136">
        <v>88</v>
      </c>
      <c r="H136">
        <v>4.7</v>
      </c>
      <c r="I136">
        <v>5.2</v>
      </c>
      <c r="K136" s="38" t="s">
        <v>209</v>
      </c>
      <c r="L136" s="38" t="s">
        <v>209</v>
      </c>
      <c r="N136">
        <v>40</v>
      </c>
      <c r="O136">
        <v>35</v>
      </c>
      <c r="Q136" s="38" t="s">
        <v>539</v>
      </c>
      <c r="R136" t="s">
        <v>209</v>
      </c>
    </row>
    <row r="137" spans="1:18" x14ac:dyDescent="0.35">
      <c r="A137" s="103" t="str">
        <f t="shared" si="4"/>
        <v>Stainless steel Secondary</v>
      </c>
      <c r="B137" t="s">
        <v>385</v>
      </c>
      <c r="C137" t="s">
        <v>298</v>
      </c>
      <c r="D137" t="s">
        <v>495</v>
      </c>
      <c r="E137">
        <v>11</v>
      </c>
      <c r="F137">
        <v>13</v>
      </c>
      <c r="H137">
        <v>0.65</v>
      </c>
      <c r="I137">
        <v>0.8</v>
      </c>
      <c r="K137" s="38" t="s">
        <v>209</v>
      </c>
      <c r="L137" s="38" t="s">
        <v>209</v>
      </c>
      <c r="N137">
        <v>40</v>
      </c>
      <c r="O137">
        <v>35</v>
      </c>
      <c r="Q137" s="38" t="s">
        <v>539</v>
      </c>
      <c r="R137" t="s">
        <v>209</v>
      </c>
    </row>
    <row r="138" spans="1:18" x14ac:dyDescent="0.35">
      <c r="A138" s="103" t="str">
        <f t="shared" si="4"/>
        <v>Steel, low alloy Market Mix</v>
      </c>
      <c r="B138" t="s">
        <v>385</v>
      </c>
      <c r="C138" t="s">
        <v>297</v>
      </c>
      <c r="D138" t="s">
        <v>496</v>
      </c>
      <c r="E138">
        <v>20.748000000000005</v>
      </c>
      <c r="F138">
        <v>24.2</v>
      </c>
      <c r="H138">
        <v>1.2707999999999999</v>
      </c>
      <c r="I138">
        <v>1.488</v>
      </c>
      <c r="K138" s="38" t="s">
        <v>209</v>
      </c>
      <c r="L138" s="38" t="s">
        <v>209</v>
      </c>
      <c r="N138">
        <v>44</v>
      </c>
      <c r="O138">
        <v>40</v>
      </c>
      <c r="Q138" s="38" t="s">
        <v>539</v>
      </c>
      <c r="R138" t="s">
        <v>209</v>
      </c>
    </row>
    <row r="139" spans="1:18" x14ac:dyDescent="0.35">
      <c r="A139" s="103" t="str">
        <f t="shared" si="4"/>
        <v>Steel, low alloy Primary</v>
      </c>
      <c r="B139" t="s">
        <v>385</v>
      </c>
      <c r="C139" t="s">
        <v>297</v>
      </c>
      <c r="D139" t="s">
        <v>405</v>
      </c>
      <c r="E139">
        <v>31</v>
      </c>
      <c r="F139">
        <v>34</v>
      </c>
      <c r="H139">
        <v>1.9</v>
      </c>
      <c r="I139">
        <v>2.1</v>
      </c>
      <c r="K139" s="38" t="s">
        <v>209</v>
      </c>
      <c r="L139" s="38" t="s">
        <v>209</v>
      </c>
      <c r="N139">
        <v>44</v>
      </c>
      <c r="O139">
        <v>40</v>
      </c>
      <c r="Q139" s="38" t="s">
        <v>539</v>
      </c>
      <c r="R139" t="s">
        <v>209</v>
      </c>
    </row>
    <row r="140" spans="1:18" x14ac:dyDescent="0.35">
      <c r="A140" s="103" t="str">
        <f t="shared" si="4"/>
        <v>Steel, low alloy Secondary</v>
      </c>
      <c r="B140" t="s">
        <v>385</v>
      </c>
      <c r="C140" t="s">
        <v>297</v>
      </c>
      <c r="D140" t="s">
        <v>495</v>
      </c>
      <c r="E140">
        <v>7.7</v>
      </c>
      <c r="F140">
        <v>9.5</v>
      </c>
      <c r="H140">
        <v>0.47</v>
      </c>
      <c r="I140">
        <v>0.56999999999999995</v>
      </c>
      <c r="K140" s="38" t="s">
        <v>209</v>
      </c>
      <c r="L140" s="38" t="s">
        <v>209</v>
      </c>
      <c r="N140">
        <v>44</v>
      </c>
      <c r="O140">
        <v>40</v>
      </c>
      <c r="Q140" s="38" t="s">
        <v>539</v>
      </c>
      <c r="R140" t="s">
        <v>209</v>
      </c>
    </row>
    <row r="141" spans="1:18" x14ac:dyDescent="0.35">
      <c r="A141" s="103" t="str">
        <f t="shared" si="4"/>
        <v>Steel, low carbon Market Mix</v>
      </c>
      <c r="B141" t="s">
        <v>385</v>
      </c>
      <c r="C141" t="s">
        <v>296</v>
      </c>
      <c r="D141" t="s">
        <v>496</v>
      </c>
      <c r="E141">
        <v>16.904000000000003</v>
      </c>
      <c r="F141">
        <v>20</v>
      </c>
      <c r="H141">
        <v>1.1280000000000001</v>
      </c>
      <c r="I141">
        <v>1.3319999999999999</v>
      </c>
      <c r="K141" s="38" t="s">
        <v>209</v>
      </c>
      <c r="L141" s="38" t="s">
        <v>209</v>
      </c>
      <c r="N141">
        <v>44</v>
      </c>
      <c r="O141">
        <v>40</v>
      </c>
      <c r="Q141" s="38" t="s">
        <v>539</v>
      </c>
      <c r="R141" t="s">
        <v>209</v>
      </c>
    </row>
    <row r="142" spans="1:18" x14ac:dyDescent="0.35">
      <c r="A142" s="103" t="str">
        <f t="shared" si="4"/>
        <v>Steel, low carbon Primary</v>
      </c>
      <c r="B142" t="s">
        <v>385</v>
      </c>
      <c r="C142" t="s">
        <v>296</v>
      </c>
      <c r="D142" t="s">
        <v>405</v>
      </c>
      <c r="E142">
        <v>25</v>
      </c>
      <c r="F142">
        <v>28</v>
      </c>
      <c r="H142">
        <v>1.7</v>
      </c>
      <c r="I142">
        <v>1.9</v>
      </c>
      <c r="K142" s="38" t="s">
        <v>209</v>
      </c>
      <c r="L142" s="38" t="s">
        <v>209</v>
      </c>
      <c r="N142">
        <v>44</v>
      </c>
      <c r="O142">
        <v>40</v>
      </c>
      <c r="Q142" s="38" t="s">
        <v>539</v>
      </c>
      <c r="R142" t="s">
        <v>209</v>
      </c>
    </row>
    <row r="143" spans="1:18" x14ac:dyDescent="0.35">
      <c r="A143" s="103" t="str">
        <f t="shared" si="4"/>
        <v>Steel, low carbon Secondary</v>
      </c>
      <c r="B143" t="s">
        <v>385</v>
      </c>
      <c r="C143" t="s">
        <v>296</v>
      </c>
      <c r="D143" t="s">
        <v>495</v>
      </c>
      <c r="E143">
        <v>6.6</v>
      </c>
      <c r="F143">
        <v>8</v>
      </c>
      <c r="H143">
        <v>0.4</v>
      </c>
      <c r="I143">
        <v>0.48</v>
      </c>
      <c r="K143" s="38" t="s">
        <v>209</v>
      </c>
      <c r="L143" s="38" t="s">
        <v>209</v>
      </c>
      <c r="N143">
        <v>44</v>
      </c>
      <c r="O143">
        <v>40</v>
      </c>
      <c r="Q143" s="38" t="s">
        <v>539</v>
      </c>
      <c r="R143" t="s">
        <v>209</v>
      </c>
    </row>
    <row r="144" spans="1:18" x14ac:dyDescent="0.35">
      <c r="A144" s="103" t="str">
        <f t="shared" si="4"/>
        <v>Titanium (Ti6Al4V) Market Mix</v>
      </c>
      <c r="B144" t="s">
        <v>385</v>
      </c>
      <c r="C144" t="s">
        <v>551</v>
      </c>
      <c r="D144" t="s">
        <v>496</v>
      </c>
      <c r="E144">
        <v>540.72239999999999</v>
      </c>
      <c r="F144">
        <v>558.81960000000004</v>
      </c>
      <c r="H144">
        <v>36.453527272727271</v>
      </c>
      <c r="I144">
        <v>37.696836363636365</v>
      </c>
      <c r="K144" s="38" t="s">
        <v>209</v>
      </c>
      <c r="L144" s="38" t="s">
        <v>209</v>
      </c>
      <c r="N144">
        <v>24</v>
      </c>
      <c r="O144">
        <v>21</v>
      </c>
      <c r="Q144" s="38" t="s">
        <v>550</v>
      </c>
      <c r="R144" t="s">
        <v>209</v>
      </c>
    </row>
    <row r="145" spans="1:18" x14ac:dyDescent="0.35">
      <c r="A145" s="103" t="str">
        <f t="shared" si="4"/>
        <v>Titanium (Ti6Al4V) Primary</v>
      </c>
      <c r="B145" t="s">
        <v>385</v>
      </c>
      <c r="C145" t="s">
        <v>551</v>
      </c>
      <c r="D145" t="s">
        <v>405</v>
      </c>
      <c r="E145">
        <v>685.5</v>
      </c>
      <c r="F145">
        <v>685.5</v>
      </c>
      <c r="H145">
        <v>46.4</v>
      </c>
      <c r="I145">
        <v>46.4</v>
      </c>
      <c r="K145" s="38" t="s">
        <v>209</v>
      </c>
      <c r="L145" s="38" t="s">
        <v>209</v>
      </c>
      <c r="N145">
        <v>24</v>
      </c>
      <c r="O145">
        <v>21</v>
      </c>
      <c r="Q145" s="38" t="s">
        <v>550</v>
      </c>
      <c r="R145" t="s">
        <v>209</v>
      </c>
    </row>
    <row r="146" spans="1:18" x14ac:dyDescent="0.35">
      <c r="A146" s="103" t="str">
        <f t="shared" si="4"/>
        <v>Titanium (Ti6Al4V) Secondary</v>
      </c>
      <c r="B146" t="s">
        <v>385</v>
      </c>
      <c r="C146" t="s">
        <v>551</v>
      </c>
      <c r="D146" t="s">
        <v>495</v>
      </c>
      <c r="E146">
        <v>82.26</v>
      </c>
      <c r="F146">
        <v>82.26</v>
      </c>
      <c r="H146">
        <v>4.956363636363637</v>
      </c>
      <c r="I146">
        <v>4.956363636363637</v>
      </c>
      <c r="K146" s="38" t="s">
        <v>209</v>
      </c>
      <c r="L146" s="38" t="s">
        <v>209</v>
      </c>
      <c r="N146">
        <v>24</v>
      </c>
      <c r="O146">
        <v>21</v>
      </c>
      <c r="Q146" s="38" t="s">
        <v>550</v>
      </c>
      <c r="R146" t="s">
        <v>209</v>
      </c>
    </row>
    <row r="147" spans="1:18" x14ac:dyDescent="0.35">
      <c r="A147" s="103" t="str">
        <f t="shared" si="4"/>
        <v>Titanium alloys Market Mix</v>
      </c>
      <c r="B147" t="s">
        <v>385</v>
      </c>
      <c r="C147" t="s">
        <v>453</v>
      </c>
      <c r="D147" t="s">
        <v>496</v>
      </c>
      <c r="E147">
        <v>512.72</v>
      </c>
      <c r="F147">
        <v>588.96</v>
      </c>
      <c r="H147">
        <v>34.567999999999998</v>
      </c>
      <c r="I147">
        <v>39.907000000000004</v>
      </c>
      <c r="K147" s="38" t="s">
        <v>209</v>
      </c>
      <c r="L147" s="38" t="s">
        <v>209</v>
      </c>
      <c r="N147">
        <v>24</v>
      </c>
      <c r="O147">
        <v>21</v>
      </c>
      <c r="Q147" s="38" t="s">
        <v>539</v>
      </c>
      <c r="R147" t="s">
        <v>209</v>
      </c>
    </row>
    <row r="148" spans="1:18" x14ac:dyDescent="0.35">
      <c r="A148" s="103" t="str">
        <f t="shared" si="4"/>
        <v>Titanium alloys Primary</v>
      </c>
      <c r="B148" t="s">
        <v>385</v>
      </c>
      <c r="C148" t="s">
        <v>453</v>
      </c>
      <c r="D148" t="s">
        <v>405</v>
      </c>
      <c r="E148">
        <v>650</v>
      </c>
      <c r="F148">
        <v>720</v>
      </c>
      <c r="H148">
        <v>44</v>
      </c>
      <c r="I148">
        <v>49</v>
      </c>
      <c r="K148" s="38" t="s">
        <v>209</v>
      </c>
      <c r="L148" s="38" t="s">
        <v>209</v>
      </c>
      <c r="N148">
        <v>24</v>
      </c>
      <c r="O148">
        <v>21</v>
      </c>
      <c r="Q148" s="38" t="s">
        <v>539</v>
      </c>
      <c r="R148" t="s">
        <v>209</v>
      </c>
    </row>
    <row r="149" spans="1:18" x14ac:dyDescent="0.35">
      <c r="A149" s="103" t="str">
        <f t="shared" si="4"/>
        <v>Titanium alloys Secondary</v>
      </c>
      <c r="B149" t="s">
        <v>385</v>
      </c>
      <c r="C149" t="s">
        <v>453</v>
      </c>
      <c r="D149" t="s">
        <v>495</v>
      </c>
      <c r="E149">
        <v>78</v>
      </c>
      <c r="F149">
        <v>96</v>
      </c>
      <c r="H149">
        <v>4.7</v>
      </c>
      <c r="I149">
        <v>5.7</v>
      </c>
      <c r="K149" s="38" t="s">
        <v>209</v>
      </c>
      <c r="L149" s="38" t="s">
        <v>209</v>
      </c>
      <c r="N149">
        <v>24</v>
      </c>
      <c r="O149">
        <v>21</v>
      </c>
      <c r="Q149" s="38" t="s">
        <v>539</v>
      </c>
      <c r="R149" t="s">
        <v>209</v>
      </c>
    </row>
    <row r="150" spans="1:18" x14ac:dyDescent="0.35">
      <c r="A150" s="103" t="str">
        <f t="shared" si="4"/>
        <v>Titanium, commerically pure Market Mix</v>
      </c>
      <c r="B150" t="s">
        <v>385</v>
      </c>
      <c r="C150" t="s">
        <v>549</v>
      </c>
      <c r="D150" t="s">
        <v>496</v>
      </c>
      <c r="E150" s="38">
        <v>577</v>
      </c>
      <c r="F150" s="38">
        <v>577</v>
      </c>
      <c r="G150" s="38"/>
      <c r="H150" s="38">
        <v>39.049999999999997</v>
      </c>
      <c r="I150" s="38">
        <v>39.049999999999997</v>
      </c>
      <c r="K150" s="38" t="s">
        <v>209</v>
      </c>
      <c r="L150" s="38" t="s">
        <v>209</v>
      </c>
      <c r="N150">
        <v>0</v>
      </c>
      <c r="O150">
        <v>0</v>
      </c>
      <c r="Q150" s="38" t="s">
        <v>550</v>
      </c>
      <c r="R150" t="s">
        <v>209</v>
      </c>
    </row>
    <row r="151" spans="1:18" x14ac:dyDescent="0.35">
      <c r="A151" s="103" t="str">
        <f t="shared" si="4"/>
        <v>Titanium, commerically pure Primary</v>
      </c>
      <c r="B151" t="s">
        <v>385</v>
      </c>
      <c r="C151" t="s">
        <v>549</v>
      </c>
      <c r="D151" t="s">
        <v>405</v>
      </c>
      <c r="E151" s="38">
        <v>577</v>
      </c>
      <c r="F151" s="38">
        <v>577</v>
      </c>
      <c r="G151" s="38"/>
      <c r="H151" s="38">
        <v>39.049999999999997</v>
      </c>
      <c r="I151" s="38">
        <v>39.049999999999997</v>
      </c>
      <c r="K151" s="38" t="s">
        <v>209</v>
      </c>
      <c r="L151" s="38" t="s">
        <v>209</v>
      </c>
      <c r="N151">
        <v>0</v>
      </c>
      <c r="O151">
        <v>0</v>
      </c>
      <c r="Q151" s="38" t="s">
        <v>550</v>
      </c>
      <c r="R151" t="s">
        <v>209</v>
      </c>
    </row>
    <row r="152" spans="1:18" x14ac:dyDescent="0.35">
      <c r="A152" s="103" t="str">
        <f t="shared" si="4"/>
        <v>Titanium, commerically pure Secondary</v>
      </c>
      <c r="B152" t="s">
        <v>385</v>
      </c>
      <c r="C152" t="s">
        <v>549</v>
      </c>
      <c r="D152" t="s">
        <v>495</v>
      </c>
      <c r="E152" s="38">
        <v>577</v>
      </c>
      <c r="F152" s="38">
        <v>577</v>
      </c>
      <c r="G152" s="38"/>
      <c r="H152" s="38">
        <v>39.049999999999997</v>
      </c>
      <c r="I152" s="38">
        <v>39.049999999999997</v>
      </c>
      <c r="K152" s="38" t="s">
        <v>209</v>
      </c>
      <c r="L152" s="38" t="s">
        <v>209</v>
      </c>
      <c r="N152">
        <v>0</v>
      </c>
      <c r="O152">
        <v>0</v>
      </c>
      <c r="Q152" s="38" t="s">
        <v>550</v>
      </c>
      <c r="R152" t="s">
        <v>209</v>
      </c>
    </row>
    <row r="153" spans="1:18" x14ac:dyDescent="0.35">
      <c r="A153" s="103" t="str">
        <f t="shared" si="4"/>
        <v>Tungsten carbide Market Mix</v>
      </c>
      <c r="B153" t="s">
        <v>387</v>
      </c>
      <c r="C153" t="s">
        <v>552</v>
      </c>
      <c r="D153" t="s">
        <v>496</v>
      </c>
      <c r="E153" s="38">
        <v>545</v>
      </c>
      <c r="F153" s="38">
        <v>610</v>
      </c>
      <c r="G153" s="38"/>
      <c r="H153" s="38">
        <v>36</v>
      </c>
      <c r="I153" s="38">
        <v>40</v>
      </c>
      <c r="K153" s="38" t="s">
        <v>209</v>
      </c>
      <c r="L153" s="38" t="s">
        <v>209</v>
      </c>
      <c r="N153">
        <v>0</v>
      </c>
      <c r="O153">
        <v>0</v>
      </c>
      <c r="Q153" s="38" t="s">
        <v>545</v>
      </c>
      <c r="R153" t="s">
        <v>209</v>
      </c>
    </row>
    <row r="154" spans="1:18" x14ac:dyDescent="0.35">
      <c r="A154" s="103" t="str">
        <f t="shared" si="4"/>
        <v>Tungsten carbide Primary</v>
      </c>
      <c r="B154" t="s">
        <v>387</v>
      </c>
      <c r="C154" t="s">
        <v>552</v>
      </c>
      <c r="D154" t="s">
        <v>405</v>
      </c>
      <c r="E154" s="38">
        <v>545</v>
      </c>
      <c r="F154" s="38">
        <v>610</v>
      </c>
      <c r="G154" s="38"/>
      <c r="H154" s="38">
        <v>36</v>
      </c>
      <c r="I154" s="38">
        <v>40</v>
      </c>
      <c r="K154" s="38" t="s">
        <v>209</v>
      </c>
      <c r="L154" s="38" t="s">
        <v>209</v>
      </c>
      <c r="N154">
        <v>0</v>
      </c>
      <c r="O154">
        <v>0</v>
      </c>
      <c r="Q154" s="38" t="s">
        <v>545</v>
      </c>
      <c r="R154" t="s">
        <v>209</v>
      </c>
    </row>
    <row r="155" spans="1:18" x14ac:dyDescent="0.35">
      <c r="A155" s="103" t="str">
        <f t="shared" si="4"/>
        <v>Tungsten carbide Secondary</v>
      </c>
      <c r="B155" t="s">
        <v>387</v>
      </c>
      <c r="C155" t="s">
        <v>552</v>
      </c>
      <c r="D155" t="s">
        <v>495</v>
      </c>
      <c r="E155" s="38">
        <v>545</v>
      </c>
      <c r="F155" s="38">
        <v>610</v>
      </c>
      <c r="G155" s="38"/>
      <c r="H155" s="38">
        <v>36</v>
      </c>
      <c r="I155" s="38">
        <v>40</v>
      </c>
      <c r="K155" s="38" t="s">
        <v>209</v>
      </c>
      <c r="L155" s="38" t="s">
        <v>209</v>
      </c>
      <c r="N155">
        <v>0</v>
      </c>
      <c r="O155">
        <v>0</v>
      </c>
      <c r="Q155" s="38" t="s">
        <v>545</v>
      </c>
      <c r="R155" t="s">
        <v>209</v>
      </c>
    </row>
    <row r="156" spans="1:18" x14ac:dyDescent="0.35">
      <c r="A156" s="103" t="str">
        <f t="shared" si="4"/>
        <v>ULTEM 9085 - Pellets Market Mix</v>
      </c>
      <c r="B156" t="s">
        <v>396</v>
      </c>
      <c r="C156" t="s">
        <v>283</v>
      </c>
      <c r="D156" t="s">
        <v>496</v>
      </c>
      <c r="E156" s="38">
        <v>105</v>
      </c>
      <c r="F156" s="38">
        <v>345</v>
      </c>
      <c r="G156" s="38"/>
      <c r="H156" s="38">
        <v>5.8</v>
      </c>
      <c r="I156" s="38">
        <v>19.2</v>
      </c>
      <c r="K156" s="38">
        <f>13500/(1000000/(1055.06*2.20462))</f>
        <v>31.401086092199996</v>
      </c>
      <c r="L156" s="38">
        <v>0.75</v>
      </c>
      <c r="N156">
        <v>0</v>
      </c>
      <c r="O156">
        <v>0</v>
      </c>
      <c r="Q156" s="38" t="s">
        <v>545</v>
      </c>
      <c r="R156" t="s">
        <v>687</v>
      </c>
    </row>
    <row r="157" spans="1:18" x14ac:dyDescent="0.35">
      <c r="A157" s="103" t="str">
        <f t="shared" si="4"/>
        <v>ULTEM 9085 - Pellets Primary</v>
      </c>
      <c r="B157" t="s">
        <v>396</v>
      </c>
      <c r="C157" t="s">
        <v>283</v>
      </c>
      <c r="D157" t="s">
        <v>405</v>
      </c>
      <c r="E157" s="38">
        <v>105</v>
      </c>
      <c r="F157" s="38">
        <v>345</v>
      </c>
      <c r="G157" s="38"/>
      <c r="H157" s="38">
        <v>5.8</v>
      </c>
      <c r="I157" s="38">
        <v>19.2</v>
      </c>
      <c r="K157" s="38">
        <f>K156</f>
        <v>31.401086092199996</v>
      </c>
      <c r="L157" s="38">
        <v>0.75</v>
      </c>
      <c r="N157">
        <v>0</v>
      </c>
      <c r="O157">
        <v>0</v>
      </c>
      <c r="Q157" s="38" t="s">
        <v>545</v>
      </c>
      <c r="R157" t="s">
        <v>687</v>
      </c>
    </row>
    <row r="158" spans="1:18" x14ac:dyDescent="0.35">
      <c r="A158" s="103" t="str">
        <f t="shared" si="4"/>
        <v>ULTEM 9085 - Pellets Secondary</v>
      </c>
      <c r="B158" t="s">
        <v>396</v>
      </c>
      <c r="C158" t="s">
        <v>283</v>
      </c>
      <c r="D158" t="s">
        <v>495</v>
      </c>
      <c r="E158" s="38">
        <v>105</v>
      </c>
      <c r="F158" s="38">
        <v>345</v>
      </c>
      <c r="G158" s="38"/>
      <c r="H158" s="38">
        <v>5.8</v>
      </c>
      <c r="I158" s="38">
        <v>19.2</v>
      </c>
      <c r="K158" s="38">
        <f>K157</f>
        <v>31.401086092199996</v>
      </c>
      <c r="L158" s="38">
        <v>0.75</v>
      </c>
      <c r="N158">
        <v>0</v>
      </c>
      <c r="O158">
        <v>0</v>
      </c>
      <c r="Q158" s="38" t="s">
        <v>545</v>
      </c>
      <c r="R158" t="s">
        <v>687</v>
      </c>
    </row>
    <row r="159" spans="1:18" x14ac:dyDescent="0.35">
      <c r="A159" s="103" t="str">
        <f t="shared" si="4"/>
        <v>Wood Flour Market Mix</v>
      </c>
      <c r="B159" t="s">
        <v>386</v>
      </c>
      <c r="C159" t="s">
        <v>467</v>
      </c>
      <c r="D159" t="s">
        <v>496</v>
      </c>
      <c r="E159" s="38">
        <v>0</v>
      </c>
      <c r="F159" s="38">
        <v>0</v>
      </c>
      <c r="G159" s="38"/>
      <c r="H159" s="38">
        <v>0</v>
      </c>
      <c r="I159" s="38">
        <v>0</v>
      </c>
      <c r="K159" s="38" t="s">
        <v>209</v>
      </c>
      <c r="L159" s="38" t="s">
        <v>209</v>
      </c>
      <c r="N159">
        <v>0</v>
      </c>
      <c r="O159">
        <v>0</v>
      </c>
      <c r="R159" t="s">
        <v>209</v>
      </c>
    </row>
    <row r="160" spans="1:18" x14ac:dyDescent="0.35">
      <c r="A160" s="103" t="str">
        <f t="shared" si="4"/>
        <v>Wood Flour Primary</v>
      </c>
      <c r="B160" t="s">
        <v>386</v>
      </c>
      <c r="C160" t="s">
        <v>467</v>
      </c>
      <c r="D160" t="s">
        <v>405</v>
      </c>
      <c r="E160" s="38">
        <v>0</v>
      </c>
      <c r="F160" s="38">
        <v>0</v>
      </c>
      <c r="G160" s="38"/>
      <c r="H160" s="38">
        <v>0</v>
      </c>
      <c r="I160" s="38">
        <v>0</v>
      </c>
      <c r="K160" s="38" t="s">
        <v>209</v>
      </c>
      <c r="L160" s="38" t="s">
        <v>209</v>
      </c>
      <c r="N160">
        <v>0</v>
      </c>
      <c r="O160">
        <v>0</v>
      </c>
      <c r="R160" t="s">
        <v>209</v>
      </c>
    </row>
    <row r="161" spans="1:18" x14ac:dyDescent="0.35">
      <c r="A161" s="103" t="str">
        <f t="shared" si="4"/>
        <v>Wood Flour Secondary</v>
      </c>
      <c r="B161" t="s">
        <v>386</v>
      </c>
      <c r="C161" t="s">
        <v>467</v>
      </c>
      <c r="D161" t="s">
        <v>495</v>
      </c>
      <c r="E161" s="38">
        <v>0</v>
      </c>
      <c r="F161" s="38">
        <v>0</v>
      </c>
      <c r="G161" s="38"/>
      <c r="H161" s="38">
        <v>0</v>
      </c>
      <c r="I161" s="38">
        <v>0</v>
      </c>
      <c r="K161" s="38" t="s">
        <v>209</v>
      </c>
      <c r="L161" s="38" t="s">
        <v>209</v>
      </c>
      <c r="N161">
        <v>0</v>
      </c>
      <c r="O161">
        <v>0</v>
      </c>
      <c r="R161" t="s">
        <v>209</v>
      </c>
    </row>
    <row r="162" spans="1:18" x14ac:dyDescent="0.35">
      <c r="A162" s="103" t="str">
        <f t="shared" si="4"/>
        <v>Zinc die-casting alloys Market Mix</v>
      </c>
      <c r="B162" t="s">
        <v>385</v>
      </c>
      <c r="C162" t="s">
        <v>301</v>
      </c>
      <c r="D162" t="s">
        <v>496</v>
      </c>
      <c r="E162">
        <v>45.25</v>
      </c>
      <c r="F162">
        <v>52.290000000000006</v>
      </c>
      <c r="H162">
        <v>3.0799999999999996</v>
      </c>
      <c r="I162">
        <v>3.5481999999999996</v>
      </c>
      <c r="K162" s="38" t="s">
        <v>209</v>
      </c>
      <c r="L162" s="38" t="s">
        <v>209</v>
      </c>
      <c r="N162">
        <v>25</v>
      </c>
      <c r="O162">
        <v>21</v>
      </c>
      <c r="Q162" s="38" t="s">
        <v>539</v>
      </c>
      <c r="R162" t="s">
        <v>209</v>
      </c>
    </row>
    <row r="163" spans="1:18" x14ac:dyDescent="0.35">
      <c r="A163" s="103" t="str">
        <f t="shared" ref="A163:A170" si="5">C163&amp; " "&amp;D163</f>
        <v>Zinc die-casting alloys Primary</v>
      </c>
      <c r="B163" t="s">
        <v>385</v>
      </c>
      <c r="C163" t="s">
        <v>301</v>
      </c>
      <c r="D163" t="s">
        <v>405</v>
      </c>
      <c r="E163">
        <v>57</v>
      </c>
      <c r="F163">
        <v>63</v>
      </c>
      <c r="H163">
        <v>3.9</v>
      </c>
      <c r="I163">
        <v>4.3</v>
      </c>
      <c r="K163" s="38" t="s">
        <v>209</v>
      </c>
      <c r="L163" s="38" t="s">
        <v>209</v>
      </c>
      <c r="N163">
        <v>25</v>
      </c>
      <c r="O163">
        <v>21</v>
      </c>
      <c r="Q163" s="38" t="s">
        <v>539</v>
      </c>
      <c r="R163" t="s">
        <v>209</v>
      </c>
    </row>
    <row r="164" spans="1:18" x14ac:dyDescent="0.35">
      <c r="A164" s="103" t="str">
        <f t="shared" si="5"/>
        <v>Zinc die-casting alloys Secondary</v>
      </c>
      <c r="B164" t="s">
        <v>385</v>
      </c>
      <c r="C164" t="s">
        <v>301</v>
      </c>
      <c r="D164" t="s">
        <v>495</v>
      </c>
      <c r="E164">
        <v>10</v>
      </c>
      <c r="F164">
        <v>12</v>
      </c>
      <c r="H164">
        <v>0.62</v>
      </c>
      <c r="I164">
        <v>0.72</v>
      </c>
      <c r="K164" s="38" t="s">
        <v>209</v>
      </c>
      <c r="L164" s="38" t="s">
        <v>209</v>
      </c>
      <c r="N164">
        <v>25</v>
      </c>
      <c r="O164">
        <v>21</v>
      </c>
      <c r="Q164" s="38" t="s">
        <v>539</v>
      </c>
      <c r="R164" t="s">
        <v>209</v>
      </c>
    </row>
    <row r="165" spans="1:18" x14ac:dyDescent="0.35">
      <c r="A165" s="103" t="str">
        <f t="shared" si="5"/>
        <v>Zinc Market Mix</v>
      </c>
      <c r="B165" t="s">
        <v>385</v>
      </c>
      <c r="C165" t="s">
        <v>34</v>
      </c>
      <c r="D165" t="s">
        <v>496</v>
      </c>
      <c r="E165" s="38">
        <v>51</v>
      </c>
      <c r="F165" s="38">
        <v>51</v>
      </c>
      <c r="G165" s="38"/>
      <c r="H165" s="38">
        <v>4.93</v>
      </c>
      <c r="I165" s="38">
        <v>4.93</v>
      </c>
      <c r="K165" s="38" t="s">
        <v>209</v>
      </c>
      <c r="L165" s="38" t="s">
        <v>209</v>
      </c>
      <c r="N165">
        <v>0</v>
      </c>
      <c r="O165">
        <v>0</v>
      </c>
      <c r="Q165" s="38" t="s">
        <v>541</v>
      </c>
      <c r="R165" t="s">
        <v>209</v>
      </c>
    </row>
    <row r="166" spans="1:18" x14ac:dyDescent="0.35">
      <c r="A166" s="103" t="str">
        <f t="shared" si="5"/>
        <v>Zinc Primary</v>
      </c>
      <c r="B166" t="s">
        <v>385</v>
      </c>
      <c r="C166" t="s">
        <v>34</v>
      </c>
      <c r="D166" t="s">
        <v>405</v>
      </c>
      <c r="E166" s="38">
        <v>51</v>
      </c>
      <c r="F166" s="38">
        <v>51</v>
      </c>
      <c r="G166" s="38"/>
      <c r="H166" s="38">
        <v>4.93</v>
      </c>
      <c r="I166" s="38">
        <v>4.93</v>
      </c>
      <c r="K166" s="38" t="s">
        <v>209</v>
      </c>
      <c r="L166" s="38" t="s">
        <v>209</v>
      </c>
      <c r="N166">
        <v>0</v>
      </c>
      <c r="O166">
        <v>0</v>
      </c>
      <c r="Q166" s="38" t="s">
        <v>541</v>
      </c>
      <c r="R166" t="s">
        <v>209</v>
      </c>
    </row>
    <row r="167" spans="1:18" x14ac:dyDescent="0.35">
      <c r="A167" s="103" t="str">
        <f t="shared" si="5"/>
        <v>Zinc Secondary</v>
      </c>
      <c r="B167" t="s">
        <v>385</v>
      </c>
      <c r="C167" t="s">
        <v>34</v>
      </c>
      <c r="D167" t="s">
        <v>495</v>
      </c>
      <c r="E167" s="38">
        <v>51</v>
      </c>
      <c r="F167" s="38">
        <v>51</v>
      </c>
      <c r="G167" s="38"/>
      <c r="H167" s="38">
        <v>4.93</v>
      </c>
      <c r="I167" s="38">
        <v>4.93</v>
      </c>
      <c r="K167" s="38" t="s">
        <v>209</v>
      </c>
      <c r="L167" s="38" t="s">
        <v>209</v>
      </c>
      <c r="N167">
        <v>0</v>
      </c>
      <c r="O167">
        <v>0</v>
      </c>
      <c r="Q167" s="38" t="s">
        <v>541</v>
      </c>
      <c r="R167" t="s">
        <v>209</v>
      </c>
    </row>
    <row r="168" spans="1:18" x14ac:dyDescent="0.35">
      <c r="A168" s="103" t="str">
        <f t="shared" si="5"/>
        <v>Zirconia Market Mix</v>
      </c>
      <c r="B168" t="s">
        <v>387</v>
      </c>
      <c r="C168" t="s">
        <v>553</v>
      </c>
      <c r="D168" t="s">
        <v>496</v>
      </c>
      <c r="E168" s="38">
        <v>89.5</v>
      </c>
      <c r="F168" s="38">
        <v>89.5</v>
      </c>
      <c r="G168" s="38"/>
      <c r="H168" s="38">
        <v>4.83</v>
      </c>
      <c r="I168" s="38">
        <v>4.83</v>
      </c>
      <c r="K168" s="38" t="s">
        <v>209</v>
      </c>
      <c r="L168" s="38" t="s">
        <v>209</v>
      </c>
      <c r="N168">
        <v>0</v>
      </c>
      <c r="O168">
        <v>0</v>
      </c>
      <c r="Q168" s="38" t="s">
        <v>554</v>
      </c>
      <c r="R168" t="s">
        <v>209</v>
      </c>
    </row>
    <row r="169" spans="1:18" x14ac:dyDescent="0.35">
      <c r="A169" s="103" t="str">
        <f t="shared" si="5"/>
        <v>Zirconia Primary</v>
      </c>
      <c r="B169" t="s">
        <v>387</v>
      </c>
      <c r="C169" t="s">
        <v>553</v>
      </c>
      <c r="D169" t="s">
        <v>405</v>
      </c>
      <c r="E169" s="38">
        <v>89.5</v>
      </c>
      <c r="F169" s="38">
        <v>89.5</v>
      </c>
      <c r="G169" s="38"/>
      <c r="H169" s="38">
        <v>4.83</v>
      </c>
      <c r="I169" s="38">
        <v>4.83</v>
      </c>
      <c r="K169" s="38" t="s">
        <v>209</v>
      </c>
      <c r="L169" s="38" t="s">
        <v>209</v>
      </c>
      <c r="N169">
        <v>0</v>
      </c>
      <c r="O169">
        <v>0</v>
      </c>
      <c r="Q169" s="38" t="s">
        <v>554</v>
      </c>
      <c r="R169" t="s">
        <v>209</v>
      </c>
    </row>
    <row r="170" spans="1:18" x14ac:dyDescent="0.35">
      <c r="A170" s="103" t="str">
        <f t="shared" si="5"/>
        <v>Zirconia Secondary</v>
      </c>
      <c r="B170" t="s">
        <v>387</v>
      </c>
      <c r="C170" t="s">
        <v>553</v>
      </c>
      <c r="D170" t="s">
        <v>495</v>
      </c>
      <c r="E170" s="38">
        <v>89.5</v>
      </c>
      <c r="F170" s="38">
        <v>89.5</v>
      </c>
      <c r="G170" s="38"/>
      <c r="H170" s="38">
        <v>4.83</v>
      </c>
      <c r="I170" s="38">
        <v>4.83</v>
      </c>
      <c r="K170" s="38" t="s">
        <v>209</v>
      </c>
      <c r="L170" s="38" t="s">
        <v>209</v>
      </c>
      <c r="N170">
        <v>0</v>
      </c>
      <c r="O170">
        <v>0</v>
      </c>
      <c r="Q170" s="38" t="s">
        <v>554</v>
      </c>
      <c r="R170" t="s">
        <v>209</v>
      </c>
    </row>
  </sheetData>
  <sheetProtection algorithmName="SHA-512" hashValue="MGjrmTH0Uvpvbegy0+995iCCZG9T8MqrgKd3VMA22j52UidGyi9li0hGiWiUMRFTFRridrgffkV5YFB//9RLNQ==" saltValue="k7gFm35/bJTnOvk6DNhK4w==" spinCount="100000" sheet="1" objects="1" scenarios="1"/>
  <sortState xmlns:xlrd2="http://schemas.microsoft.com/office/spreadsheetml/2017/richdata2" ref="A3:Q170">
    <sortCondition ref="A3:A170"/>
  </sortState>
  <mergeCells count="3">
    <mergeCell ref="N1:O1"/>
    <mergeCell ref="E1:F1"/>
    <mergeCell ref="H1:I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7BFEF-51A3-4A55-893D-C0000F5F034C}">
  <sheetPr codeName="Sheet23">
    <tabColor theme="4"/>
  </sheetPr>
  <dimension ref="A1:H17"/>
  <sheetViews>
    <sheetView workbookViewId="0">
      <selection activeCell="N38" sqref="N38"/>
    </sheetView>
  </sheetViews>
  <sheetFormatPr defaultRowHeight="14.5" x14ac:dyDescent="0.35"/>
  <cols>
    <col min="1" max="1" width="26.54296875" bestFit="1" customWidth="1"/>
    <col min="4" max="4" width="3.1796875" customWidth="1"/>
    <col min="7" max="7" width="4" customWidth="1"/>
    <col min="8" max="8" width="60.81640625" style="38" customWidth="1"/>
  </cols>
  <sheetData>
    <row r="1" spans="1:8" ht="53.15" customHeight="1" x14ac:dyDescent="0.45">
      <c r="A1" s="84"/>
      <c r="B1" s="532" t="s">
        <v>953</v>
      </c>
      <c r="C1" s="532"/>
      <c r="D1" s="84"/>
      <c r="E1" s="532" t="s">
        <v>954</v>
      </c>
      <c r="F1" s="532"/>
      <c r="G1" s="84"/>
      <c r="H1" s="84" t="s">
        <v>532</v>
      </c>
    </row>
    <row r="2" spans="1:8" x14ac:dyDescent="0.35">
      <c r="A2" s="83"/>
      <c r="B2" s="81" t="s">
        <v>438</v>
      </c>
      <c r="C2" s="81" t="s">
        <v>439</v>
      </c>
      <c r="D2" s="83"/>
      <c r="E2" s="81" t="s">
        <v>438</v>
      </c>
      <c r="F2" s="81" t="s">
        <v>439</v>
      </c>
      <c r="G2" s="83"/>
      <c r="H2" s="83"/>
    </row>
    <row r="3" spans="1:8" x14ac:dyDescent="0.35">
      <c r="A3" t="s">
        <v>480</v>
      </c>
      <c r="B3" s="38">
        <v>20</v>
      </c>
      <c r="C3" s="38">
        <v>30</v>
      </c>
      <c r="D3" s="38"/>
      <c r="E3" s="38">
        <v>1</v>
      </c>
      <c r="F3" s="38">
        <v>2.23</v>
      </c>
      <c r="H3" s="38" t="s">
        <v>539</v>
      </c>
    </row>
    <row r="4" spans="1:8" x14ac:dyDescent="0.35">
      <c r="A4" t="s">
        <v>481</v>
      </c>
      <c r="B4" s="38">
        <v>0</v>
      </c>
      <c r="C4" s="38">
        <v>0</v>
      </c>
      <c r="D4" s="38"/>
      <c r="E4" s="38">
        <v>0</v>
      </c>
      <c r="F4" s="38">
        <v>0</v>
      </c>
      <c r="H4" s="38" t="s">
        <v>566</v>
      </c>
    </row>
    <row r="5" spans="1:8" x14ac:dyDescent="0.35">
      <c r="A5" t="s">
        <v>482</v>
      </c>
      <c r="B5" s="38">
        <v>40</v>
      </c>
      <c r="C5" s="38">
        <v>40</v>
      </c>
      <c r="D5" s="38"/>
      <c r="E5" s="38">
        <v>3.3</v>
      </c>
      <c r="F5" s="38">
        <v>3.3</v>
      </c>
      <c r="H5" s="38" t="s">
        <v>558</v>
      </c>
    </row>
    <row r="6" spans="1:8" x14ac:dyDescent="0.35">
      <c r="A6" t="s">
        <v>483</v>
      </c>
      <c r="B6" s="38">
        <v>38.1</v>
      </c>
      <c r="C6" s="38">
        <v>42</v>
      </c>
      <c r="D6" s="38"/>
      <c r="E6" s="38">
        <v>3.05</v>
      </c>
      <c r="F6" s="38">
        <v>3.36</v>
      </c>
      <c r="H6" s="38" t="s">
        <v>539</v>
      </c>
    </row>
    <row r="7" spans="1:8" x14ac:dyDescent="0.35">
      <c r="A7" t="s">
        <v>484</v>
      </c>
      <c r="B7" s="38">
        <v>18.215999999999998</v>
      </c>
      <c r="C7" s="38">
        <v>18.215999999999998</v>
      </c>
      <c r="D7" s="38"/>
      <c r="E7" s="38">
        <v>1.4623399999999998</v>
      </c>
      <c r="F7" s="38">
        <v>1.4623399999999998</v>
      </c>
      <c r="H7" s="38" t="s">
        <v>559</v>
      </c>
    </row>
    <row r="8" spans="1:8" x14ac:dyDescent="0.35">
      <c r="A8" t="s">
        <v>485</v>
      </c>
      <c r="B8" s="38">
        <v>2.48</v>
      </c>
      <c r="C8" s="38">
        <v>2.73</v>
      </c>
      <c r="D8" s="38"/>
      <c r="E8" s="38">
        <v>0.19800000000000001</v>
      </c>
      <c r="F8" s="38">
        <v>0.218</v>
      </c>
      <c r="H8" s="38" t="s">
        <v>539</v>
      </c>
    </row>
    <row r="9" spans="1:8" x14ac:dyDescent="0.35">
      <c r="A9" t="s">
        <v>486</v>
      </c>
      <c r="B9" s="38">
        <v>3.5</v>
      </c>
      <c r="C9" s="38">
        <v>12</v>
      </c>
      <c r="D9" s="38"/>
      <c r="E9" s="38">
        <v>0.27</v>
      </c>
      <c r="F9" s="38">
        <v>0.99</v>
      </c>
      <c r="H9" s="38" t="s">
        <v>539</v>
      </c>
    </row>
    <row r="10" spans="1:8" x14ac:dyDescent="0.35">
      <c r="A10" t="s">
        <v>487</v>
      </c>
      <c r="B10" s="38">
        <v>2.5995200000000001</v>
      </c>
      <c r="C10" s="38">
        <v>2.5995200000000001</v>
      </c>
      <c r="D10" s="38"/>
      <c r="E10" s="38">
        <v>0.27619899999999997</v>
      </c>
      <c r="F10" s="38">
        <v>0.27619899999999997</v>
      </c>
      <c r="H10" s="38" t="s">
        <v>560</v>
      </c>
    </row>
    <row r="11" spans="1:8" x14ac:dyDescent="0.35">
      <c r="A11" t="s">
        <v>488</v>
      </c>
      <c r="B11" s="38">
        <v>0</v>
      </c>
      <c r="C11" s="38">
        <v>0</v>
      </c>
      <c r="D11" s="38"/>
      <c r="E11" s="38">
        <v>0</v>
      </c>
      <c r="F11" s="38">
        <v>0</v>
      </c>
      <c r="H11" s="38" t="s">
        <v>565</v>
      </c>
    </row>
    <row r="12" spans="1:8" x14ac:dyDescent="0.35">
      <c r="A12" t="s">
        <v>489</v>
      </c>
      <c r="B12" s="38">
        <v>20</v>
      </c>
      <c r="C12" s="38">
        <v>40</v>
      </c>
      <c r="D12" s="38"/>
      <c r="E12" s="38">
        <v>1</v>
      </c>
      <c r="F12" s="38">
        <v>2</v>
      </c>
      <c r="H12" s="38" t="s">
        <v>539</v>
      </c>
    </row>
    <row r="13" spans="1:8" x14ac:dyDescent="0.35">
      <c r="A13" t="s">
        <v>490</v>
      </c>
      <c r="B13" s="38">
        <v>1</v>
      </c>
      <c r="C13" s="38">
        <v>55</v>
      </c>
      <c r="D13" s="38"/>
      <c r="E13" s="38">
        <v>1</v>
      </c>
      <c r="F13" s="38">
        <v>3.6</v>
      </c>
      <c r="H13" s="38" t="s">
        <v>561</v>
      </c>
    </row>
    <row r="14" spans="1:8" x14ac:dyDescent="0.35">
      <c r="A14" t="s">
        <v>491</v>
      </c>
      <c r="B14" s="38">
        <v>5.0999999999999996</v>
      </c>
      <c r="C14" s="38">
        <v>13.9</v>
      </c>
      <c r="D14" s="38"/>
      <c r="E14" s="38">
        <v>0.38</v>
      </c>
      <c r="F14" s="38">
        <v>1</v>
      </c>
      <c r="H14" s="38" t="s">
        <v>539</v>
      </c>
    </row>
    <row r="15" spans="1:8" x14ac:dyDescent="0.35">
      <c r="A15" t="s">
        <v>492</v>
      </c>
      <c r="B15" s="38">
        <v>0</v>
      </c>
      <c r="C15" s="38">
        <v>0</v>
      </c>
      <c r="D15" s="38"/>
      <c r="E15" s="38">
        <v>0</v>
      </c>
      <c r="F15" s="38">
        <v>0</v>
      </c>
      <c r="H15" s="38" t="s">
        <v>564</v>
      </c>
    </row>
    <row r="16" spans="1:8" x14ac:dyDescent="0.35">
      <c r="A16" t="s">
        <v>493</v>
      </c>
      <c r="B16" s="38">
        <v>3.6</v>
      </c>
      <c r="C16" s="38">
        <v>3.6</v>
      </c>
      <c r="D16" s="38"/>
      <c r="E16" s="38">
        <v>0.38</v>
      </c>
      <c r="F16" s="38">
        <v>0.38</v>
      </c>
      <c r="H16" s="38" t="s">
        <v>562</v>
      </c>
    </row>
    <row r="17" spans="1:8" x14ac:dyDescent="0.35">
      <c r="A17" t="s">
        <v>494</v>
      </c>
      <c r="B17" s="38">
        <v>14.2</v>
      </c>
      <c r="C17" s="38">
        <v>14.2</v>
      </c>
      <c r="D17" s="38"/>
      <c r="E17" s="38">
        <v>1.51</v>
      </c>
      <c r="F17" s="38">
        <v>1.51</v>
      </c>
      <c r="H17" s="38" t="s">
        <v>563</v>
      </c>
    </row>
  </sheetData>
  <sheetProtection algorithmName="SHA-512" hashValue="9eGhB+lcwlI/nPnEvDMdDSBkMh9PyHRXZ+E+ku2GJQcbXA4BwW8MhOgy83TnPqRSEkH0QCzY0fB9G9L16hK/bA==" saltValue="4B56YkBb7XgAk6/SepMIUg==" spinCount="100000" sheet="1" objects="1" scenarios="1"/>
  <mergeCells count="2">
    <mergeCell ref="B1:C1"/>
    <mergeCell ref="E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D81CE-7B0E-421F-B186-5495A1284526}">
  <sheetPr codeName="Sheet25">
    <tabColor theme="5"/>
  </sheetPr>
  <dimension ref="A1:S57"/>
  <sheetViews>
    <sheetView workbookViewId="0">
      <selection activeCell="C15" sqref="C15"/>
    </sheetView>
  </sheetViews>
  <sheetFormatPr defaultRowHeight="14.5" x14ac:dyDescent="0.35"/>
  <cols>
    <col min="1" max="1" width="23" customWidth="1"/>
    <col min="2" max="2" width="3.26953125" customWidth="1"/>
    <col min="3" max="3" width="12" bestFit="1" customWidth="1"/>
    <col min="5" max="5" width="4.26953125" customWidth="1"/>
    <col min="8" max="8" width="4.1796875" customWidth="1"/>
    <col min="9" max="9" width="11.453125" customWidth="1"/>
  </cols>
  <sheetData>
    <row r="1" spans="1:9" ht="42.65" customHeight="1" x14ac:dyDescent="0.45">
      <c r="A1" s="85" t="s">
        <v>894</v>
      </c>
      <c r="B1" s="85"/>
      <c r="C1" s="533" t="s">
        <v>953</v>
      </c>
      <c r="D1" s="533"/>
      <c r="E1" s="156"/>
      <c r="F1" s="533" t="s">
        <v>954</v>
      </c>
      <c r="G1" s="533"/>
      <c r="H1" s="85"/>
      <c r="I1" s="85" t="s">
        <v>573</v>
      </c>
    </row>
    <row r="2" spans="1:9" x14ac:dyDescent="0.35">
      <c r="A2" s="85" t="s">
        <v>896</v>
      </c>
      <c r="B2" s="85"/>
      <c r="C2" s="85" t="s">
        <v>438</v>
      </c>
      <c r="D2" s="85" t="s">
        <v>439</v>
      </c>
      <c r="E2" s="157"/>
      <c r="F2" s="85" t="s">
        <v>438</v>
      </c>
      <c r="G2" s="85" t="s">
        <v>439</v>
      </c>
      <c r="H2" s="85"/>
      <c r="I2" s="85"/>
    </row>
    <row r="3" spans="1:9" x14ac:dyDescent="0.35">
      <c r="A3" t="s">
        <v>388</v>
      </c>
      <c r="C3">
        <v>8</v>
      </c>
      <c r="D3">
        <v>12</v>
      </c>
      <c r="F3">
        <v>0.4</v>
      </c>
      <c r="G3">
        <v>0.6</v>
      </c>
      <c r="I3" s="38" t="s">
        <v>539</v>
      </c>
    </row>
    <row r="4" spans="1:9" x14ac:dyDescent="0.35">
      <c r="A4" t="s">
        <v>389</v>
      </c>
      <c r="C4">
        <v>3</v>
      </c>
      <c r="D4">
        <v>5</v>
      </c>
      <c r="F4">
        <v>0.15</v>
      </c>
      <c r="G4">
        <v>0.25</v>
      </c>
      <c r="I4" s="38" t="s">
        <v>539</v>
      </c>
    </row>
    <row r="5" spans="1:9" x14ac:dyDescent="0.35">
      <c r="A5" t="s">
        <v>390</v>
      </c>
      <c r="C5">
        <v>10</v>
      </c>
      <c r="D5">
        <v>20</v>
      </c>
      <c r="F5">
        <v>0.5</v>
      </c>
      <c r="G5">
        <v>1</v>
      </c>
      <c r="I5" s="38" t="s">
        <v>539</v>
      </c>
    </row>
    <row r="6" spans="1:9" x14ac:dyDescent="0.35">
      <c r="A6" t="s">
        <v>391</v>
      </c>
      <c r="C6">
        <v>20</v>
      </c>
      <c r="D6">
        <v>40</v>
      </c>
      <c r="F6">
        <v>1</v>
      </c>
      <c r="G6">
        <v>2</v>
      </c>
      <c r="I6" s="38" t="s">
        <v>539</v>
      </c>
    </row>
    <row r="7" spans="1:9" x14ac:dyDescent="0.35">
      <c r="A7" t="s">
        <v>392</v>
      </c>
      <c r="C7">
        <v>20</v>
      </c>
      <c r="D7">
        <v>30</v>
      </c>
      <c r="F7">
        <v>1</v>
      </c>
      <c r="G7">
        <v>1.5</v>
      </c>
      <c r="I7" s="38" t="s">
        <v>539</v>
      </c>
    </row>
    <row r="8" spans="1:9" x14ac:dyDescent="0.35">
      <c r="A8" t="s">
        <v>393</v>
      </c>
      <c r="C8">
        <v>40</v>
      </c>
      <c r="D8">
        <v>60</v>
      </c>
      <c r="F8">
        <v>2</v>
      </c>
      <c r="G8">
        <v>3</v>
      </c>
      <c r="I8" s="38" t="s">
        <v>539</v>
      </c>
    </row>
    <row r="9" spans="1:9" x14ac:dyDescent="0.35">
      <c r="A9" t="s">
        <v>394</v>
      </c>
      <c r="C9">
        <v>3.1</v>
      </c>
      <c r="D9">
        <v>5.4</v>
      </c>
      <c r="F9">
        <v>0.16</v>
      </c>
      <c r="G9">
        <v>0.27</v>
      </c>
      <c r="I9" s="38" t="s">
        <v>539</v>
      </c>
    </row>
    <row r="10" spans="1:9" x14ac:dyDescent="0.35">
      <c r="A10" t="s">
        <v>572</v>
      </c>
      <c r="C10">
        <v>11</v>
      </c>
      <c r="D10">
        <v>27</v>
      </c>
      <c r="F10">
        <v>0.55000000000000004</v>
      </c>
      <c r="G10">
        <v>1.4</v>
      </c>
      <c r="I10" s="38" t="s">
        <v>539</v>
      </c>
    </row>
    <row r="11" spans="1:9" x14ac:dyDescent="0.35">
      <c r="A11" t="s">
        <v>17</v>
      </c>
      <c r="C11">
        <v>2</v>
      </c>
      <c r="D11">
        <v>4</v>
      </c>
      <c r="F11">
        <v>0.1</v>
      </c>
      <c r="G11">
        <v>0.2</v>
      </c>
      <c r="I11" s="38" t="s">
        <v>539</v>
      </c>
    </row>
    <row r="12" spans="1:9" x14ac:dyDescent="0.35">
      <c r="A12" t="s">
        <v>397</v>
      </c>
      <c r="C12">
        <v>11</v>
      </c>
      <c r="D12">
        <v>16</v>
      </c>
      <c r="F12">
        <v>0.5</v>
      </c>
      <c r="G12">
        <v>1.6</v>
      </c>
      <c r="I12" s="38" t="s">
        <v>539</v>
      </c>
    </row>
    <row r="13" spans="1:9" x14ac:dyDescent="0.35">
      <c r="A13" t="s">
        <v>398</v>
      </c>
      <c r="C13">
        <v>14</v>
      </c>
      <c r="D13">
        <v>18</v>
      </c>
      <c r="F13">
        <v>0.7</v>
      </c>
      <c r="G13">
        <v>0.9</v>
      </c>
      <c r="I13" s="38" t="s">
        <v>539</v>
      </c>
    </row>
    <row r="14" spans="1:9" x14ac:dyDescent="0.35">
      <c r="A14" t="s">
        <v>399</v>
      </c>
      <c r="C14">
        <v>2.7</v>
      </c>
      <c r="D14">
        <v>4</v>
      </c>
      <c r="F14">
        <v>0.14000000000000001</v>
      </c>
      <c r="G14">
        <v>0.2</v>
      </c>
      <c r="I14" s="38" t="s">
        <v>539</v>
      </c>
    </row>
    <row r="15" spans="1:9" x14ac:dyDescent="0.35">
      <c r="A15" t="s">
        <v>400</v>
      </c>
      <c r="C15">
        <v>100</v>
      </c>
      <c r="D15">
        <v>300</v>
      </c>
      <c r="F15">
        <v>5</v>
      </c>
      <c r="G15">
        <v>15</v>
      </c>
      <c r="I15" s="38" t="s">
        <v>539</v>
      </c>
    </row>
    <row r="18" spans="1:9" ht="49.5" customHeight="1" x14ac:dyDescent="0.45">
      <c r="A18" s="85" t="s">
        <v>581</v>
      </c>
      <c r="B18" s="85"/>
      <c r="C18" s="533" t="s">
        <v>953</v>
      </c>
      <c r="D18" s="533"/>
      <c r="E18" s="156"/>
      <c r="F18" s="533" t="s">
        <v>954</v>
      </c>
      <c r="G18" s="533"/>
      <c r="H18" s="85"/>
      <c r="I18" s="85" t="s">
        <v>573</v>
      </c>
    </row>
    <row r="19" spans="1:9" x14ac:dyDescent="0.35">
      <c r="A19" s="85"/>
      <c r="B19" s="85"/>
      <c r="C19" s="85" t="s">
        <v>438</v>
      </c>
      <c r="D19" s="85" t="s">
        <v>439</v>
      </c>
      <c r="E19" s="157"/>
      <c r="F19" s="85" t="s">
        <v>438</v>
      </c>
      <c r="G19" s="85" t="s">
        <v>439</v>
      </c>
      <c r="H19" s="85"/>
      <c r="I19" s="85"/>
    </row>
    <row r="20" spans="1:9" x14ac:dyDescent="0.35">
      <c r="A20" t="s">
        <v>18</v>
      </c>
      <c r="C20">
        <v>0.8</v>
      </c>
      <c r="D20">
        <v>2.5</v>
      </c>
      <c r="F20">
        <v>0.06</v>
      </c>
      <c r="G20">
        <v>0.17</v>
      </c>
      <c r="H20" t="s">
        <v>582</v>
      </c>
      <c r="I20" s="38" t="s">
        <v>539</v>
      </c>
    </row>
    <row r="21" spans="1:9" x14ac:dyDescent="0.35">
      <c r="A21" t="s">
        <v>19</v>
      </c>
      <c r="C21">
        <v>6</v>
      </c>
      <c r="D21">
        <v>10</v>
      </c>
      <c r="F21">
        <v>0.4</v>
      </c>
      <c r="G21">
        <v>0.7</v>
      </c>
      <c r="H21" t="s">
        <v>582</v>
      </c>
      <c r="I21" s="38" t="s">
        <v>539</v>
      </c>
    </row>
    <row r="22" spans="1:9" x14ac:dyDescent="0.35">
      <c r="A22" t="s">
        <v>20</v>
      </c>
      <c r="C22">
        <v>25</v>
      </c>
      <c r="D22">
        <v>35</v>
      </c>
      <c r="F22">
        <v>1.8</v>
      </c>
      <c r="G22">
        <v>2.5</v>
      </c>
      <c r="H22" t="s">
        <v>582</v>
      </c>
      <c r="I22" s="38" t="s">
        <v>539</v>
      </c>
    </row>
    <row r="23" spans="1:9" x14ac:dyDescent="0.35">
      <c r="A23" t="s">
        <v>21</v>
      </c>
      <c r="C23">
        <v>500</v>
      </c>
      <c r="D23">
        <v>5000</v>
      </c>
      <c r="F23">
        <v>35</v>
      </c>
      <c r="G23">
        <v>350</v>
      </c>
      <c r="H23" t="s">
        <v>582</v>
      </c>
      <c r="I23" s="38" t="s">
        <v>539</v>
      </c>
    </row>
    <row r="24" spans="1:9" x14ac:dyDescent="0.35">
      <c r="A24" t="s">
        <v>22</v>
      </c>
      <c r="C24">
        <v>1</v>
      </c>
      <c r="D24">
        <v>2.8</v>
      </c>
      <c r="F24">
        <v>5.5E-2</v>
      </c>
      <c r="G24">
        <v>0.15</v>
      </c>
      <c r="H24" t="s">
        <v>6</v>
      </c>
      <c r="I24" s="38" t="s">
        <v>539</v>
      </c>
    </row>
    <row r="25" spans="1:9" x14ac:dyDescent="0.35">
      <c r="A25" t="s">
        <v>23</v>
      </c>
      <c r="C25">
        <v>1.7</v>
      </c>
      <c r="D25">
        <v>3.5</v>
      </c>
      <c r="F25">
        <v>0.12</v>
      </c>
      <c r="G25">
        <v>0.25</v>
      </c>
      <c r="H25" t="s">
        <v>6</v>
      </c>
      <c r="I25" s="38" t="s">
        <v>539</v>
      </c>
    </row>
    <row r="26" spans="1:9" x14ac:dyDescent="0.35">
      <c r="A26" t="s">
        <v>24</v>
      </c>
      <c r="C26">
        <v>0.02</v>
      </c>
      <c r="D26">
        <v>0.04</v>
      </c>
      <c r="F26">
        <v>1.5E-3</v>
      </c>
      <c r="G26">
        <v>3.0000000000000001E-3</v>
      </c>
      <c r="H26" t="s">
        <v>434</v>
      </c>
      <c r="I26" s="38" t="s">
        <v>539</v>
      </c>
    </row>
    <row r="27" spans="1:9" x14ac:dyDescent="0.35">
      <c r="A27" t="s">
        <v>25</v>
      </c>
      <c r="C27">
        <v>0.05</v>
      </c>
      <c r="D27">
        <v>0.1</v>
      </c>
      <c r="F27">
        <v>3.7000000000000002E-3</v>
      </c>
      <c r="G27">
        <v>7.4000000000000003E-3</v>
      </c>
      <c r="H27" t="s">
        <v>434</v>
      </c>
      <c r="I27" s="38" t="s">
        <v>539</v>
      </c>
    </row>
    <row r="28" spans="1:9" x14ac:dyDescent="0.35">
      <c r="A28" t="s">
        <v>26</v>
      </c>
      <c r="C28">
        <v>7</v>
      </c>
      <c r="D28">
        <v>14</v>
      </c>
      <c r="F28">
        <v>1.3</v>
      </c>
      <c r="G28">
        <v>2.8</v>
      </c>
      <c r="H28" t="s">
        <v>583</v>
      </c>
      <c r="I28" s="38" t="s">
        <v>539</v>
      </c>
    </row>
    <row r="29" spans="1:9" x14ac:dyDescent="0.35">
      <c r="A29" t="s">
        <v>27</v>
      </c>
      <c r="C29">
        <v>18</v>
      </c>
      <c r="D29">
        <v>40</v>
      </c>
      <c r="F29">
        <v>3.2</v>
      </c>
      <c r="G29">
        <v>7</v>
      </c>
      <c r="H29" t="s">
        <v>583</v>
      </c>
      <c r="I29" s="38" t="s">
        <v>539</v>
      </c>
    </row>
    <row r="30" spans="1:9" x14ac:dyDescent="0.35">
      <c r="A30" t="s">
        <v>28</v>
      </c>
      <c r="C30">
        <v>50</v>
      </c>
      <c r="D30">
        <v>60</v>
      </c>
      <c r="F30">
        <v>0.63</v>
      </c>
      <c r="G30">
        <v>9.5000000000000001E-2</v>
      </c>
      <c r="H30" t="s">
        <v>583</v>
      </c>
      <c r="I30" s="38" t="s">
        <v>539</v>
      </c>
    </row>
    <row r="31" spans="1:9" x14ac:dyDescent="0.35">
      <c r="A31" t="s">
        <v>29</v>
      </c>
      <c r="C31">
        <v>60</v>
      </c>
      <c r="D31">
        <v>70</v>
      </c>
      <c r="F31">
        <v>0.9</v>
      </c>
      <c r="G31">
        <v>1.3</v>
      </c>
      <c r="H31" t="s">
        <v>583</v>
      </c>
      <c r="I31" s="38" t="s">
        <v>539</v>
      </c>
    </row>
    <row r="32" spans="1:9" x14ac:dyDescent="0.35">
      <c r="A32" t="s">
        <v>30</v>
      </c>
      <c r="C32">
        <v>67</v>
      </c>
      <c r="D32">
        <v>86</v>
      </c>
      <c r="F32">
        <v>3.7</v>
      </c>
      <c r="G32">
        <v>4.5999999999999996</v>
      </c>
      <c r="H32" t="s">
        <v>583</v>
      </c>
      <c r="I32" s="38" t="s">
        <v>539</v>
      </c>
    </row>
    <row r="33" spans="1:19" x14ac:dyDescent="0.35">
      <c r="A33" t="s">
        <v>31</v>
      </c>
      <c r="C33">
        <v>80</v>
      </c>
      <c r="D33">
        <v>100</v>
      </c>
      <c r="F33">
        <v>4.4000000000000004</v>
      </c>
      <c r="G33">
        <v>5.3</v>
      </c>
      <c r="H33" t="s">
        <v>583</v>
      </c>
      <c r="I33" s="38" t="s">
        <v>539</v>
      </c>
    </row>
    <row r="40" spans="1:19" ht="15.75" customHeight="1" x14ac:dyDescent="0.35">
      <c r="A40" s="85" t="s">
        <v>166</v>
      </c>
      <c r="B40" s="85"/>
      <c r="C40" s="87" t="s">
        <v>748</v>
      </c>
      <c r="D40" s="87" t="s">
        <v>749</v>
      </c>
      <c r="E40" s="85"/>
      <c r="F40" s="87" t="s">
        <v>750</v>
      </c>
      <c r="G40" s="87" t="s">
        <v>557</v>
      </c>
      <c r="H40" s="85"/>
      <c r="I40" s="86" t="s">
        <v>532</v>
      </c>
      <c r="J40" s="86" t="s">
        <v>654</v>
      </c>
    </row>
    <row r="41" spans="1:19" ht="15.5" x14ac:dyDescent="0.35">
      <c r="A41" s="86" t="s">
        <v>60</v>
      </c>
      <c r="B41" s="85"/>
      <c r="C41" s="86" t="s">
        <v>438</v>
      </c>
      <c r="D41" s="86" t="s">
        <v>439</v>
      </c>
      <c r="E41" s="85"/>
      <c r="F41" s="86" t="s">
        <v>438</v>
      </c>
      <c r="G41" s="86" t="s">
        <v>439</v>
      </c>
      <c r="H41" s="85"/>
      <c r="I41" s="86"/>
      <c r="J41" s="86"/>
      <c r="S41" t="s">
        <v>14</v>
      </c>
    </row>
    <row r="42" spans="1:19" x14ac:dyDescent="0.35">
      <c r="A42" t="s">
        <v>760</v>
      </c>
      <c r="C42">
        <v>37.19</v>
      </c>
      <c r="D42">
        <v>37.19</v>
      </c>
      <c r="F42">
        <v>2.4900000000000002</v>
      </c>
      <c r="G42">
        <v>2.4900000000000002</v>
      </c>
      <c r="I42" t="s">
        <v>751</v>
      </c>
      <c r="J42" t="s">
        <v>757</v>
      </c>
      <c r="S42" t="s">
        <v>208</v>
      </c>
    </row>
    <row r="43" spans="1:19" x14ac:dyDescent="0.35">
      <c r="A43" t="s">
        <v>761</v>
      </c>
      <c r="C43">
        <f>36.5</f>
        <v>36.5</v>
      </c>
      <c r="D43">
        <f>36.5+92.6</f>
        <v>129.1</v>
      </c>
      <c r="F43">
        <f>2.7</f>
        <v>2.7</v>
      </c>
      <c r="G43">
        <f>2.7+6.77</f>
        <v>9.4699999999999989</v>
      </c>
      <c r="I43" t="s">
        <v>752</v>
      </c>
      <c r="S43" t="s">
        <v>760</v>
      </c>
    </row>
    <row r="44" spans="1:19" x14ac:dyDescent="0.35">
      <c r="A44" t="s">
        <v>762</v>
      </c>
      <c r="C44">
        <v>40</v>
      </c>
      <c r="D44">
        <v>270</v>
      </c>
      <c r="F44">
        <v>3.5</v>
      </c>
      <c r="G44">
        <v>14</v>
      </c>
      <c r="I44" t="s">
        <v>545</v>
      </c>
      <c r="J44" t="s">
        <v>895</v>
      </c>
      <c r="S44" t="s">
        <v>761</v>
      </c>
    </row>
    <row r="45" spans="1:19" x14ac:dyDescent="0.35">
      <c r="A45" t="s">
        <v>544</v>
      </c>
      <c r="C45">
        <v>60</v>
      </c>
      <c r="D45">
        <v>495</v>
      </c>
      <c r="F45">
        <v>4.9000000000000004</v>
      </c>
      <c r="G45">
        <v>27.5</v>
      </c>
      <c r="S45" t="s">
        <v>762</v>
      </c>
    </row>
    <row r="46" spans="1:19" x14ac:dyDescent="0.35">
      <c r="A46" t="s">
        <v>763</v>
      </c>
      <c r="C46">
        <v>125</v>
      </c>
      <c r="D46">
        <v>730</v>
      </c>
      <c r="F46">
        <v>5</v>
      </c>
      <c r="G46">
        <v>15</v>
      </c>
      <c r="I46" t="s">
        <v>753</v>
      </c>
      <c r="S46" t="s">
        <v>544</v>
      </c>
    </row>
    <row r="47" spans="1:19" x14ac:dyDescent="0.35">
      <c r="A47" t="s">
        <v>110</v>
      </c>
      <c r="C47">
        <v>49.5</v>
      </c>
      <c r="D47">
        <v>54.7</v>
      </c>
      <c r="F47">
        <v>2.67</v>
      </c>
      <c r="G47">
        <v>2.95</v>
      </c>
      <c r="I47" t="s">
        <v>539</v>
      </c>
      <c r="S47" t="s">
        <v>763</v>
      </c>
    </row>
    <row r="48" spans="1:19" x14ac:dyDescent="0.35">
      <c r="A48" t="s">
        <v>764</v>
      </c>
      <c r="C48">
        <v>160</v>
      </c>
      <c r="D48">
        <v>170</v>
      </c>
      <c r="F48">
        <v>6</v>
      </c>
      <c r="G48">
        <v>7.5</v>
      </c>
      <c r="I48" t="s">
        <v>545</v>
      </c>
      <c r="S48" t="s">
        <v>110</v>
      </c>
    </row>
    <row r="49" spans="1:19" x14ac:dyDescent="0.35">
      <c r="A49" t="s">
        <v>765</v>
      </c>
      <c r="C49">
        <v>110.16981999999999</v>
      </c>
      <c r="D49">
        <v>110.16981999999999</v>
      </c>
      <c r="F49">
        <v>8.9525900000000007</v>
      </c>
      <c r="G49">
        <v>8.9525900000000007</v>
      </c>
      <c r="I49" t="s">
        <v>754</v>
      </c>
      <c r="S49" t="s">
        <v>764</v>
      </c>
    </row>
    <row r="50" spans="1:19" x14ac:dyDescent="0.35">
      <c r="A50" t="s">
        <v>766</v>
      </c>
      <c r="C50">
        <v>218.27275</v>
      </c>
      <c r="D50">
        <v>218.27275</v>
      </c>
      <c r="F50">
        <v>16.939050000000002</v>
      </c>
      <c r="G50">
        <v>16.939050000000002</v>
      </c>
      <c r="I50" t="s">
        <v>754</v>
      </c>
      <c r="S50" t="s">
        <v>765</v>
      </c>
    </row>
    <row r="51" spans="1:19" x14ac:dyDescent="0.35">
      <c r="A51" t="s">
        <v>767</v>
      </c>
      <c r="C51">
        <v>115</v>
      </c>
      <c r="D51">
        <v>120</v>
      </c>
      <c r="F51">
        <v>6</v>
      </c>
      <c r="G51">
        <v>7.8</v>
      </c>
      <c r="I51" t="s">
        <v>545</v>
      </c>
      <c r="S51" t="s">
        <v>766</v>
      </c>
    </row>
    <row r="52" spans="1:19" x14ac:dyDescent="0.35">
      <c r="A52" t="s">
        <v>768</v>
      </c>
      <c r="C52">
        <v>545</v>
      </c>
      <c r="D52">
        <v>610</v>
      </c>
      <c r="F52">
        <v>36</v>
      </c>
      <c r="G52">
        <v>40</v>
      </c>
      <c r="I52" t="s">
        <v>545</v>
      </c>
      <c r="S52" t="s">
        <v>767</v>
      </c>
    </row>
    <row r="53" spans="1:19" x14ac:dyDescent="0.35">
      <c r="A53" t="s">
        <v>769</v>
      </c>
      <c r="C53">
        <v>587.5</v>
      </c>
      <c r="D53">
        <v>587.5</v>
      </c>
      <c r="F53">
        <v>36</v>
      </c>
      <c r="G53">
        <v>40</v>
      </c>
      <c r="I53" t="s">
        <v>755</v>
      </c>
      <c r="J53" t="s">
        <v>758</v>
      </c>
      <c r="S53" t="s">
        <v>768</v>
      </c>
    </row>
    <row r="54" spans="1:19" x14ac:dyDescent="0.35">
      <c r="A54" t="s">
        <v>770</v>
      </c>
      <c r="C54">
        <v>70</v>
      </c>
      <c r="D54">
        <v>75</v>
      </c>
      <c r="F54">
        <v>4</v>
      </c>
      <c r="G54">
        <v>4.5</v>
      </c>
      <c r="I54" t="s">
        <v>545</v>
      </c>
      <c r="S54" t="s">
        <v>769</v>
      </c>
    </row>
    <row r="55" spans="1:19" x14ac:dyDescent="0.35">
      <c r="A55" t="s">
        <v>771</v>
      </c>
      <c r="C55">
        <f>(0.08*C57)+(0.92*C56)</f>
        <v>4.5369523532800002</v>
      </c>
      <c r="D55">
        <f>(0.08*D57)+(0.92*D56)</f>
        <v>4.5369523532800002</v>
      </c>
      <c r="F55">
        <f>(0.08*F57)+(0.92*F56)</f>
        <v>4.1341200000000002E-2</v>
      </c>
      <c r="G55">
        <f>(0.08*G57)+(0.92*G56)</f>
        <v>4.1341200000000002E-2</v>
      </c>
      <c r="I55" t="s">
        <v>756</v>
      </c>
      <c r="J55" t="s">
        <v>759</v>
      </c>
      <c r="S55" t="s">
        <v>770</v>
      </c>
    </row>
    <row r="56" spans="1:19" x14ac:dyDescent="0.35">
      <c r="A56" t="s">
        <v>773</v>
      </c>
      <c r="C56">
        <v>2.2120384E-2</v>
      </c>
      <c r="D56">
        <v>2.2120384E-2</v>
      </c>
      <c r="F56" s="66">
        <v>1.5100000000000001E-3</v>
      </c>
      <c r="G56" s="66">
        <v>1.5100000000000001E-3</v>
      </c>
      <c r="S56" t="s">
        <v>771</v>
      </c>
    </row>
    <row r="57" spans="1:19" x14ac:dyDescent="0.35">
      <c r="A57" t="s">
        <v>772</v>
      </c>
      <c r="C57">
        <v>56.457520000000009</v>
      </c>
      <c r="D57">
        <v>56.457520000000009</v>
      </c>
      <c r="F57">
        <v>0.49940000000000001</v>
      </c>
      <c r="G57">
        <v>0.49940000000000001</v>
      </c>
      <c r="S57" t="s">
        <v>122</v>
      </c>
    </row>
  </sheetData>
  <sheetProtection algorithmName="SHA-512" hashValue="LbT3GONhIGvhTJwraArjtihtXpuuwoB92v+1tn7wt5cjiylvj/d1Vylc0jfwEY9xQ2nfr/Rwox2ynOq49lN4Mg==" saltValue="EIzB0rpB3S0VMTYg5GhKsA==" spinCount="100000" sheet="1" objects="1" scenarios="1"/>
  <mergeCells count="4">
    <mergeCell ref="C1:D1"/>
    <mergeCell ref="F1:G1"/>
    <mergeCell ref="C18:D18"/>
    <mergeCell ref="F18:G18"/>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theme="6"/>
  </sheetPr>
  <dimension ref="A1:S49"/>
  <sheetViews>
    <sheetView zoomScale="67" zoomScaleNormal="100" workbookViewId="0">
      <selection activeCell="A3" sqref="A3"/>
    </sheetView>
  </sheetViews>
  <sheetFormatPr defaultRowHeight="14.5" x14ac:dyDescent="0.35"/>
  <cols>
    <col min="1" max="1" width="32.81640625" customWidth="1"/>
    <col min="2" max="2" width="26.81640625" customWidth="1"/>
    <col min="3" max="3" width="27.26953125" customWidth="1"/>
    <col min="4" max="4" width="25.7265625" customWidth="1"/>
    <col min="5" max="5" width="12" bestFit="1" customWidth="1"/>
    <col min="6" max="6" width="15.453125" customWidth="1"/>
  </cols>
  <sheetData>
    <row r="1" spans="1:19" ht="15" thickBot="1" x14ac:dyDescent="0.4"/>
    <row r="2" spans="1:19" ht="26.5" x14ac:dyDescent="0.35">
      <c r="A2" s="88" t="s">
        <v>36</v>
      </c>
      <c r="B2" s="89" t="s">
        <v>37</v>
      </c>
      <c r="C2" s="89" t="s">
        <v>38</v>
      </c>
      <c r="D2" s="89" t="s">
        <v>37</v>
      </c>
      <c r="E2" s="89" t="s">
        <v>611</v>
      </c>
      <c r="F2" s="158" t="s">
        <v>573</v>
      </c>
    </row>
    <row r="3" spans="1:19" x14ac:dyDescent="0.35">
      <c r="A3" s="90"/>
      <c r="B3" s="91" t="s">
        <v>39</v>
      </c>
      <c r="C3" s="91" t="s">
        <v>40</v>
      </c>
      <c r="D3" s="91" t="s">
        <v>273</v>
      </c>
      <c r="E3" s="92" t="s">
        <v>612</v>
      </c>
      <c r="F3" s="159"/>
    </row>
    <row r="4" spans="1:19" x14ac:dyDescent="0.35">
      <c r="A4" s="61" t="s">
        <v>208</v>
      </c>
      <c r="B4" s="62">
        <v>0</v>
      </c>
      <c r="C4" s="62">
        <v>0</v>
      </c>
      <c r="D4" s="62">
        <v>0</v>
      </c>
      <c r="E4" s="63">
        <v>0</v>
      </c>
      <c r="F4" s="160"/>
      <c r="L4" t="s">
        <v>613</v>
      </c>
      <c r="M4" t="s">
        <v>615</v>
      </c>
      <c r="N4" t="s">
        <v>620</v>
      </c>
      <c r="O4" t="s">
        <v>620</v>
      </c>
      <c r="P4" t="s">
        <v>622</v>
      </c>
      <c r="Q4" t="s">
        <v>617</v>
      </c>
      <c r="R4" t="s">
        <v>621</v>
      </c>
      <c r="S4" t="s">
        <v>621</v>
      </c>
    </row>
    <row r="5" spans="1:19" x14ac:dyDescent="0.35">
      <c r="A5" s="61" t="s">
        <v>14</v>
      </c>
      <c r="B5" s="62">
        <v>0</v>
      </c>
      <c r="C5" s="62">
        <v>0</v>
      </c>
      <c r="D5" s="62">
        <v>0</v>
      </c>
      <c r="E5" s="63">
        <v>0</v>
      </c>
      <c r="F5" s="160"/>
      <c r="L5" t="s">
        <v>614</v>
      </c>
      <c r="M5" t="s">
        <v>556</v>
      </c>
      <c r="N5" t="s">
        <v>618</v>
      </c>
      <c r="O5" t="s">
        <v>619</v>
      </c>
      <c r="Q5" t="s">
        <v>556</v>
      </c>
      <c r="R5" t="s">
        <v>618</v>
      </c>
      <c r="S5" t="s">
        <v>619</v>
      </c>
    </row>
    <row r="6" spans="1:19" x14ac:dyDescent="0.35">
      <c r="A6" s="7" t="s">
        <v>41</v>
      </c>
      <c r="B6" s="161">
        <v>1.2199560495509985E-2</v>
      </c>
      <c r="C6" s="161">
        <v>3.4743534407695026E-5</v>
      </c>
      <c r="D6" s="161">
        <f>B6*691.8953</f>
        <v>8.4408185689090303</v>
      </c>
      <c r="E6" s="42">
        <f>C6*P6</f>
        <v>3.5591589339052453E-4</v>
      </c>
      <c r="F6" s="162" t="s">
        <v>42</v>
      </c>
      <c r="L6" t="s">
        <v>277</v>
      </c>
      <c r="M6">
        <v>10.210000000000001</v>
      </c>
      <c r="N6">
        <v>0.41</v>
      </c>
      <c r="O6">
        <v>0.08</v>
      </c>
      <c r="P6">
        <f>M6+25*N6/1000+298*O6/1000</f>
        <v>10.24409</v>
      </c>
      <c r="Q6">
        <v>73.959999999999994</v>
      </c>
      <c r="R6">
        <v>3</v>
      </c>
      <c r="S6">
        <v>0.6</v>
      </c>
    </row>
    <row r="7" spans="1:19" x14ac:dyDescent="0.35">
      <c r="A7" s="7" t="s">
        <v>43</v>
      </c>
      <c r="B7" s="161">
        <v>4.4265842439264605E-3</v>
      </c>
      <c r="C7" s="161">
        <v>1.2606616610821692E-5</v>
      </c>
      <c r="D7" s="161">
        <f>B7*691.8953</f>
        <v>3.0627328334267716</v>
      </c>
      <c r="E7" s="42">
        <f>C7*P6</f>
        <v>1.2914331515675239E-4</v>
      </c>
      <c r="F7" s="162" t="s">
        <v>44</v>
      </c>
      <c r="L7" t="s">
        <v>623</v>
      </c>
      <c r="M7">
        <v>9.75</v>
      </c>
      <c r="N7">
        <v>0.41</v>
      </c>
      <c r="O7">
        <v>0.08</v>
      </c>
      <c r="P7">
        <f>M7+25*N7/1000+298*O7/1000</f>
        <v>9.7840899999999991</v>
      </c>
      <c r="Q7">
        <v>72.2</v>
      </c>
      <c r="R7">
        <v>3</v>
      </c>
      <c r="S7">
        <v>0.6</v>
      </c>
    </row>
    <row r="8" spans="1:19" x14ac:dyDescent="0.35">
      <c r="A8" s="7" t="s">
        <v>45</v>
      </c>
      <c r="B8" s="161">
        <v>1.2095881511128891E-3</v>
      </c>
      <c r="C8" s="161">
        <v>3.4448263577034742E-6</v>
      </c>
      <c r="D8" s="161">
        <f>B8*691.8953</f>
        <v>0.83690835669069774</v>
      </c>
      <c r="E8" s="42">
        <f>C8*P6</f>
        <v>3.5289111242686585E-5</v>
      </c>
      <c r="F8" s="162" t="s">
        <v>42</v>
      </c>
      <c r="L8" t="s">
        <v>616</v>
      </c>
      <c r="M8">
        <v>8.7799999999999994</v>
      </c>
      <c r="N8">
        <v>0.38</v>
      </c>
      <c r="O8">
        <v>0.08</v>
      </c>
      <c r="P8">
        <f>M8+25*N8/1000+298*O8/1000</f>
        <v>8.8133399999999984</v>
      </c>
      <c r="Q8">
        <v>70.22</v>
      </c>
      <c r="R8">
        <v>3</v>
      </c>
      <c r="S8">
        <v>0.6</v>
      </c>
    </row>
    <row r="9" spans="1:19" x14ac:dyDescent="0.35">
      <c r="A9" s="7" t="s">
        <v>46</v>
      </c>
      <c r="B9" s="161">
        <v>9.4686293987731999E-4</v>
      </c>
      <c r="C9" s="161">
        <v>2.6966024835982165E-6</v>
      </c>
      <c r="D9" s="161">
        <f>B9*691.8953</f>
        <v>0.65513001784530034</v>
      </c>
      <c r="E9" s="42">
        <f>C9*Q6</f>
        <v>1.9944071968692407E-4</v>
      </c>
      <c r="F9" s="162" t="s">
        <v>44</v>
      </c>
    </row>
    <row r="10" spans="1:19" ht="15" thickBot="1" x14ac:dyDescent="0.4">
      <c r="A10" s="8" t="s">
        <v>47</v>
      </c>
      <c r="B10" s="49">
        <v>3.5779995884533053E-2</v>
      </c>
      <c r="C10" s="49">
        <v>9.7143752655021764E-5</v>
      </c>
      <c r="D10" s="49">
        <f>B10*691.8953</f>
        <v>24.756010986527762</v>
      </c>
      <c r="E10" s="44">
        <f>C10*P7</f>
        <v>9.5046321891447175E-4</v>
      </c>
      <c r="F10" s="163" t="s">
        <v>44</v>
      </c>
    </row>
    <row r="11" spans="1:19" x14ac:dyDescent="0.35">
      <c r="A11" s="535" t="s">
        <v>955</v>
      </c>
      <c r="B11" s="536"/>
      <c r="C11" s="536"/>
      <c r="D11" s="536"/>
      <c r="E11" s="536"/>
      <c r="F11" s="537"/>
    </row>
    <row r="12" spans="1:19" ht="15" thickBot="1" x14ac:dyDescent="0.4">
      <c r="A12" s="538" t="s">
        <v>48</v>
      </c>
      <c r="B12" s="539"/>
      <c r="C12" s="539"/>
      <c r="D12" s="539"/>
      <c r="E12" s="539"/>
      <c r="F12" s="540"/>
    </row>
    <row r="13" spans="1:19" hidden="1" x14ac:dyDescent="0.35"/>
    <row r="14" spans="1:19" hidden="1" x14ac:dyDescent="0.35">
      <c r="A14" s="4" t="s">
        <v>49</v>
      </c>
      <c r="B14" s="5" t="s">
        <v>50</v>
      </c>
      <c r="C14" s="5" t="s">
        <v>50</v>
      </c>
      <c r="D14" s="5" t="s">
        <v>50</v>
      </c>
    </row>
    <row r="15" spans="1:19" hidden="1" x14ac:dyDescent="0.35">
      <c r="A15" s="9" t="s">
        <v>51</v>
      </c>
      <c r="B15" s="6" t="s">
        <v>52</v>
      </c>
      <c r="C15" s="6" t="s">
        <v>39</v>
      </c>
      <c r="D15" s="6" t="s">
        <v>273</v>
      </c>
    </row>
    <row r="16" spans="1:19" hidden="1" x14ac:dyDescent="0.35">
      <c r="A16" t="s">
        <v>53</v>
      </c>
      <c r="B16" s="10">
        <v>268</v>
      </c>
      <c r="C16" s="50">
        <f>B16/1000000</f>
        <v>2.6800000000000001E-4</v>
      </c>
      <c r="D16" s="51">
        <f>C16*691.8953</f>
        <v>0.18542794040000002</v>
      </c>
    </row>
    <row r="17" spans="1:11" hidden="1" x14ac:dyDescent="0.35">
      <c r="A17" t="s">
        <v>54</v>
      </c>
      <c r="B17" s="10">
        <v>1217</v>
      </c>
      <c r="C17" s="50">
        <f>B17/1000000</f>
        <v>1.217E-3</v>
      </c>
      <c r="D17" s="51">
        <f>C17*691.8953</f>
        <v>0.84203658010000004</v>
      </c>
    </row>
    <row r="18" spans="1:11" hidden="1" x14ac:dyDescent="0.35">
      <c r="A18" t="s">
        <v>55</v>
      </c>
      <c r="B18" s="10">
        <v>1537</v>
      </c>
      <c r="C18" s="50">
        <f>B18/1000000</f>
        <v>1.537E-3</v>
      </c>
      <c r="D18" s="51">
        <f>C18*691.8953</f>
        <v>1.0634430761</v>
      </c>
    </row>
    <row r="19" spans="1:11" hidden="1" x14ac:dyDescent="0.35">
      <c r="A19" t="s">
        <v>56</v>
      </c>
      <c r="B19" s="10">
        <v>1780</v>
      </c>
      <c r="C19" s="50">
        <f>B19/1000000</f>
        <v>1.7799999999999999E-3</v>
      </c>
      <c r="D19" s="51">
        <f>C19*691.8953</f>
        <v>1.2315736339999999</v>
      </c>
    </row>
    <row r="20" spans="1:11" hidden="1" x14ac:dyDescent="0.35"/>
    <row r="21" spans="1:11" hidden="1" x14ac:dyDescent="0.35">
      <c r="A21" t="s">
        <v>57</v>
      </c>
    </row>
    <row r="23" spans="1:11" ht="29.25" customHeight="1" x14ac:dyDescent="0.35">
      <c r="A23" s="2"/>
    </row>
    <row r="24" spans="1:11" x14ac:dyDescent="0.35">
      <c r="A24" t="s">
        <v>384</v>
      </c>
      <c r="I24" s="103" t="s">
        <v>272</v>
      </c>
      <c r="J24" s="103"/>
      <c r="K24" s="103"/>
    </row>
    <row r="25" spans="1:11" x14ac:dyDescent="0.35">
      <c r="A25" s="93" t="s">
        <v>80</v>
      </c>
      <c r="B25" s="93" t="s">
        <v>98</v>
      </c>
      <c r="C25" s="93" t="s">
        <v>290</v>
      </c>
      <c r="D25" s="94" t="s">
        <v>610</v>
      </c>
      <c r="I25" s="103" t="s">
        <v>274</v>
      </c>
      <c r="J25" s="103"/>
      <c r="K25" s="103"/>
    </row>
    <row r="26" spans="1:11" x14ac:dyDescent="0.35">
      <c r="A26" s="64" t="s">
        <v>208</v>
      </c>
      <c r="B26" s="64">
        <v>0</v>
      </c>
      <c r="C26" s="64">
        <v>0</v>
      </c>
      <c r="D26" s="65">
        <v>0</v>
      </c>
      <c r="I26" s="103" t="s">
        <v>275</v>
      </c>
      <c r="J26" s="103"/>
      <c r="K26" s="103"/>
    </row>
    <row r="27" spans="1:11" x14ac:dyDescent="0.35">
      <c r="A27" s="546" t="s">
        <v>14</v>
      </c>
      <c r="B27" s="546">
        <v>0</v>
      </c>
      <c r="C27" s="546">
        <v>0</v>
      </c>
      <c r="D27" s="65">
        <v>0</v>
      </c>
      <c r="I27" s="103" t="s">
        <v>640</v>
      </c>
      <c r="J27" s="103">
        <f>1.60934/2.20462</f>
        <v>0.72998521287115248</v>
      </c>
      <c r="K27" s="103" t="s">
        <v>641</v>
      </c>
    </row>
    <row r="28" spans="1:11" x14ac:dyDescent="0.35">
      <c r="A28" s="3" t="s">
        <v>81</v>
      </c>
      <c r="B28" s="46">
        <v>1.6000000000000001E-4</v>
      </c>
      <c r="C28" s="46">
        <f>B28*691.8953</f>
        <v>0.11070324800000002</v>
      </c>
      <c r="D28">
        <v>1.4999999999999999E-5</v>
      </c>
      <c r="I28" s="103" t="s">
        <v>8</v>
      </c>
      <c r="J28" s="103">
        <f>1000000/(1055.06)</f>
        <v>947.81339449889106</v>
      </c>
      <c r="K28" s="103" t="s">
        <v>642</v>
      </c>
    </row>
    <row r="29" spans="1:11" x14ac:dyDescent="0.35">
      <c r="A29" s="3" t="s">
        <v>82</v>
      </c>
      <c r="B29" s="46">
        <v>2.7E-4</v>
      </c>
      <c r="C29" s="46">
        <f t="shared" ref="C29:C44" si="0">B29*691.8953</f>
        <v>0.18681173100000001</v>
      </c>
      <c r="D29">
        <v>1.9000000000000001E-5</v>
      </c>
    </row>
    <row r="30" spans="1:11" x14ac:dyDescent="0.35">
      <c r="A30" s="3" t="s">
        <v>83</v>
      </c>
      <c r="B30" s="46">
        <v>3.5999999999999997E-4</v>
      </c>
      <c r="C30" s="46">
        <f t="shared" si="0"/>
        <v>0.24908230799999997</v>
      </c>
      <c r="D30">
        <v>2.8E-5</v>
      </c>
    </row>
    <row r="31" spans="1:11" x14ac:dyDescent="0.35">
      <c r="A31" s="3" t="s">
        <v>84</v>
      </c>
      <c r="B31" s="46">
        <v>2.5000000000000001E-4</v>
      </c>
      <c r="C31" s="46">
        <f t="shared" si="0"/>
        <v>0.172973825</v>
      </c>
      <c r="D31">
        <v>1.9000000000000001E-5</v>
      </c>
    </row>
    <row r="32" spans="1:11" x14ac:dyDescent="0.35">
      <c r="A32" s="3" t="s">
        <v>85</v>
      </c>
      <c r="B32" s="46">
        <v>7.0999999999999991E-4</v>
      </c>
      <c r="C32" s="46">
        <f t="shared" si="0"/>
        <v>0.49124566299999994</v>
      </c>
      <c r="D32">
        <v>5.0000000000000002E-5</v>
      </c>
    </row>
    <row r="33" spans="1:5" x14ac:dyDescent="0.35">
      <c r="A33" s="3" t="s">
        <v>86</v>
      </c>
      <c r="B33" s="46">
        <v>8.1999999999999998E-4</v>
      </c>
      <c r="C33" s="46">
        <f t="shared" si="0"/>
        <v>0.567354146</v>
      </c>
      <c r="D33">
        <v>5.9999999999999995E-5</v>
      </c>
    </row>
    <row r="34" spans="1:5" x14ac:dyDescent="0.35">
      <c r="A34" s="3" t="s">
        <v>87</v>
      </c>
      <c r="B34" s="46">
        <v>9.3999999999999997E-4</v>
      </c>
      <c r="C34" s="46">
        <f t="shared" si="0"/>
        <v>0.65038158199999996</v>
      </c>
      <c r="D34">
        <v>6.7000000000000002E-5</v>
      </c>
    </row>
    <row r="35" spans="1:5" x14ac:dyDescent="0.35">
      <c r="A35" s="3" t="s">
        <v>88</v>
      </c>
      <c r="B35" s="46">
        <v>1.5E-3</v>
      </c>
      <c r="C35" s="46">
        <f t="shared" si="0"/>
        <v>1.0378429500000002</v>
      </c>
      <c r="D35">
        <v>1.1E-4</v>
      </c>
    </row>
    <row r="36" spans="1:5" x14ac:dyDescent="0.35">
      <c r="A36" s="3" t="s">
        <v>89</v>
      </c>
      <c r="B36" s="46">
        <v>2.5000000000000001E-3</v>
      </c>
      <c r="C36" s="46">
        <f t="shared" si="0"/>
        <v>1.72973825</v>
      </c>
      <c r="D36">
        <v>1.7999999999999998E-4</v>
      </c>
    </row>
    <row r="37" spans="1:5" x14ac:dyDescent="0.35">
      <c r="A37" s="3" t="s">
        <v>90</v>
      </c>
      <c r="B37" s="46">
        <v>1.6999999999999999E-3</v>
      </c>
      <c r="C37" s="46">
        <f t="shared" si="0"/>
        <v>1.17622201</v>
      </c>
      <c r="D37">
        <v>1.2E-4</v>
      </c>
    </row>
    <row r="38" spans="1:5" x14ac:dyDescent="0.35">
      <c r="A38" s="3" t="s">
        <v>91</v>
      </c>
      <c r="B38" s="46">
        <v>2.5999999999999999E-3</v>
      </c>
      <c r="C38" s="46">
        <f t="shared" si="0"/>
        <v>1.7989277799999999</v>
      </c>
      <c r="D38">
        <v>1.65E-4</v>
      </c>
    </row>
    <row r="39" spans="1:5" x14ac:dyDescent="0.35">
      <c r="A39" s="3" t="s">
        <v>92</v>
      </c>
      <c r="B39" s="46">
        <v>3.8999999999999998E-3</v>
      </c>
      <c r="C39" s="46">
        <f t="shared" si="0"/>
        <v>2.6983916699999999</v>
      </c>
      <c r="D39">
        <v>1.7999999999999998E-4</v>
      </c>
    </row>
    <row r="40" spans="1:5" x14ac:dyDescent="0.35">
      <c r="A40" s="3" t="s">
        <v>93</v>
      </c>
      <c r="B40" s="46">
        <v>1.5499999999999999E-3</v>
      </c>
      <c r="C40" s="46">
        <f t="shared" si="0"/>
        <v>1.072437715</v>
      </c>
      <c r="D40">
        <v>1E-4</v>
      </c>
    </row>
    <row r="41" spans="1:5" x14ac:dyDescent="0.35">
      <c r="A41" s="3" t="s">
        <v>94</v>
      </c>
      <c r="B41" s="46">
        <v>4.7999999999999996E-3</v>
      </c>
      <c r="C41" s="46">
        <f t="shared" si="0"/>
        <v>3.32109744</v>
      </c>
      <c r="D41">
        <v>3.1E-4</v>
      </c>
    </row>
    <row r="42" spans="1:5" x14ac:dyDescent="0.35">
      <c r="A42" s="3" t="s">
        <v>95</v>
      </c>
      <c r="B42" s="46">
        <v>6.4999999999999997E-3</v>
      </c>
      <c r="C42" s="46">
        <f t="shared" si="0"/>
        <v>4.49731945</v>
      </c>
      <c r="D42">
        <v>4.4999999999999999E-4</v>
      </c>
    </row>
    <row r="43" spans="1:5" ht="21.75" customHeight="1" x14ac:dyDescent="0.35">
      <c r="A43" s="3" t="s">
        <v>96</v>
      </c>
      <c r="B43" s="46">
        <v>1.2999999999999999E-2</v>
      </c>
      <c r="C43" s="46">
        <f t="shared" si="0"/>
        <v>8.9946389</v>
      </c>
      <c r="D43">
        <v>7.6000000000000004E-4</v>
      </c>
    </row>
    <row r="44" spans="1:5" ht="87.65" customHeight="1" x14ac:dyDescent="0.35">
      <c r="A44" s="3" t="s">
        <v>97</v>
      </c>
      <c r="B44" s="46">
        <v>5.5E-2</v>
      </c>
      <c r="C44" s="46">
        <f t="shared" si="0"/>
        <v>38.054241500000003</v>
      </c>
      <c r="D44">
        <v>3.3E-3</v>
      </c>
    </row>
    <row r="45" spans="1:5" x14ac:dyDescent="0.35">
      <c r="A45" s="3" t="s">
        <v>252</v>
      </c>
      <c r="B45" s="47">
        <v>200</v>
      </c>
      <c r="C45" s="47">
        <f>B45*429.923</f>
        <v>85984.6</v>
      </c>
      <c r="D45" s="37"/>
      <c r="E45" s="24"/>
    </row>
    <row r="46" spans="1:5" x14ac:dyDescent="0.35">
      <c r="A46" s="534" t="s">
        <v>383</v>
      </c>
      <c r="B46" s="534"/>
      <c r="C46" s="534"/>
    </row>
    <row r="47" spans="1:5" x14ac:dyDescent="0.35">
      <c r="A47" s="2" t="s">
        <v>381</v>
      </c>
      <c r="B47" s="36"/>
      <c r="C47" s="36"/>
    </row>
    <row r="48" spans="1:5" x14ac:dyDescent="0.35">
      <c r="A48" t="s">
        <v>382</v>
      </c>
    </row>
    <row r="49" spans="1:1" x14ac:dyDescent="0.35">
      <c r="A49" t="s">
        <v>377</v>
      </c>
    </row>
  </sheetData>
  <sheetProtection algorithmName="SHA-512" hashValue="gPAqYLOsRu04GHPSR9XuFUSoPiXOWjSTGEnG7zI+7upZ+4qMruLtUNPLJd/rqbEwwG4+WY3sAoSlPftUGIEpNQ==" saltValue="baSHGuIeQyShQ/qUNdaWFg==" spinCount="100000" sheet="1" objects="1" scenarios="1"/>
  <mergeCells count="3">
    <mergeCell ref="A46:C46"/>
    <mergeCell ref="A11:F11"/>
    <mergeCell ref="A12:F12"/>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theme="7"/>
  </sheetPr>
  <dimension ref="A2:P32"/>
  <sheetViews>
    <sheetView zoomScale="85" zoomScaleNormal="85" workbookViewId="0">
      <selection activeCell="E5" sqref="E5"/>
    </sheetView>
  </sheetViews>
  <sheetFormatPr defaultRowHeight="14.5" x14ac:dyDescent="0.35"/>
  <cols>
    <col min="1" max="1" width="39.54296875" customWidth="1"/>
    <col min="2" max="2" width="26.81640625" customWidth="1"/>
    <col min="3" max="3" width="22" customWidth="1"/>
    <col min="4" max="4" width="19.1796875" customWidth="1"/>
    <col min="6" max="6" width="12" bestFit="1" customWidth="1"/>
    <col min="7" max="7" width="12.26953125" bestFit="1" customWidth="1"/>
  </cols>
  <sheetData>
    <row r="2" spans="1:16" ht="15" thickBot="1" x14ac:dyDescent="0.4">
      <c r="A2" s="2" t="s">
        <v>627</v>
      </c>
    </row>
    <row r="3" spans="1:16" ht="27.75" customHeight="1" x14ac:dyDescent="0.35">
      <c r="A3" s="164" t="s">
        <v>80</v>
      </c>
      <c r="B3" s="165" t="s">
        <v>629</v>
      </c>
      <c r="C3" s="165" t="s">
        <v>290</v>
      </c>
      <c r="D3" s="172" t="s">
        <v>956</v>
      </c>
      <c r="E3" s="166" t="s">
        <v>15</v>
      </c>
      <c r="F3" s="167" t="s">
        <v>626</v>
      </c>
      <c r="J3" s="103" t="s">
        <v>272</v>
      </c>
      <c r="K3" s="103"/>
      <c r="L3" s="103"/>
      <c r="M3" s="103"/>
      <c r="N3" s="103"/>
      <c r="O3" s="103"/>
      <c r="P3" s="103"/>
    </row>
    <row r="4" spans="1:16" x14ac:dyDescent="0.35">
      <c r="A4" s="547" t="s">
        <v>14</v>
      </c>
      <c r="B4" s="548">
        <v>0</v>
      </c>
      <c r="C4" s="548">
        <v>0</v>
      </c>
      <c r="D4" s="549">
        <v>0</v>
      </c>
      <c r="E4" s="550"/>
      <c r="F4" s="551"/>
      <c r="J4" s="103" t="s">
        <v>274</v>
      </c>
      <c r="K4" s="103"/>
      <c r="L4" s="103"/>
      <c r="M4" s="103"/>
      <c r="N4" s="103"/>
      <c r="O4" s="103"/>
      <c r="P4" s="103"/>
    </row>
    <row r="5" spans="1:16" x14ac:dyDescent="0.35">
      <c r="A5" s="168" t="s">
        <v>81</v>
      </c>
      <c r="B5" s="53">
        <v>1.6000000000000001E-4</v>
      </c>
      <c r="C5" s="68">
        <f>B5*691.8953</f>
        <v>0.11070324800000002</v>
      </c>
      <c r="D5" s="170">
        <v>1.4999999999999999E-5</v>
      </c>
      <c r="E5" s="71">
        <v>2</v>
      </c>
      <c r="F5" s="169"/>
      <c r="J5" s="103" t="s">
        <v>275</v>
      </c>
      <c r="K5" s="103"/>
      <c r="L5" s="103"/>
      <c r="M5" s="103"/>
      <c r="N5" s="103"/>
      <c r="O5" s="103"/>
      <c r="P5" s="103"/>
    </row>
    <row r="6" spans="1:16" x14ac:dyDescent="0.35">
      <c r="A6" s="168" t="s">
        <v>82</v>
      </c>
      <c r="B6" s="53">
        <v>2.7E-4</v>
      </c>
      <c r="C6" s="68">
        <f t="shared" ref="C6:C24" si="0">B6*691.8953</f>
        <v>0.18681173100000001</v>
      </c>
      <c r="D6" s="170">
        <v>1.9000000000000001E-5</v>
      </c>
      <c r="E6" s="71">
        <v>2</v>
      </c>
      <c r="F6" s="169"/>
      <c r="J6" s="103"/>
      <c r="K6" s="103"/>
      <c r="L6" s="103"/>
      <c r="M6" s="103"/>
      <c r="N6" s="103"/>
      <c r="O6" s="103"/>
      <c r="P6" s="103"/>
    </row>
    <row r="7" spans="1:16" x14ac:dyDescent="0.35">
      <c r="A7" s="168" t="s">
        <v>83</v>
      </c>
      <c r="B7" s="53">
        <v>3.5999999999999997E-4</v>
      </c>
      <c r="C7" s="68">
        <f t="shared" si="0"/>
        <v>0.24908230799999997</v>
      </c>
      <c r="D7" s="170">
        <v>2.8E-5</v>
      </c>
      <c r="E7" s="71">
        <v>2</v>
      </c>
      <c r="F7" s="169"/>
      <c r="J7" s="103" t="s">
        <v>721</v>
      </c>
      <c r="K7" s="103">
        <v>691.89530000000002</v>
      </c>
      <c r="L7" s="103" t="s">
        <v>722</v>
      </c>
      <c r="M7" s="103"/>
      <c r="N7" s="103"/>
      <c r="O7" s="103"/>
      <c r="P7" s="103"/>
    </row>
    <row r="8" spans="1:16" x14ac:dyDescent="0.35">
      <c r="A8" s="168" t="s">
        <v>84</v>
      </c>
      <c r="B8" s="48">
        <v>2.9999999999999997E-5</v>
      </c>
      <c r="C8" s="69">
        <f t="shared" si="0"/>
        <v>2.0756858999999999E-2</v>
      </c>
      <c r="D8" s="170">
        <v>2.1103450236966824E-6</v>
      </c>
      <c r="E8" s="71">
        <v>1</v>
      </c>
      <c r="F8" s="169"/>
      <c r="J8" s="103" t="s">
        <v>640</v>
      </c>
      <c r="K8" s="103">
        <f>1.60934/2.20462</f>
        <v>0.72998521287115248</v>
      </c>
      <c r="L8" s="103" t="s">
        <v>641</v>
      </c>
      <c r="M8" s="103"/>
      <c r="N8" s="103"/>
      <c r="O8" s="103"/>
      <c r="P8" s="103"/>
    </row>
    <row r="9" spans="1:16" x14ac:dyDescent="0.35">
      <c r="A9" s="168" t="s">
        <v>85</v>
      </c>
      <c r="B9" s="53">
        <v>7.0999999999999991E-4</v>
      </c>
      <c r="C9" s="68">
        <f t="shared" si="0"/>
        <v>0.49124566299999994</v>
      </c>
      <c r="D9" s="170">
        <v>5.0000000000000002E-5</v>
      </c>
      <c r="E9" s="71">
        <v>2</v>
      </c>
      <c r="F9" s="169"/>
      <c r="J9" s="103"/>
      <c r="K9" s="103"/>
      <c r="L9" s="103"/>
      <c r="M9" s="103"/>
      <c r="N9" s="103"/>
      <c r="O9" s="103"/>
      <c r="P9" s="103"/>
    </row>
    <row r="10" spans="1:16" x14ac:dyDescent="0.35">
      <c r="A10" s="168" t="s">
        <v>291</v>
      </c>
      <c r="B10" s="48">
        <v>2.1000000000000001E-4</v>
      </c>
      <c r="C10" s="69">
        <f t="shared" si="0"/>
        <v>0.145298013</v>
      </c>
      <c r="D10" s="170">
        <v>1.4772415165876777E-5</v>
      </c>
      <c r="E10" s="71">
        <v>1</v>
      </c>
      <c r="F10" s="169"/>
      <c r="J10" s="103" t="s">
        <v>613</v>
      </c>
      <c r="K10" s="103" t="s">
        <v>617</v>
      </c>
      <c r="L10" s="103" t="s">
        <v>621</v>
      </c>
      <c r="M10" s="103" t="s">
        <v>621</v>
      </c>
      <c r="N10" s="103" t="s">
        <v>617</v>
      </c>
      <c r="O10" s="103" t="s">
        <v>630</v>
      </c>
      <c r="P10" s="103"/>
    </row>
    <row r="11" spans="1:16" x14ac:dyDescent="0.35">
      <c r="A11" s="168" t="s">
        <v>86</v>
      </c>
      <c r="B11" s="53">
        <v>8.1999999999999998E-4</v>
      </c>
      <c r="C11" s="68">
        <f t="shared" si="0"/>
        <v>0.567354146</v>
      </c>
      <c r="D11" s="170">
        <v>5.9999999999999995E-5</v>
      </c>
      <c r="E11" s="71">
        <v>2</v>
      </c>
      <c r="F11" s="169"/>
      <c r="J11" s="103" t="s">
        <v>614</v>
      </c>
      <c r="K11" s="103" t="s">
        <v>556</v>
      </c>
      <c r="L11" s="103" t="s">
        <v>618</v>
      </c>
      <c r="M11" s="103" t="s">
        <v>619</v>
      </c>
      <c r="N11" s="103"/>
      <c r="O11" s="103"/>
      <c r="P11" s="103"/>
    </row>
    <row r="12" spans="1:16" x14ac:dyDescent="0.35">
      <c r="A12" s="168" t="s">
        <v>87</v>
      </c>
      <c r="B12" s="53">
        <v>9.3999999999999997E-4</v>
      </c>
      <c r="C12" s="68">
        <f t="shared" si="0"/>
        <v>0.65038158199999996</v>
      </c>
      <c r="D12" s="170">
        <v>6.7000000000000002E-5</v>
      </c>
      <c r="E12" s="71">
        <v>2</v>
      </c>
      <c r="F12" s="169"/>
      <c r="J12" s="103" t="s">
        <v>276</v>
      </c>
      <c r="K12" s="103">
        <v>53.06</v>
      </c>
      <c r="L12" s="103">
        <v>1</v>
      </c>
      <c r="M12" s="103">
        <v>0.1</v>
      </c>
      <c r="N12" s="103">
        <f>K12+25*L12/1000+298*M12/1000</f>
        <v>53.114800000000002</v>
      </c>
      <c r="O12" s="103">
        <f>N12/1055</f>
        <v>5.0345781990521331E-2</v>
      </c>
      <c r="P12" s="103"/>
    </row>
    <row r="13" spans="1:16" x14ac:dyDescent="0.35">
      <c r="A13" s="168" t="s">
        <v>88</v>
      </c>
      <c r="B13" s="53">
        <v>1.5E-3</v>
      </c>
      <c r="C13" s="68">
        <f t="shared" si="0"/>
        <v>1.0378429500000002</v>
      </c>
      <c r="D13" s="170">
        <v>1.1E-4</v>
      </c>
      <c r="E13" s="71">
        <v>2</v>
      </c>
      <c r="F13" s="169"/>
      <c r="J13" s="103" t="s">
        <v>277</v>
      </c>
      <c r="K13" s="103">
        <v>73.959999999999994</v>
      </c>
      <c r="L13" s="103">
        <v>3</v>
      </c>
      <c r="M13" s="103">
        <v>0.6</v>
      </c>
      <c r="N13" s="103">
        <f>K13+25*L13/1000+298*M13/1000</f>
        <v>74.213799999999992</v>
      </c>
      <c r="O13" s="103">
        <f>N13/1055</f>
        <v>7.0344834123222746E-2</v>
      </c>
      <c r="P13" s="103"/>
    </row>
    <row r="14" spans="1:16" x14ac:dyDescent="0.35">
      <c r="A14" s="168" t="s">
        <v>89</v>
      </c>
      <c r="B14" s="53">
        <v>2.5000000000000001E-3</v>
      </c>
      <c r="C14" s="68">
        <f t="shared" si="0"/>
        <v>1.72973825</v>
      </c>
      <c r="D14" s="170">
        <v>1.7999999999999998E-4</v>
      </c>
      <c r="E14" s="71">
        <v>2</v>
      </c>
      <c r="F14" s="169"/>
      <c r="J14" s="103" t="s">
        <v>623</v>
      </c>
      <c r="K14" s="103">
        <v>72.2</v>
      </c>
      <c r="L14" s="103">
        <v>3</v>
      </c>
      <c r="M14" s="103">
        <v>0.6</v>
      </c>
      <c r="N14" s="103">
        <f>K14+25*L14/1000+298*M14/1000</f>
        <v>72.453800000000001</v>
      </c>
      <c r="O14" s="103">
        <f>N14/1055</f>
        <v>6.8676587677725123E-2</v>
      </c>
      <c r="P14" s="103"/>
    </row>
    <row r="15" spans="1:16" x14ac:dyDescent="0.35">
      <c r="A15" s="168" t="s">
        <v>90</v>
      </c>
      <c r="B15" s="48">
        <v>1.07E-3</v>
      </c>
      <c r="C15" s="69">
        <f t="shared" si="0"/>
        <v>0.74032797100000003</v>
      </c>
      <c r="D15" s="170">
        <v>7.5268972511848339E-5</v>
      </c>
      <c r="E15" s="71">
        <v>1</v>
      </c>
      <c r="F15" s="169"/>
      <c r="J15" s="103" t="s">
        <v>616</v>
      </c>
      <c r="K15" s="103">
        <v>70.22</v>
      </c>
      <c r="L15" s="103">
        <v>3</v>
      </c>
      <c r="M15" s="103">
        <v>0.6</v>
      </c>
      <c r="N15" s="103">
        <f>K15+25*L15/1000+298*M15/1000</f>
        <v>70.473799999999997</v>
      </c>
      <c r="O15" s="103">
        <f>N15/1055</f>
        <v>6.6799810426540276E-2</v>
      </c>
      <c r="P15" s="103"/>
    </row>
    <row r="16" spans="1:16" x14ac:dyDescent="0.35">
      <c r="A16" s="168" t="s">
        <v>91</v>
      </c>
      <c r="B16" s="48">
        <v>1.1300000000000001E-3</v>
      </c>
      <c r="C16" s="69">
        <f t="shared" si="0"/>
        <v>0.78184168900000017</v>
      </c>
      <c r="D16" s="170">
        <v>7.5483785781990523E-5</v>
      </c>
      <c r="E16" s="71">
        <v>1</v>
      </c>
      <c r="F16" s="169"/>
      <c r="J16" s="103" t="s">
        <v>631</v>
      </c>
      <c r="K16" s="103">
        <v>61.71</v>
      </c>
      <c r="L16" s="103">
        <v>3</v>
      </c>
      <c r="M16" s="103">
        <v>0.6</v>
      </c>
      <c r="N16" s="103">
        <f>K16+25*L16/1000+298*M16/1000</f>
        <v>61.963800000000006</v>
      </c>
      <c r="O16" s="103">
        <f>N16/1055</f>
        <v>5.8733459715639813E-2</v>
      </c>
      <c r="P16" s="103"/>
    </row>
    <row r="17" spans="1:16" x14ac:dyDescent="0.35">
      <c r="A17" s="168" t="s">
        <v>92</v>
      </c>
      <c r="B17" s="48">
        <v>1.1300000000000001E-3</v>
      </c>
      <c r="C17" s="69">
        <f t="shared" si="0"/>
        <v>0.78184168900000017</v>
      </c>
      <c r="D17" s="170">
        <v>6.6368809478673001E-5</v>
      </c>
      <c r="E17" s="71">
        <v>1</v>
      </c>
      <c r="F17" s="169"/>
      <c r="J17" s="103"/>
      <c r="K17" s="103" t="s">
        <v>856</v>
      </c>
      <c r="L17" s="103" t="s">
        <v>856</v>
      </c>
      <c r="M17" s="103" t="s">
        <v>856</v>
      </c>
      <c r="N17" s="103" t="s">
        <v>854</v>
      </c>
      <c r="O17" s="103" t="s">
        <v>630</v>
      </c>
      <c r="P17" s="103"/>
    </row>
    <row r="18" spans="1:16" x14ac:dyDescent="0.35">
      <c r="A18" s="168" t="s">
        <v>93</v>
      </c>
      <c r="B18" s="48">
        <v>6.3199999999999997E-4</v>
      </c>
      <c r="C18" s="69">
        <f>B18*691.8953</f>
        <v>0.4372778296</v>
      </c>
      <c r="D18" s="170">
        <v>4.2217480189573453E-5</v>
      </c>
      <c r="E18" s="71">
        <v>3</v>
      </c>
      <c r="F18" s="169"/>
      <c r="J18" s="103" t="s">
        <v>278</v>
      </c>
      <c r="K18" s="103">
        <v>818.3</v>
      </c>
      <c r="L18" s="103">
        <v>0.06</v>
      </c>
      <c r="M18" s="103">
        <v>8.9999999999999993E-3</v>
      </c>
      <c r="N18" s="103">
        <f>(K18+25*L18+298*M18)*(O23)</f>
        <v>373.07200333844384</v>
      </c>
      <c r="O18" s="103">
        <f>N18/3600</f>
        <v>0.10363111203845662</v>
      </c>
      <c r="P18" s="103"/>
    </row>
    <row r="19" spans="1:16" x14ac:dyDescent="0.35">
      <c r="A19" s="168" t="s">
        <v>292</v>
      </c>
      <c r="B19" s="48">
        <v>1.4899999999999999E-4</v>
      </c>
      <c r="C19" s="69">
        <f>B19*691.8953</f>
        <v>0.10309239969999999</v>
      </c>
      <c r="D19" s="170">
        <v>1.5441035693730036E-5</v>
      </c>
      <c r="E19" s="71">
        <v>3</v>
      </c>
      <c r="F19" s="169"/>
      <c r="J19" s="103"/>
      <c r="K19" s="103"/>
      <c r="L19" s="103"/>
      <c r="M19" s="103"/>
      <c r="N19" s="103"/>
      <c r="O19" s="103"/>
      <c r="P19" s="103"/>
    </row>
    <row r="20" spans="1:16" x14ac:dyDescent="0.35">
      <c r="A20" s="168" t="s">
        <v>94</v>
      </c>
      <c r="B20" s="48">
        <v>1.0399999999999999E-3</v>
      </c>
      <c r="C20" s="69">
        <f t="shared" si="0"/>
        <v>0.71957111200000001</v>
      </c>
      <c r="D20" s="170">
        <v>3.1E-4</v>
      </c>
      <c r="E20" s="71"/>
      <c r="F20" s="169"/>
      <c r="J20" s="103"/>
      <c r="K20" s="103"/>
      <c r="L20" s="103"/>
      <c r="M20" s="103"/>
      <c r="N20" s="103"/>
      <c r="O20" s="103"/>
      <c r="P20" s="103"/>
    </row>
    <row r="21" spans="1:16" x14ac:dyDescent="0.35">
      <c r="A21" s="168" t="s">
        <v>625</v>
      </c>
      <c r="B21" s="48">
        <v>3.5100000000000001E-3</v>
      </c>
      <c r="C21" s="69">
        <f t="shared" si="0"/>
        <v>2.4285525030000001</v>
      </c>
      <c r="D21" s="170">
        <v>2.4105482274881519E-4</v>
      </c>
      <c r="E21" s="72" t="s">
        <v>311</v>
      </c>
      <c r="F21" s="169">
        <v>3</v>
      </c>
      <c r="J21" s="103" t="s">
        <v>35</v>
      </c>
      <c r="K21" s="103">
        <v>429.923</v>
      </c>
      <c r="L21" s="103" t="s">
        <v>718</v>
      </c>
      <c r="M21" s="103"/>
      <c r="N21" s="103" t="s">
        <v>640</v>
      </c>
      <c r="O21" s="103">
        <f>1.60934/2.20462</f>
        <v>0.72998521287115248</v>
      </c>
      <c r="P21" s="103" t="s">
        <v>641</v>
      </c>
    </row>
    <row r="22" spans="1:16" x14ac:dyDescent="0.35">
      <c r="A22" s="168" t="s">
        <v>95</v>
      </c>
      <c r="B22" s="48">
        <v>3.1540000000000001E-3</v>
      </c>
      <c r="C22" s="69">
        <f t="shared" si="0"/>
        <v>2.1822377762</v>
      </c>
      <c r="D22" s="170">
        <v>2.1660595753554505E-4</v>
      </c>
      <c r="E22" s="71">
        <v>1</v>
      </c>
      <c r="F22" s="169"/>
      <c r="J22" s="103" t="s">
        <v>719</v>
      </c>
      <c r="K22" s="103">
        <v>0.62136999999999998</v>
      </c>
      <c r="L22" s="103" t="s">
        <v>720</v>
      </c>
      <c r="M22" s="103"/>
      <c r="N22" s="103" t="s">
        <v>8</v>
      </c>
      <c r="O22" s="103">
        <f>1000000/(1055.06)</f>
        <v>947.81339449889106</v>
      </c>
      <c r="P22" s="103" t="s">
        <v>642</v>
      </c>
    </row>
    <row r="23" spans="1:16" ht="14.25" customHeight="1" x14ac:dyDescent="0.35">
      <c r="A23" s="168" t="s">
        <v>96</v>
      </c>
      <c r="B23" s="48">
        <v>3.1540000000000001E-3</v>
      </c>
      <c r="C23" s="69">
        <f t="shared" si="0"/>
        <v>2.1822377762</v>
      </c>
      <c r="D23" s="170">
        <v>2.1660595753554505E-4</v>
      </c>
      <c r="E23" s="71">
        <v>1</v>
      </c>
      <c r="F23" s="169"/>
      <c r="J23" s="103" t="s">
        <v>721</v>
      </c>
      <c r="K23" s="103">
        <v>691.89530000000002</v>
      </c>
      <c r="L23" s="103" t="s">
        <v>722</v>
      </c>
      <c r="M23" s="103"/>
      <c r="N23" s="103" t="s">
        <v>723</v>
      </c>
      <c r="O23" s="103">
        <f>1/2.20462</f>
        <v>0.45359290943563974</v>
      </c>
      <c r="P23" s="103" t="s">
        <v>724</v>
      </c>
    </row>
    <row r="24" spans="1:16" x14ac:dyDescent="0.35">
      <c r="A24" s="168" t="s">
        <v>97</v>
      </c>
      <c r="B24" s="53">
        <v>5.5E-2</v>
      </c>
      <c r="C24" s="68">
        <f t="shared" si="0"/>
        <v>38.054241500000003</v>
      </c>
      <c r="D24" s="170">
        <v>3.3E-3</v>
      </c>
      <c r="E24" s="71">
        <v>2</v>
      </c>
      <c r="F24" s="169"/>
    </row>
    <row r="25" spans="1:16" ht="208.5" customHeight="1" x14ac:dyDescent="0.35">
      <c r="A25" s="168" t="s">
        <v>252</v>
      </c>
      <c r="B25" s="26">
        <v>200</v>
      </c>
      <c r="C25" s="70">
        <f>B25*429.923</f>
        <v>85984.6</v>
      </c>
      <c r="D25" s="171">
        <v>0</v>
      </c>
      <c r="E25" s="3">
        <v>4</v>
      </c>
      <c r="F25" s="169">
        <v>4</v>
      </c>
    </row>
    <row r="26" spans="1:16" ht="15" thickBot="1" x14ac:dyDescent="0.4">
      <c r="A26" s="541" t="s">
        <v>628</v>
      </c>
      <c r="B26" s="542"/>
      <c r="C26" s="542"/>
      <c r="D26" s="542"/>
      <c r="E26" s="44"/>
      <c r="F26" s="45"/>
    </row>
    <row r="27" spans="1:16" x14ac:dyDescent="0.35">
      <c r="A27" s="2" t="s">
        <v>381</v>
      </c>
    </row>
    <row r="28" spans="1:16" x14ac:dyDescent="0.35">
      <c r="A28" t="s">
        <v>376</v>
      </c>
    </row>
    <row r="29" spans="1:16" x14ac:dyDescent="0.35">
      <c r="A29" t="s">
        <v>377</v>
      </c>
    </row>
    <row r="30" spans="1:16" x14ac:dyDescent="0.35">
      <c r="A30" t="s">
        <v>378</v>
      </c>
    </row>
    <row r="31" spans="1:16" x14ac:dyDescent="0.35">
      <c r="A31" t="s">
        <v>379</v>
      </c>
    </row>
    <row r="32" spans="1:16" x14ac:dyDescent="0.35">
      <c r="A32" t="s">
        <v>380</v>
      </c>
    </row>
  </sheetData>
  <sheetProtection algorithmName="SHA-512" hashValue="hvJv8TabeF2y0OEpBAjzhbFZtJ41kMBY2yh6KRpi5/YtuXuAiSlA3YwYB1s9UNf1Zwt2BxFSxbJzrPiu88WT3A==" saltValue="hnqEcfdhto8Sih+0DUfknQ==" spinCount="100000" sheet="1" objects="1" scenarios="1"/>
  <mergeCells count="1">
    <mergeCell ref="A26:D26"/>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E45"/>
  <sheetViews>
    <sheetView workbookViewId="0">
      <selection activeCell="G31" sqref="G31"/>
    </sheetView>
  </sheetViews>
  <sheetFormatPr defaultRowHeight="14.5" x14ac:dyDescent="0.35"/>
  <cols>
    <col min="1" max="1" width="29.26953125" customWidth="1"/>
    <col min="2" max="4" width="18.7265625" customWidth="1"/>
    <col min="5" max="5" width="13.1796875" customWidth="1"/>
  </cols>
  <sheetData>
    <row r="1" spans="1:5" ht="15.5" x14ac:dyDescent="0.35">
      <c r="A1" s="22" t="s">
        <v>200</v>
      </c>
    </row>
    <row r="2" spans="1:5" x14ac:dyDescent="0.35">
      <c r="B2" t="s">
        <v>119</v>
      </c>
      <c r="C2" t="s">
        <v>120</v>
      </c>
      <c r="D2" t="s">
        <v>121</v>
      </c>
      <c r="E2" t="s">
        <v>123</v>
      </c>
    </row>
    <row r="3" spans="1:5" x14ac:dyDescent="0.35">
      <c r="A3" s="543" t="s">
        <v>124</v>
      </c>
      <c r="B3" s="543"/>
      <c r="C3" s="543"/>
      <c r="D3" s="543"/>
      <c r="E3" s="543"/>
    </row>
    <row r="4" spans="1:5" x14ac:dyDescent="0.35">
      <c r="A4" t="s">
        <v>125</v>
      </c>
      <c r="B4" s="16">
        <v>0.39500000000000002</v>
      </c>
      <c r="C4" s="17" t="s">
        <v>126</v>
      </c>
      <c r="D4" s="17" t="s">
        <v>126</v>
      </c>
      <c r="E4" t="s">
        <v>127</v>
      </c>
    </row>
    <row r="5" spans="1:5" x14ac:dyDescent="0.35">
      <c r="A5" t="s">
        <v>201</v>
      </c>
      <c r="B5" s="18" t="s">
        <v>128</v>
      </c>
      <c r="C5" t="s">
        <v>129</v>
      </c>
      <c r="D5" t="s">
        <v>129</v>
      </c>
      <c r="E5" t="s">
        <v>127</v>
      </c>
    </row>
    <row r="6" spans="1:5" x14ac:dyDescent="0.35">
      <c r="A6" t="s">
        <v>130</v>
      </c>
      <c r="B6" s="19">
        <v>0.55000000000000004</v>
      </c>
      <c r="C6" t="s">
        <v>129</v>
      </c>
      <c r="D6" t="s">
        <v>131</v>
      </c>
      <c r="E6" t="s">
        <v>132</v>
      </c>
    </row>
    <row r="7" spans="1:5" x14ac:dyDescent="0.35">
      <c r="A7" t="s">
        <v>135</v>
      </c>
      <c r="B7" s="18" t="s">
        <v>133</v>
      </c>
      <c r="C7" t="s">
        <v>126</v>
      </c>
      <c r="D7" t="s">
        <v>126</v>
      </c>
      <c r="E7" t="s">
        <v>134</v>
      </c>
    </row>
    <row r="8" spans="1:5" x14ac:dyDescent="0.35">
      <c r="A8" t="s">
        <v>136</v>
      </c>
      <c r="B8" s="18" t="s">
        <v>133</v>
      </c>
      <c r="C8" t="s">
        <v>126</v>
      </c>
      <c r="D8" t="s">
        <v>126</v>
      </c>
      <c r="E8" t="s">
        <v>134</v>
      </c>
    </row>
    <row r="9" spans="1:5" x14ac:dyDescent="0.35">
      <c r="A9" t="s">
        <v>137</v>
      </c>
      <c r="B9" s="18" t="s">
        <v>133</v>
      </c>
      <c r="C9" t="s">
        <v>126</v>
      </c>
      <c r="D9" t="s">
        <v>126</v>
      </c>
      <c r="E9" t="s">
        <v>134</v>
      </c>
    </row>
    <row r="10" spans="1:5" x14ac:dyDescent="0.35">
      <c r="A10" t="s">
        <v>138</v>
      </c>
      <c r="B10" s="18" t="s">
        <v>133</v>
      </c>
      <c r="C10" t="s">
        <v>126</v>
      </c>
      <c r="D10" t="s">
        <v>126</v>
      </c>
      <c r="E10" t="s">
        <v>134</v>
      </c>
    </row>
    <row r="11" spans="1:5" x14ac:dyDescent="0.35">
      <c r="A11" t="s">
        <v>139</v>
      </c>
      <c r="B11" s="19">
        <v>0.65</v>
      </c>
      <c r="C11" t="s">
        <v>129</v>
      </c>
      <c r="D11" t="s">
        <v>129</v>
      </c>
      <c r="E11" t="s">
        <v>140</v>
      </c>
    </row>
    <row r="12" spans="1:5" x14ac:dyDescent="0.35">
      <c r="A12" t="s">
        <v>141</v>
      </c>
      <c r="B12" s="19">
        <v>0.4</v>
      </c>
      <c r="E12" s="20" t="s">
        <v>142</v>
      </c>
    </row>
    <row r="14" spans="1:5" x14ac:dyDescent="0.35">
      <c r="A14" s="543" t="s">
        <v>143</v>
      </c>
      <c r="B14" s="543"/>
      <c r="C14" s="543"/>
      <c r="D14" s="543"/>
      <c r="E14" s="543"/>
    </row>
    <row r="15" spans="1:5" x14ac:dyDescent="0.35">
      <c r="A15" t="s">
        <v>144</v>
      </c>
      <c r="B15" s="18" t="s">
        <v>145</v>
      </c>
      <c r="C15" t="s">
        <v>126</v>
      </c>
      <c r="D15" t="s">
        <v>146</v>
      </c>
      <c r="E15" t="s">
        <v>127</v>
      </c>
    </row>
    <row r="16" spans="1:5" x14ac:dyDescent="0.35">
      <c r="A16" t="s">
        <v>147</v>
      </c>
      <c r="B16" s="18" t="s">
        <v>148</v>
      </c>
      <c r="C16" t="s">
        <v>126</v>
      </c>
      <c r="D16" t="s">
        <v>126</v>
      </c>
      <c r="E16" s="20" t="s">
        <v>149</v>
      </c>
    </row>
    <row r="17" spans="1:5" x14ac:dyDescent="0.35">
      <c r="A17" t="s">
        <v>150</v>
      </c>
      <c r="B17" s="19">
        <v>0.4</v>
      </c>
      <c r="D17" t="s">
        <v>151</v>
      </c>
      <c r="E17" s="20" t="s">
        <v>152</v>
      </c>
    </row>
    <row r="18" spans="1:5" x14ac:dyDescent="0.35">
      <c r="A18" t="s">
        <v>153</v>
      </c>
      <c r="B18" s="19">
        <v>0.25</v>
      </c>
      <c r="D18" t="s">
        <v>154</v>
      </c>
      <c r="E18" t="s">
        <v>155</v>
      </c>
    </row>
    <row r="19" spans="1:5" x14ac:dyDescent="0.35">
      <c r="A19" t="s">
        <v>156</v>
      </c>
      <c r="B19" s="19">
        <v>0.7</v>
      </c>
      <c r="C19" t="s">
        <v>131</v>
      </c>
      <c r="D19" t="s">
        <v>157</v>
      </c>
      <c r="E19" t="s">
        <v>158</v>
      </c>
    </row>
    <row r="20" spans="1:5" x14ac:dyDescent="0.35">
      <c r="B20" s="19"/>
    </row>
    <row r="21" spans="1:5" x14ac:dyDescent="0.35">
      <c r="A21" s="543" t="s">
        <v>100</v>
      </c>
      <c r="B21" s="543"/>
      <c r="C21" s="543"/>
      <c r="D21" s="543"/>
      <c r="E21" s="543"/>
    </row>
    <row r="22" spans="1:5" x14ac:dyDescent="0.35">
      <c r="A22" t="s">
        <v>159</v>
      </c>
      <c r="B22" s="19">
        <v>0.8</v>
      </c>
      <c r="E22" t="s">
        <v>134</v>
      </c>
    </row>
    <row r="23" spans="1:5" x14ac:dyDescent="0.35">
      <c r="A23" t="s">
        <v>160</v>
      </c>
      <c r="E23" t="s">
        <v>134</v>
      </c>
    </row>
    <row r="24" spans="1:5" x14ac:dyDescent="0.35">
      <c r="A24" t="s">
        <v>161</v>
      </c>
      <c r="B24" s="19">
        <v>0.7</v>
      </c>
      <c r="C24" t="s">
        <v>131</v>
      </c>
      <c r="D24" t="s">
        <v>162</v>
      </c>
      <c r="E24" s="21" t="s">
        <v>163</v>
      </c>
    </row>
    <row r="25" spans="1:5" x14ac:dyDescent="0.35">
      <c r="A25" t="s">
        <v>164</v>
      </c>
      <c r="D25" t="s">
        <v>126</v>
      </c>
      <c r="E25" s="21" t="s">
        <v>165</v>
      </c>
    </row>
    <row r="26" spans="1:5" x14ac:dyDescent="0.35">
      <c r="E26" s="21"/>
    </row>
    <row r="27" spans="1:5" x14ac:dyDescent="0.35">
      <c r="A27" s="543" t="s">
        <v>166</v>
      </c>
      <c r="B27" s="543" t="s">
        <v>167</v>
      </c>
      <c r="C27" s="543" t="s">
        <v>168</v>
      </c>
      <c r="D27" s="543" t="s">
        <v>169</v>
      </c>
      <c r="E27" s="543"/>
    </row>
    <row r="28" spans="1:5" x14ac:dyDescent="0.35">
      <c r="A28" t="s">
        <v>170</v>
      </c>
      <c r="B28" s="18" t="s">
        <v>171</v>
      </c>
      <c r="C28" t="s">
        <v>172</v>
      </c>
      <c r="D28" t="s">
        <v>173</v>
      </c>
      <c r="E28" t="s">
        <v>174</v>
      </c>
    </row>
    <row r="29" spans="1:5" ht="17.25" customHeight="1" x14ac:dyDescent="0.35">
      <c r="A29" t="s">
        <v>170</v>
      </c>
      <c r="B29" s="19">
        <v>0.55000000000000004</v>
      </c>
      <c r="C29" t="s">
        <v>175</v>
      </c>
      <c r="D29" t="s">
        <v>176</v>
      </c>
      <c r="E29" t="s">
        <v>177</v>
      </c>
    </row>
    <row r="30" spans="1:5" x14ac:dyDescent="0.35">
      <c r="A30" t="s">
        <v>178</v>
      </c>
      <c r="B30" s="19">
        <v>0.2</v>
      </c>
      <c r="E30" t="s">
        <v>179</v>
      </c>
    </row>
    <row r="31" spans="1:5" x14ac:dyDescent="0.35">
      <c r="A31" t="s">
        <v>170</v>
      </c>
      <c r="B31" s="19">
        <v>0.68</v>
      </c>
      <c r="C31" t="s">
        <v>172</v>
      </c>
      <c r="D31" t="s">
        <v>180</v>
      </c>
      <c r="E31" t="s">
        <v>134</v>
      </c>
    </row>
    <row r="33" spans="1:5" x14ac:dyDescent="0.35">
      <c r="A33" s="543" t="s">
        <v>181</v>
      </c>
      <c r="B33" s="543" t="s">
        <v>122</v>
      </c>
      <c r="C33" s="543"/>
      <c r="D33" s="543"/>
      <c r="E33" s="543"/>
    </row>
    <row r="34" spans="1:5" x14ac:dyDescent="0.35">
      <c r="A34" t="s">
        <v>182</v>
      </c>
      <c r="B34" t="s">
        <v>183</v>
      </c>
      <c r="E34" t="s">
        <v>165</v>
      </c>
    </row>
    <row r="35" spans="1:5" x14ac:dyDescent="0.35">
      <c r="B35" t="s">
        <v>184</v>
      </c>
      <c r="E35" t="s">
        <v>134</v>
      </c>
    </row>
    <row r="36" spans="1:5" x14ac:dyDescent="0.35">
      <c r="A36" t="s">
        <v>185</v>
      </c>
      <c r="B36" t="s">
        <v>186</v>
      </c>
      <c r="E36" t="s">
        <v>134</v>
      </c>
    </row>
    <row r="37" spans="1:5" x14ac:dyDescent="0.35">
      <c r="A37" t="s">
        <v>187</v>
      </c>
      <c r="B37" t="s">
        <v>188</v>
      </c>
      <c r="E37" t="s">
        <v>189</v>
      </c>
    </row>
    <row r="38" spans="1:5" x14ac:dyDescent="0.35">
      <c r="A38" t="s">
        <v>190</v>
      </c>
      <c r="B38" t="s">
        <v>191</v>
      </c>
      <c r="E38" t="s">
        <v>192</v>
      </c>
    </row>
    <row r="39" spans="1:5" x14ac:dyDescent="0.35">
      <c r="A39" t="s">
        <v>193</v>
      </c>
      <c r="E39" t="s">
        <v>134</v>
      </c>
    </row>
    <row r="41" spans="1:5" x14ac:dyDescent="0.35">
      <c r="A41" s="543" t="s">
        <v>194</v>
      </c>
      <c r="B41" s="543" t="s">
        <v>195</v>
      </c>
      <c r="C41" s="543"/>
      <c r="D41" s="543"/>
      <c r="E41" s="543"/>
    </row>
    <row r="42" spans="1:5" x14ac:dyDescent="0.35">
      <c r="A42" t="s">
        <v>196</v>
      </c>
    </row>
    <row r="43" spans="1:5" x14ac:dyDescent="0.35">
      <c r="A43" t="s">
        <v>197</v>
      </c>
    </row>
    <row r="44" spans="1:5" x14ac:dyDescent="0.35">
      <c r="A44" t="s">
        <v>198</v>
      </c>
    </row>
    <row r="45" spans="1:5" x14ac:dyDescent="0.35">
      <c r="A45" t="s">
        <v>199</v>
      </c>
    </row>
  </sheetData>
  <sheetProtection algorithmName="SHA-512" hashValue="YsIn5OxpJT6uVuMAJSBCiicL6HZdTjju4y7nR3ZpfYfJOo3Gpcxzq5MqSaSjhH6JfWE8zrMNWnm8uvSt3Vd/Eg==" saltValue="mmW8TywB3q7Zo5ZT3z+h7Q==" spinCount="100000" sheet="1" objects="1" scenarios="1"/>
  <mergeCells count="6">
    <mergeCell ref="A33:E33"/>
    <mergeCell ref="A41:E41"/>
    <mergeCell ref="A3:E3"/>
    <mergeCell ref="A14:E14"/>
    <mergeCell ref="A21:E21"/>
    <mergeCell ref="A27:E27"/>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0DB8-4D4C-46A1-8126-959DA3468B96}">
  <sheetPr codeName="Sheet19">
    <tabColor theme="8"/>
  </sheetPr>
  <dimension ref="A1:S12"/>
  <sheetViews>
    <sheetView zoomScale="85" zoomScaleNormal="85" workbookViewId="0">
      <selection activeCell="Q1" sqref="G1:Q1048576"/>
    </sheetView>
  </sheetViews>
  <sheetFormatPr defaultRowHeight="14.5" x14ac:dyDescent="0.35"/>
  <cols>
    <col min="1" max="1" width="27" customWidth="1"/>
    <col min="3" max="3" width="8.54296875" customWidth="1"/>
    <col min="4" max="4" width="42.453125" customWidth="1"/>
    <col min="7" max="17" width="0" hidden="1" customWidth="1"/>
  </cols>
  <sheetData>
    <row r="1" spans="1:19" x14ac:dyDescent="0.35">
      <c r="S1" t="s">
        <v>78</v>
      </c>
    </row>
    <row r="3" spans="1:19" ht="43.5" x14ac:dyDescent="0.35">
      <c r="A3" s="95" t="s">
        <v>643</v>
      </c>
      <c r="B3" s="95" t="s">
        <v>644</v>
      </c>
      <c r="C3" s="95" t="s">
        <v>645</v>
      </c>
      <c r="D3" s="95" t="s">
        <v>654</v>
      </c>
    </row>
    <row r="4" spans="1:19" ht="20" x14ac:dyDescent="0.35">
      <c r="A4" s="54" t="s">
        <v>646</v>
      </c>
      <c r="B4">
        <v>4.0322077516000004E-2</v>
      </c>
      <c r="C4">
        <v>2.66E-3</v>
      </c>
      <c r="D4" s="174" t="s">
        <v>647</v>
      </c>
    </row>
    <row r="5" spans="1:19" x14ac:dyDescent="0.35">
      <c r="A5" s="54" t="s">
        <v>648</v>
      </c>
      <c r="B5">
        <v>3.9890480486999995E-2</v>
      </c>
      <c r="C5">
        <v>2.6199999999999999E-3</v>
      </c>
      <c r="D5" s="173" t="s">
        <v>649</v>
      </c>
    </row>
    <row r="6" spans="1:19" x14ac:dyDescent="0.35">
      <c r="A6" s="54" t="s">
        <v>650</v>
      </c>
      <c r="B6">
        <v>8.405054411E-2</v>
      </c>
      <c r="C6">
        <v>5.4799999999999996E-3</v>
      </c>
      <c r="D6" s="173" t="s">
        <v>651</v>
      </c>
    </row>
    <row r="7" spans="1:19" x14ac:dyDescent="0.35">
      <c r="A7" s="54" t="s">
        <v>652</v>
      </c>
      <c r="B7">
        <v>4.6071819628000006E-2</v>
      </c>
      <c r="C7">
        <v>3.2399999999999998E-3</v>
      </c>
      <c r="D7" s="173" t="s">
        <v>653</v>
      </c>
    </row>
    <row r="10" spans="1:19" x14ac:dyDescent="0.35">
      <c r="G10" s="103" t="s">
        <v>275</v>
      </c>
      <c r="H10" s="103"/>
      <c r="I10" s="103"/>
    </row>
    <row r="11" spans="1:19" x14ac:dyDescent="0.35">
      <c r="G11" s="103" t="s">
        <v>274</v>
      </c>
      <c r="H11" s="103"/>
      <c r="I11" s="103"/>
    </row>
    <row r="12" spans="1:19" x14ac:dyDescent="0.35">
      <c r="G12" s="103" t="s">
        <v>272</v>
      </c>
      <c r="H12" s="103"/>
      <c r="I12" s="103"/>
    </row>
  </sheetData>
  <sheetProtection algorithmName="SHA-512" hashValue="O00doYxelV2/AsIVkNtKxqh197Tu8wsyg4j7IhIg3jfQvNyArxTlUQy8lUltg3IQmvLn+ypD2mdjYZSI9pb28A==" saltValue="6eSVOxArB51BOq172aLlRQ==" spinCount="100000" sheet="1" objects="1" scenarios="1"/>
  <pageMargins left="0.7" right="0.7" top="0.75" bottom="0.75" header="0.3" footer="0.3"/>
  <pageSetup orientation="portrait"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D58E8-3851-4290-9961-98E4713CC1C8}">
  <sheetPr codeName="Sheet22">
    <tabColor theme="9"/>
  </sheetPr>
  <dimension ref="A1:AJ41"/>
  <sheetViews>
    <sheetView zoomScale="70" zoomScaleNormal="70" workbookViewId="0">
      <selection activeCell="Y66" sqref="Y66"/>
    </sheetView>
  </sheetViews>
  <sheetFormatPr defaultRowHeight="14.5" x14ac:dyDescent="0.35"/>
  <cols>
    <col min="3" max="3" width="16.81640625" customWidth="1"/>
    <col min="30" max="30" width="11.7265625" customWidth="1"/>
    <col min="31" max="31" width="10.1796875" customWidth="1"/>
    <col min="32" max="32" width="13.1796875" bestFit="1" customWidth="1"/>
    <col min="34" max="35" width="14.26953125" bestFit="1" customWidth="1"/>
  </cols>
  <sheetData>
    <row r="1" spans="1:36" ht="15" thickBot="1" x14ac:dyDescent="0.4">
      <c r="AE1" t="str">
        <f>unitEE</f>
        <v>Btu/lb</v>
      </c>
      <c r="AF1">
        <f>IF(Y14="Metric",1,1000000/(1055.06*2.20462))</f>
        <v>429.92143521282179</v>
      </c>
      <c r="AH1" t="str">
        <f>unitCE</f>
        <v>kg/lb</v>
      </c>
      <c r="AI1">
        <f>IF(Y14="Metric",1,1/(2.20462))</f>
        <v>0.45359290943563974</v>
      </c>
    </row>
    <row r="2" spans="1:36" x14ac:dyDescent="0.35">
      <c r="A2" s="41" t="s">
        <v>468</v>
      </c>
      <c r="B2" s="13" t="s">
        <v>469</v>
      </c>
      <c r="C2" s="13" t="s">
        <v>470</v>
      </c>
      <c r="D2" s="13" t="s">
        <v>471</v>
      </c>
      <c r="E2" s="13" t="s">
        <v>476</v>
      </c>
      <c r="F2" s="14" t="s">
        <v>477</v>
      </c>
      <c r="I2" s="41" t="s">
        <v>472</v>
      </c>
      <c r="J2" s="13" t="s">
        <v>473</v>
      </c>
      <c r="K2" s="13" t="s">
        <v>474</v>
      </c>
      <c r="L2" s="13" t="s">
        <v>475</v>
      </c>
      <c r="M2" s="13" t="s">
        <v>478</v>
      </c>
      <c r="N2" s="14" t="s">
        <v>479</v>
      </c>
      <c r="P2" s="41" t="s">
        <v>499</v>
      </c>
      <c r="Q2" s="13" t="s">
        <v>500</v>
      </c>
      <c r="R2" s="13" t="s">
        <v>501</v>
      </c>
      <c r="S2" s="13" t="s">
        <v>502</v>
      </c>
      <c r="T2" s="14" t="s">
        <v>503</v>
      </c>
      <c r="V2" s="41" t="s">
        <v>508</v>
      </c>
      <c r="W2" s="13" t="s">
        <v>504</v>
      </c>
      <c r="X2" s="13" t="s">
        <v>929</v>
      </c>
      <c r="Y2" s="13" t="s">
        <v>505</v>
      </c>
      <c r="Z2" s="14" t="s">
        <v>506</v>
      </c>
      <c r="AE2" t="s">
        <v>438</v>
      </c>
      <c r="AF2" t="s">
        <v>439</v>
      </c>
      <c r="AG2" t="s">
        <v>576</v>
      </c>
      <c r="AH2" t="s">
        <v>438</v>
      </c>
      <c r="AI2" t="s">
        <v>439</v>
      </c>
      <c r="AJ2" t="s">
        <v>576</v>
      </c>
    </row>
    <row r="3" spans="1:36" ht="15.5" x14ac:dyDescent="0.35">
      <c r="A3" s="15" t="s">
        <v>14</v>
      </c>
      <c r="B3" s="42" t="s">
        <v>14</v>
      </c>
      <c r="C3" s="42" t="s">
        <v>14</v>
      </c>
      <c r="D3" s="42" t="s">
        <v>14</v>
      </c>
      <c r="E3" s="42" t="s">
        <v>14</v>
      </c>
      <c r="F3" s="12" t="s">
        <v>208</v>
      </c>
      <c r="I3" s="15" t="s">
        <v>14</v>
      </c>
      <c r="J3" s="42" t="s">
        <v>14</v>
      </c>
      <c r="K3" s="42" t="s">
        <v>14</v>
      </c>
      <c r="L3" s="42" t="s">
        <v>14</v>
      </c>
      <c r="M3" s="42" t="s">
        <v>14</v>
      </c>
      <c r="N3" s="12" t="s">
        <v>208</v>
      </c>
      <c r="P3" s="15"/>
      <c r="Q3" s="42"/>
      <c r="R3" s="42"/>
      <c r="S3" s="42"/>
      <c r="T3" s="12"/>
      <c r="V3" s="15" t="s">
        <v>14</v>
      </c>
      <c r="W3" s="42" t="s">
        <v>14</v>
      </c>
      <c r="X3" s="42" t="s">
        <v>14</v>
      </c>
      <c r="Y3" s="42" t="s">
        <v>14</v>
      </c>
      <c r="Z3" s="12" t="s">
        <v>507</v>
      </c>
      <c r="AD3" t="s">
        <v>509</v>
      </c>
      <c r="AE3" s="67">
        <f>IFERROR((VLOOKUP($AF$20&amp;" "&amp;$AG$20,Material_Source_EE,AE$29,FALSE)+VLOOKUP($AE$20&amp;" "&amp;$AH$20,Material_Form_EE,AE$30,FALSE))*$AF$1,0)</f>
        <v>279448.93288833415</v>
      </c>
      <c r="AF3" s="67">
        <f>IFERROR((VLOOKUP($AF$20&amp;" "&amp;$AG$20,Material_Source_EE,AF$29,FALSE)+VLOOKUP($AE$20&amp;" "&amp;$AH$20,Material_Form_EE,AF$30,FALSE))*$AF$1,0)</f>
        <v>309543.4333532317</v>
      </c>
      <c r="AG3">
        <f>AVERAGE(AE3:AF3)</f>
        <v>294496.18312078295</v>
      </c>
      <c r="AH3" s="73">
        <f>IFERROR((VLOOKUP($AF$20&amp;" "&amp;$AG$20,Material_Source_EE,AH$29,FALSE)+VLOOKUP($AE$20&amp;" "&amp;$AH$20,Material_Form_EE,AH$30,FALSE))*$AI$1,0)</f>
        <v>19.958088015168148</v>
      </c>
      <c r="AI3" s="73">
        <f>IFERROR((VLOOKUP($AF$20&amp;" "&amp;$AG$20,Material_Source_EE,AI$29,FALSE)+VLOOKUP($AE$20&amp;" "&amp;$AH$20,Material_Form_EE,AI$30,FALSE))*$AI$1,0)</f>
        <v>22.226052562346347</v>
      </c>
      <c r="AJ3">
        <f>AVERAGE(AH3:AI3)</f>
        <v>21.092070288757249</v>
      </c>
    </row>
    <row r="4" spans="1:36" ht="15.5" x14ac:dyDescent="0.35">
      <c r="A4" s="15" t="s">
        <v>555</v>
      </c>
      <c r="B4" s="42" t="s">
        <v>555</v>
      </c>
      <c r="C4" s="42" t="s">
        <v>555</v>
      </c>
      <c r="D4" s="42" t="s">
        <v>555</v>
      </c>
      <c r="E4" s="42"/>
      <c r="F4" s="12"/>
      <c r="I4" s="15" t="s">
        <v>395</v>
      </c>
      <c r="J4" s="42" t="s">
        <v>456</v>
      </c>
      <c r="K4" s="42" t="s">
        <v>402</v>
      </c>
      <c r="L4" s="42" t="s">
        <v>401</v>
      </c>
      <c r="M4" s="42"/>
      <c r="N4" s="12"/>
      <c r="P4" s="15"/>
      <c r="Q4" s="42"/>
      <c r="R4" s="42"/>
      <c r="S4" s="42"/>
      <c r="T4" s="12"/>
      <c r="V4" s="15" t="s">
        <v>208</v>
      </c>
      <c r="W4" s="42" t="s">
        <v>208</v>
      </c>
      <c r="X4" s="42" t="s">
        <v>208</v>
      </c>
      <c r="Y4" s="42" t="s">
        <v>208</v>
      </c>
      <c r="Z4" s="12"/>
      <c r="AD4" t="s">
        <v>510</v>
      </c>
      <c r="AE4" s="67">
        <f>IFERROR((VLOOKUP($AF$20&amp;" "&amp;"Secondary",Material_Source_EE,AE$29,FALSE)+VLOOKUP($AE$20&amp;" "&amp;$AH$20,Material_Form_EE,AE$30,FALSE))*$AF$1,0)</f>
        <v>33533.871946600098</v>
      </c>
      <c r="AF4" s="67">
        <f>IFERROR((VLOOKUP($AF$20&amp;" "&amp;"Secondary",Material_Source_EE,AF$29,FALSE)+VLOOKUP($AE$20&amp;" "&amp;$AH$20,Material_Form_EE,AF$30,FALSE))*$AF$1,0)</f>
        <v>41272.457780430894</v>
      </c>
      <c r="AG4">
        <f t="shared" ref="AG4:AG10" si="0">AVERAGE(AE4:AF4)</f>
        <v>37403.1648635155</v>
      </c>
      <c r="AH4" s="73">
        <f>IFERROR((VLOOKUP($AF$20&amp;" "&amp;"Secondary",Material_Source_EE,AH$29,FALSE)+VLOOKUP($AE$20&amp;" "&amp;$AH$20,Material_Form_EE,AH$30,FALSE))*$AI$1,0)</f>
        <v>2.1318866743475069</v>
      </c>
      <c r="AI4" s="73">
        <f>IFERROR((VLOOKUP($AF$20&amp;" "&amp;"Secondary",Material_Source_EE,AI$29,FALSE)+VLOOKUP($AE$20&amp;" "&amp;$AH$20,Material_Form_EE,AI$30,FALSE))*$AI$1,0)</f>
        <v>2.5854795837831466</v>
      </c>
      <c r="AJ4">
        <f t="shared" ref="AJ4:AJ10" si="1">AVERAGE(AH4:AI4)</f>
        <v>2.3586831290653265</v>
      </c>
    </row>
    <row r="5" spans="1:36" ht="15.5" x14ac:dyDescent="0.35">
      <c r="A5" s="15" t="s">
        <v>110</v>
      </c>
      <c r="B5" s="42" t="s">
        <v>441</v>
      </c>
      <c r="C5" s="42" t="s">
        <v>294</v>
      </c>
      <c r="D5" s="42" t="s">
        <v>440</v>
      </c>
      <c r="E5" s="42"/>
      <c r="F5" s="12"/>
      <c r="I5" s="15"/>
      <c r="J5" s="42" t="s">
        <v>457</v>
      </c>
      <c r="K5" s="42" t="s">
        <v>464</v>
      </c>
      <c r="L5" s="42" t="s">
        <v>463</v>
      </c>
      <c r="M5" s="42"/>
      <c r="N5" s="12"/>
      <c r="P5" s="15"/>
      <c r="Q5" s="42"/>
      <c r="R5" s="42"/>
      <c r="S5" s="42"/>
      <c r="T5" s="12"/>
      <c r="V5" s="15" t="s">
        <v>385</v>
      </c>
      <c r="W5" s="42" t="s">
        <v>396</v>
      </c>
      <c r="X5" s="42" t="s">
        <v>387</v>
      </c>
      <c r="Y5" s="42" t="s">
        <v>396</v>
      </c>
      <c r="Z5" s="12"/>
      <c r="AD5" t="s">
        <v>511</v>
      </c>
      <c r="AE5" s="67">
        <f>IFERROR((VLOOKUP($AF$21&amp;" "&amp;$AG$21,Material_Source_EE,AE$29,FALSE)+VLOOKUP($AE$21&amp;" "&amp;$AH$21,Material_Form_EE,AE$30,FALSE))*$AF$1, 0)</f>
        <v>0</v>
      </c>
      <c r="AF5" s="67">
        <f>IFERROR((VLOOKUP($AF$21&amp;" "&amp;$AG$21,Material_Source_EE,AF$29,FALSE)+VLOOKUP($AE$21&amp;" "&amp;$AH$21,Material_Form_EE,AF$30,FALSE))*$AF$1,0)</f>
        <v>0</v>
      </c>
      <c r="AG5">
        <f t="shared" si="0"/>
        <v>0</v>
      </c>
      <c r="AH5" s="73">
        <f>IFERROR((VLOOKUP($AF$21&amp;" "&amp;$AG$21,Material_Source_EE,AH$29,FALSE)+VLOOKUP($AE$21&amp;" "&amp;$AH$21,Material_Form_EE,AH$30,FALSE))*$AI$1, 0)</f>
        <v>0</v>
      </c>
      <c r="AI5" s="73">
        <f>IFERROR((VLOOKUP($AF$21&amp;" "&amp;$AG$21,Material_Source_EE,AI$29,FALSE)+VLOOKUP($AE$21&amp;" "&amp;$AH$21,Material_Form_EE,AI$30,FALSE))*$AI$1, 0)</f>
        <v>0</v>
      </c>
      <c r="AJ5">
        <f t="shared" si="1"/>
        <v>0</v>
      </c>
    </row>
    <row r="6" spans="1:36" ht="16" thickBot="1" x14ac:dyDescent="0.4">
      <c r="A6" s="15" t="s">
        <v>308</v>
      </c>
      <c r="B6" s="42" t="s">
        <v>309</v>
      </c>
      <c r="C6" s="42" t="s">
        <v>295</v>
      </c>
      <c r="D6" s="42" t="s">
        <v>109</v>
      </c>
      <c r="E6" s="42"/>
      <c r="F6" s="12"/>
      <c r="I6" s="15"/>
      <c r="J6" s="42" t="s">
        <v>458</v>
      </c>
      <c r="K6" s="42" t="s">
        <v>395</v>
      </c>
      <c r="L6" s="42" t="s">
        <v>395</v>
      </c>
      <c r="M6" s="42"/>
      <c r="N6" s="12"/>
      <c r="P6" s="15"/>
      <c r="Q6" s="42"/>
      <c r="R6" s="42"/>
      <c r="S6" s="42"/>
      <c r="T6" s="12"/>
      <c r="V6" s="43"/>
      <c r="W6" s="44" t="s">
        <v>386</v>
      </c>
      <c r="X6" s="44" t="s">
        <v>386</v>
      </c>
      <c r="Y6" s="44" t="s">
        <v>387</v>
      </c>
      <c r="Z6" s="45"/>
      <c r="AD6" t="s">
        <v>512</v>
      </c>
      <c r="AE6" s="67">
        <f>IFERROR((VLOOKUP($AF$21&amp;" "&amp;"Secondary",Material_Source_EE,AE$29,FALSE)+VLOOKUP($AE$21&amp;" "&amp;$AH$21,Material_Form_EE,AE$30,FALSE))*$AF$1, 0)</f>
        <v>0</v>
      </c>
      <c r="AF6" s="67">
        <f>IFERROR((VLOOKUP($AF$21&amp;" "&amp;"Secondary",Material_Source_EE,AF$29,FALSE)+VLOOKUP($AE$21&amp;" "&amp;$AH$21,Material_Form_EE,AF$30,FALSE))*$AF$1, 0)</f>
        <v>0</v>
      </c>
      <c r="AG6">
        <f t="shared" si="0"/>
        <v>0</v>
      </c>
      <c r="AH6" s="73">
        <f>IFERROR((VLOOKUP($AF$21&amp;" "&amp;"Secondary",Material_Source_EE,AH$29,FALSE)+VLOOKUP($AE$21&amp;" "&amp;$AH$21,Material_Form_EE,AH$30,FALSE))*$AI$1, 0)</f>
        <v>0</v>
      </c>
      <c r="AI6" s="73">
        <f>IFERROR((VLOOKUP($AF$21&amp;" "&amp;"Secondary",Material_Source_EE,AI$29,FALSE)+VLOOKUP($AE$21&amp;" "&amp;$AH$21,Material_Form_EE,AI$30,FALSE))*$AI$1, 0)</f>
        <v>0</v>
      </c>
      <c r="AJ6">
        <f t="shared" si="1"/>
        <v>0</v>
      </c>
    </row>
    <row r="7" spans="1:36" ht="15.5" x14ac:dyDescent="0.35">
      <c r="A7" s="15" t="s">
        <v>307</v>
      </c>
      <c r="B7" s="42" t="s">
        <v>466</v>
      </c>
      <c r="C7" s="42" t="s">
        <v>299</v>
      </c>
      <c r="D7" s="42" t="s">
        <v>543</v>
      </c>
      <c r="E7" s="42"/>
      <c r="F7" s="12"/>
      <c r="I7" s="15"/>
      <c r="J7" s="42" t="s">
        <v>459</v>
      </c>
      <c r="K7" s="42" t="s">
        <v>465</v>
      </c>
      <c r="L7" s="42"/>
      <c r="M7" s="42"/>
      <c r="N7" s="12"/>
      <c r="P7" s="15"/>
      <c r="Q7" s="42"/>
      <c r="R7" s="42"/>
      <c r="S7" s="42"/>
      <c r="T7" s="12"/>
      <c r="AD7" t="s">
        <v>513</v>
      </c>
      <c r="AE7" s="67">
        <f>IFERROR((VLOOKUP($AF$24&amp;" "&amp;$AG$24,Material_Source_EE,AE$29,FALSE)+VLOOKUP($AE$24&amp;" "&amp;$AH$24,Material_Form_EE,AE$30,FALSE))*$AF$1, 0)</f>
        <v>0</v>
      </c>
      <c r="AF7" s="67">
        <f>IFERROR((VLOOKUP($AF$24&amp;" "&amp;$AG$24,Material_Source_EE,AF$29,FALSE)+VLOOKUP($AE$24&amp;" "&amp;$AH$24,Material_Form_EE,AF$30,FALSE))*$AF$1,0)</f>
        <v>0</v>
      </c>
      <c r="AG7">
        <f t="shared" si="0"/>
        <v>0</v>
      </c>
      <c r="AH7" s="73">
        <f>IFERROR((VLOOKUP($AF$24&amp;" "&amp;$AG$24,Material_Source_EE,AH$29,FALSE)+VLOOKUP($AE$24&amp;" "&amp;$AH$24,Material_Form_EE,AH$30,FALSE))*$AI$1,0)</f>
        <v>0</v>
      </c>
      <c r="AI7" s="73">
        <f>IFERROR((VLOOKUP($AF$24&amp;" "&amp;$AG$24,Material_Source_EE,AI$29,FALSE)+VLOOKUP($AE$24&amp;" "&amp;$AH$24,Material_Form_EE,AI$30,FALSE))*$AI$1,0)</f>
        <v>0</v>
      </c>
      <c r="AJ7">
        <f t="shared" si="1"/>
        <v>0</v>
      </c>
    </row>
    <row r="8" spans="1:36" ht="15.5" x14ac:dyDescent="0.35">
      <c r="A8" s="15" t="s">
        <v>552</v>
      </c>
      <c r="B8" s="42" t="s">
        <v>467</v>
      </c>
      <c r="C8" s="42" t="s">
        <v>9</v>
      </c>
      <c r="D8" s="42" t="s">
        <v>305</v>
      </c>
      <c r="E8" s="42"/>
      <c r="F8" s="12"/>
      <c r="I8" s="15"/>
      <c r="J8" s="42" t="s">
        <v>460</v>
      </c>
      <c r="K8" s="42"/>
      <c r="L8" s="42"/>
      <c r="M8" s="42"/>
      <c r="N8" s="12"/>
      <c r="P8" s="15"/>
      <c r="Q8" s="42"/>
      <c r="R8" s="42"/>
      <c r="S8" s="42"/>
      <c r="T8" s="12"/>
      <c r="AD8" t="s">
        <v>514</v>
      </c>
      <c r="AE8" s="67">
        <f>IFERROR((VLOOKUP($AF$24&amp;" "&amp;"Secondary",Material_Source_EE,AE$29,FALSE)+VLOOKUP($AE$24&amp;" "&amp;$AH$24,Material_Form_EE,AE$30,FALSE))*$AF$1,0)</f>
        <v>0</v>
      </c>
      <c r="AF8" s="67">
        <f>IFERROR((VLOOKUP($AF$24&amp;" "&amp;"Secondary",Material_Source_EE,AF$29,FALSE)+VLOOKUP($AE$24&amp;" "&amp;$AH$24,Material_Form_EE,AF$30,FALSE))*$AF$1,0)</f>
        <v>0</v>
      </c>
      <c r="AG8">
        <f t="shared" si="0"/>
        <v>0</v>
      </c>
      <c r="AH8" s="73">
        <f>IFERROR((VLOOKUP($AF$24&amp;" "&amp;"Secondary",Material_Source_EE,AH$29,FALSE)+VLOOKUP($AE$24&amp;" "&amp;$AH$24,Material_Form_EE,AH$30,FALSE))*$AI$1,0)</f>
        <v>0</v>
      </c>
      <c r="AI8" s="73">
        <f>IFERROR((VLOOKUP($AF$24&amp;" "&amp;"Secondary",Material_Source_EE,AI$29,FALSE)+VLOOKUP($AE$24&amp;" "&amp;$AH$24,Material_Form_EE,AI$30,FALSE))*$AI$1, 0)</f>
        <v>0</v>
      </c>
      <c r="AJ8">
        <f t="shared" si="1"/>
        <v>0</v>
      </c>
    </row>
    <row r="9" spans="1:36" ht="15.5" x14ac:dyDescent="0.35">
      <c r="A9" s="15" t="s">
        <v>553</v>
      </c>
      <c r="B9" s="42"/>
      <c r="C9" s="42" t="s">
        <v>442</v>
      </c>
      <c r="D9" s="42" t="s">
        <v>11</v>
      </c>
      <c r="E9" s="42"/>
      <c r="F9" s="12"/>
      <c r="I9" s="15"/>
      <c r="J9" s="42" t="s">
        <v>461</v>
      </c>
      <c r="K9" s="42"/>
      <c r="L9" s="42"/>
      <c r="M9" s="42"/>
      <c r="N9" s="12"/>
      <c r="P9" s="15"/>
      <c r="Q9" s="42"/>
      <c r="R9" s="42"/>
      <c r="S9" s="42"/>
      <c r="T9" s="12"/>
      <c r="AD9" t="s">
        <v>516</v>
      </c>
      <c r="AE9" s="67">
        <f>IFERROR((VLOOKUP($AF$25&amp;" "&amp;$AG$25,Material_Source_EE,AE$29,FALSE)+VLOOKUP($AE$25&amp;" "&amp;$AH$25,Material_Form_EE,AE$30,FALSE))*$AF$1, 0)</f>
        <v>0</v>
      </c>
      <c r="AF9" s="67">
        <f>IFERROR((VLOOKUP($AF$25&amp;" "&amp;$AG$25,Material_Source_EE,AF$29,FALSE)+VLOOKUP($AE$25&amp;" "&amp;$AH$25,Material_Form_EE,AF$30,FALSE))*$AF$1, 0)</f>
        <v>0</v>
      </c>
      <c r="AG9">
        <f t="shared" si="0"/>
        <v>0</v>
      </c>
      <c r="AH9" s="73">
        <f>IFERROR((VLOOKUP($AF$25&amp;" "&amp;$AG$25,Material_Source_EE,AH$29,FALSE)+VLOOKUP($AE$25&amp;" "&amp;$AH$25,Material_Form_EE,AH$30,FALSE))*$AI$1, 0)</f>
        <v>0</v>
      </c>
      <c r="AI9" s="73">
        <f>IFERROR((VLOOKUP($AF$25&amp;" "&amp;$AG$25,Material_Source_EE,AI$29,FALSE)+VLOOKUP($AE$25&amp;" "&amp;$AH$25,Material_Form_EE,AI$30,FALSE))*$AI$1, 0)</f>
        <v>0</v>
      </c>
      <c r="AJ9">
        <f t="shared" si="1"/>
        <v>0</v>
      </c>
    </row>
    <row r="10" spans="1:36" ht="16" thickBot="1" x14ac:dyDescent="0.4">
      <c r="A10" s="15"/>
      <c r="B10" s="42"/>
      <c r="C10" s="42" t="s">
        <v>108</v>
      </c>
      <c r="D10" s="42" t="s">
        <v>448</v>
      </c>
      <c r="E10" s="42"/>
      <c r="F10" s="12"/>
      <c r="I10" s="43"/>
      <c r="J10" s="44" t="s">
        <v>462</v>
      </c>
      <c r="K10" s="44"/>
      <c r="L10" s="44"/>
      <c r="M10" s="44"/>
      <c r="N10" s="45"/>
      <c r="P10" s="43"/>
      <c r="Q10" s="44"/>
      <c r="R10" s="44"/>
      <c r="S10" s="44"/>
      <c r="T10" s="45"/>
      <c r="AD10" t="s">
        <v>515</v>
      </c>
      <c r="AE10" s="67">
        <f>IFERROR((VLOOKUP($AF$25&amp;" "&amp;"Secondary",Material_Source_EE,AE$29,FALSE)+VLOOKUP($AE$25&amp;" "&amp;$AH$25,Material_Form_EE,AE$30,FALSE))*$AF$1, 0)</f>
        <v>0</v>
      </c>
      <c r="AF10" s="67">
        <f>IFERROR((VLOOKUP($AF$25&amp;" "&amp;"Secondary",Material_Source_EE,AF$29,FALSE)+VLOOKUP($AE$25&amp;" "&amp;$AH$25,Material_Form_EE,AF$30,FALSE))*$AF$1, 0)</f>
        <v>0</v>
      </c>
      <c r="AG10">
        <f t="shared" si="0"/>
        <v>0</v>
      </c>
      <c r="AH10" s="73">
        <f>IFERROR((VLOOKUP($AF$25&amp;" "&amp;"Secondary",Material_Source_EE,AH$29,FALSE)+VLOOKUP($AE$25&amp;" "&amp;$AH$25,Material_Form_EE,AH$30,FALSE))*$AI$1, 0)</f>
        <v>0</v>
      </c>
      <c r="AI10" s="73">
        <f>IFERROR((VLOOKUP($AF$25&amp;" "&amp;"Secondary",Material_Source_EE,AI$29,FALSE)+VLOOKUP($AE$25&amp;" "&amp;$AH$25,Material_Form_EE,AI$30,FALSE))*$AI$1, 0)</f>
        <v>0</v>
      </c>
      <c r="AJ10">
        <f t="shared" si="1"/>
        <v>0</v>
      </c>
    </row>
    <row r="11" spans="1:36" ht="15.5" x14ac:dyDescent="0.35">
      <c r="A11" s="15"/>
      <c r="B11" s="42"/>
      <c r="C11" s="42" t="s">
        <v>544</v>
      </c>
      <c r="D11" s="42" t="s">
        <v>443</v>
      </c>
      <c r="E11" s="42"/>
      <c r="F11" s="12"/>
      <c r="AD11" t="s">
        <v>517</v>
      </c>
      <c r="AE11" s="67">
        <f>IFERROR((VLOOKUP($AF$27&amp;" "&amp;$AG$27,Material_Source_EE,AE$29,FALSE)+VLOOKUP($AE$27&amp;" "&amp;$AH$27,Material_Form_EE,AE$30,FALSE))*$AF$1,0)</f>
        <v>295141.06527360214</v>
      </c>
      <c r="AF11" s="67">
        <f>IFERROR((VLOOKUP($AF$27&amp;" "&amp;$AG$27,Material_Source_EE,AF$29,FALSE)+VLOOKUP($AE$27&amp;" "&amp;$AH$27,Material_Form_EE,AF$30,FALSE))*$AF$1,0)</f>
        <v>318356.82277509454</v>
      </c>
      <c r="AG11">
        <f>AVERAGE(AE11:AF11)</f>
        <v>306748.94402434834</v>
      </c>
      <c r="AH11" s="73">
        <f>IFERROR((VLOOKUP($AF$27&amp;" "&amp;$AG$27,Material_Source_EE,AH$29,FALSE)+VLOOKUP($AE$27&amp;" "&amp;$AH$27,Material_Form_EE,AH$30,FALSE))*$AI$1,0)</f>
        <v>21.500303907249322</v>
      </c>
      <c r="AI11" s="73">
        <f>IFERROR((VLOOKUP($AF$27&amp;" "&amp;$AG$27,Material_Source_EE,AI$29,FALSE)+VLOOKUP($AE$27&amp;" "&amp;$AH$27,Material_Form_EE,AI$30,FALSE))*$AI$1,0)</f>
        <v>22.679645471781988</v>
      </c>
      <c r="AJ11">
        <f>AVERAGE(AH11:AI11)</f>
        <v>22.089974689515657</v>
      </c>
    </row>
    <row r="12" spans="1:36" ht="15.5" x14ac:dyDescent="0.35">
      <c r="A12" s="15"/>
      <c r="B12" s="42"/>
      <c r="C12" s="42" t="s">
        <v>300</v>
      </c>
      <c r="D12" s="42" t="s">
        <v>444</v>
      </c>
      <c r="E12" s="42"/>
      <c r="F12" s="12"/>
      <c r="AD12" t="s">
        <v>518</v>
      </c>
      <c r="AE12" s="67">
        <f>IFERROR((VLOOKUP($AF$27&amp;" "&amp;"Secondary",Material_Source_EE,AE$29,FALSE)+VLOOKUP($AE$27&amp;" "&amp;$AH$27,Material_Form_EE,AE$30,FALSE))*$AF$1,0)</f>
        <v>35795.258695819546</v>
      </c>
      <c r="AF12" s="67">
        <f>IFERROR((VLOOKUP($AF$27&amp;" "&amp;"Secondary",Material_Source_EE,AF$29,FALSE)+VLOOKUP($AE$27&amp;" "&amp;$AH$27,Material_Form_EE,AF$30,FALSE))*$AF$1,0)</f>
        <v>59011.016197311917</v>
      </c>
      <c r="AG12">
        <f>AVERAGE(AE12:AF12)</f>
        <v>47403.137446565728</v>
      </c>
      <c r="AH12" s="73">
        <f>IFERROR((VLOOKUP($AF$27&amp;" "&amp;"Secondary",Material_Source_EE,AH$29,FALSE)+VLOOKUP($AE$27&amp;" "&amp;$AH$27,Material_Form_EE,AH$30,FALSE))*$AI$1,0)</f>
        <v>2.7017643114748289</v>
      </c>
      <c r="AI12" s="73">
        <f>IFERROR((VLOOKUP($AF$27&amp;" "&amp;"Secondary",Material_Source_EE,AI$29,FALSE)+VLOOKUP($AE$27&amp;" "&amp;$AH$27,Material_Form_EE,AI$30,FALSE))*$AI$1,0)</f>
        <v>3.8811058760074921</v>
      </c>
      <c r="AJ12">
        <f>AVERAGE(AH12:AI12)</f>
        <v>3.2914350937411605</v>
      </c>
    </row>
    <row r="13" spans="1:36" ht="16" thickBot="1" x14ac:dyDescent="0.4">
      <c r="A13" s="15"/>
      <c r="B13" s="42"/>
      <c r="C13" s="42" t="s">
        <v>16</v>
      </c>
      <c r="D13" s="42" t="s">
        <v>547</v>
      </c>
      <c r="E13" s="42"/>
      <c r="F13" s="12"/>
      <c r="AD13" t="s">
        <v>519</v>
      </c>
      <c r="AE13" s="67">
        <f>IFERROR((VLOOKUP($AF$28&amp;" "&amp;$AG$28,Material_Source_EE,AE$29,FALSE)+VLOOKUP($AE$28&amp;" "&amp;$AH$28,Material_Form_EE,AE$30,FALSE))*$AF$1, 0)</f>
        <v>0</v>
      </c>
      <c r="AF13" s="67">
        <f>IFERROR((VLOOKUP($AF$28&amp;" "&amp;$AG$28,Material_Source_EE,AF$29,FALSE)+VLOOKUP($AE$28&amp;" "&amp;$AH$28,Material_Form_EE,AF$30,FALSE))*$AF$1, 0)</f>
        <v>0</v>
      </c>
      <c r="AG13">
        <f>AVERAGE(AE13:AF13)</f>
        <v>0</v>
      </c>
      <c r="AH13" s="73">
        <f>IFERROR((VLOOKUP($AF$28&amp;" "&amp;$AG$28,Material_Source_EE,AH$29,FALSE)+VLOOKUP($AE$28&amp;" "&amp;$AH$28,Material_Form_EE,AH$30,FALSE))*$AI$1, 0)</f>
        <v>0</v>
      </c>
      <c r="AI13" s="73">
        <f>IFERROR((VLOOKUP($AF$28&amp;" "&amp;$AG$28,Material_Source_EE,AI$29,FALSE)+VLOOKUP($AE$28&amp;" "&amp;$AH$28,Material_Form_EE,AI$30,FALSE))*$AI$1, 0)</f>
        <v>0</v>
      </c>
      <c r="AJ13">
        <f>AVERAGE(AH13:AI13)</f>
        <v>0</v>
      </c>
    </row>
    <row r="14" spans="1:36" ht="16" thickBot="1" x14ac:dyDescent="0.4">
      <c r="A14" s="15"/>
      <c r="B14" s="42"/>
      <c r="C14" s="42" t="s">
        <v>303</v>
      </c>
      <c r="D14" s="42" t="s">
        <v>304</v>
      </c>
      <c r="E14" s="42"/>
      <c r="F14" s="12"/>
      <c r="X14" s="41" t="s">
        <v>579</v>
      </c>
      <c r="Y14" s="14" t="str">
        <f>'Intro - Start Here'!C15</f>
        <v>U.S.</v>
      </c>
      <c r="AD14" t="s">
        <v>520</v>
      </c>
      <c r="AE14" s="67">
        <f>IFERROR((VLOOKUP($AF$28&amp;" "&amp;"Secondary",Material_Source_EE,AE$29,FALSE)+VLOOKUP($AE$28&amp;" "&amp;$AH$28,Material_Form_EE,AE$30,FALSE))*$AF$1, 0)</f>
        <v>0</v>
      </c>
      <c r="AF14" s="67">
        <f>IFERROR((VLOOKUP($AF$28&amp;" "&amp;"Secondary",Material_Source_EE,AF$29,FALSE)+VLOOKUP($AE$28&amp;" "&amp;$AH$28,Material_Form_EE,AF$30,FALSE))*$AF$1, 0)</f>
        <v>0</v>
      </c>
      <c r="AG14">
        <f>AVERAGE(AE14:AF14)</f>
        <v>0</v>
      </c>
      <c r="AH14" s="73">
        <f>IFERROR((VLOOKUP($AF$28&amp;" "&amp;"Secondary",Material_Source_EE,AH$29,FALSE)+VLOOKUP($AE$28&amp;" "&amp;$AH$28,Material_Form_EE,AH$30,FALSE))*$AI$1, 0)</f>
        <v>0</v>
      </c>
      <c r="AI14" s="73">
        <f>IFERROR((VLOOKUP($AF$28&amp;" "&amp;"Secondary",Material_Source_EE,AI$29,FALSE)+VLOOKUP($AE$28&amp;" "&amp;$AH$28,Material_Form_EE,AI$30,FALSE))*$AI$1, 0)</f>
        <v>0</v>
      </c>
      <c r="AJ14">
        <f>AVERAGE(AH14:AI14)</f>
        <v>0</v>
      </c>
    </row>
    <row r="15" spans="1:36" x14ac:dyDescent="0.35">
      <c r="A15" s="15"/>
      <c r="B15" s="42"/>
      <c r="C15" s="42" t="s">
        <v>302</v>
      </c>
      <c r="D15" s="42" t="s">
        <v>445</v>
      </c>
      <c r="E15" s="42"/>
      <c r="F15" s="12"/>
      <c r="P15" s="41" t="s">
        <v>567</v>
      </c>
      <c r="Q15" s="13" t="s">
        <v>568</v>
      </c>
      <c r="R15" s="13" t="s">
        <v>569</v>
      </c>
      <c r="S15" s="13" t="s">
        <v>570</v>
      </c>
      <c r="T15" s="14" t="s">
        <v>571</v>
      </c>
      <c r="X15" s="15" t="s">
        <v>665</v>
      </c>
      <c r="Y15" s="12" t="str">
        <f>IF($Y$14="Metric", "MJ/kg","Btu/lb")</f>
        <v>Btu/lb</v>
      </c>
    </row>
    <row r="16" spans="1:36" x14ac:dyDescent="0.35">
      <c r="A16" s="15"/>
      <c r="B16" s="42"/>
      <c r="C16" s="42" t="s">
        <v>10</v>
      </c>
      <c r="D16" s="42" t="s">
        <v>446</v>
      </c>
      <c r="E16" s="42"/>
      <c r="F16" s="12"/>
      <c r="P16" s="15" t="s">
        <v>17</v>
      </c>
      <c r="Q16" s="42" t="s">
        <v>398</v>
      </c>
      <c r="R16" s="42" t="s">
        <v>388</v>
      </c>
      <c r="S16" s="42" t="s">
        <v>394</v>
      </c>
      <c r="T16" s="12" t="s">
        <v>14</v>
      </c>
      <c r="X16" s="15" t="s">
        <v>666</v>
      </c>
      <c r="Y16" s="12" t="str">
        <f>IF($Y$14="Metric", "kg/kg","kg/lb")</f>
        <v>kg/lb</v>
      </c>
      <c r="AD16" t="s">
        <v>577</v>
      </c>
      <c r="AE16">
        <f>(VLOOKUP(AH22,CM_EE, 3, FALSE))*AF1</f>
        <v>1289.7643056384654</v>
      </c>
      <c r="AF16">
        <f>(VLOOKUP(AH22,CM_EE, 4, FALSE))*AF1</f>
        <v>2149.6071760641089</v>
      </c>
      <c r="AH16">
        <f>(VLOOKUP(AH22,CM_EE, 6, FALSE))*AI1</f>
        <v>6.803893641534596E-2</v>
      </c>
      <c r="AI16">
        <f>(VLOOKUP(AH22,CM_EE, 7, FALSE))*AI1</f>
        <v>0.11339822735890993</v>
      </c>
    </row>
    <row r="17" spans="1:35" x14ac:dyDescent="0.35">
      <c r="A17" s="15"/>
      <c r="B17" s="42"/>
      <c r="C17" s="42" t="s">
        <v>298</v>
      </c>
      <c r="D17" s="42" t="s">
        <v>447</v>
      </c>
      <c r="E17" s="42"/>
      <c r="F17" s="12"/>
      <c r="P17" s="15"/>
      <c r="Q17" s="42" t="s">
        <v>399</v>
      </c>
      <c r="R17" s="42" t="s">
        <v>389</v>
      </c>
      <c r="S17" s="42" t="s">
        <v>572</v>
      </c>
      <c r="T17" s="12"/>
      <c r="X17" s="15" t="s">
        <v>715</v>
      </c>
      <c r="Y17" s="12" t="str">
        <f>IF($Y$14="Metric", "MJ/part","Btu/part")</f>
        <v>Btu/part</v>
      </c>
    </row>
    <row r="18" spans="1:35" x14ac:dyDescent="0.35">
      <c r="A18" s="15"/>
      <c r="B18" s="42"/>
      <c r="C18" s="42" t="s">
        <v>297</v>
      </c>
      <c r="D18" s="42" t="s">
        <v>449</v>
      </c>
      <c r="E18" s="42"/>
      <c r="F18" s="12"/>
      <c r="P18" s="15"/>
      <c r="Q18" s="42" t="s">
        <v>400</v>
      </c>
      <c r="R18" s="42" t="s">
        <v>390</v>
      </c>
      <c r="S18" s="42" t="s">
        <v>397</v>
      </c>
      <c r="T18" s="12"/>
      <c r="X18" s="15" t="s">
        <v>716</v>
      </c>
      <c r="Y18" s="12" t="s">
        <v>637</v>
      </c>
    </row>
    <row r="19" spans="1:35" x14ac:dyDescent="0.35">
      <c r="A19" s="15"/>
      <c r="B19" s="42"/>
      <c r="C19" s="42" t="s">
        <v>296</v>
      </c>
      <c r="D19" s="42" t="s">
        <v>13</v>
      </c>
      <c r="E19" s="42"/>
      <c r="F19" s="12"/>
      <c r="P19" s="15"/>
      <c r="Q19" s="42" t="s">
        <v>397</v>
      </c>
      <c r="R19" s="42" t="s">
        <v>391</v>
      </c>
      <c r="S19" s="42"/>
      <c r="T19" s="12"/>
      <c r="X19" s="15" t="s">
        <v>712</v>
      </c>
      <c r="Y19" s="12" t="str">
        <f>IF($Y$14="Metric", "kg","lb")</f>
        <v>lb</v>
      </c>
      <c r="AE19" t="s">
        <v>634</v>
      </c>
      <c r="AF19" t="s">
        <v>60</v>
      </c>
      <c r="AG19" t="s">
        <v>15</v>
      </c>
      <c r="AH19" t="s">
        <v>633</v>
      </c>
    </row>
    <row r="20" spans="1:35" x14ac:dyDescent="0.35">
      <c r="A20" s="15"/>
      <c r="B20" s="42"/>
      <c r="C20" s="42" t="s">
        <v>551</v>
      </c>
      <c r="D20" s="42" t="s">
        <v>12</v>
      </c>
      <c r="E20" s="42"/>
      <c r="F20" s="12"/>
      <c r="P20" s="15"/>
      <c r="Q20" s="42" t="s">
        <v>572</v>
      </c>
      <c r="R20" s="42" t="s">
        <v>392</v>
      </c>
      <c r="S20" s="42"/>
      <c r="T20" s="12"/>
      <c r="X20" s="15" t="s">
        <v>717</v>
      </c>
      <c r="Y20" s="12" t="str">
        <f>IF($Y$14="Metric", "kg","lb")&amp;"/part"</f>
        <v>lb/part</v>
      </c>
      <c r="AD20" t="s">
        <v>632</v>
      </c>
      <c r="AE20" s="1" t="str">
        <f>'CM Calculator (BL)'!D8</f>
        <v>Metal</v>
      </c>
      <c r="AF20" t="str">
        <f>'CM Calculator (BL)'!D9</f>
        <v>Titanium alloys</v>
      </c>
      <c r="AG20" t="str">
        <f>'CM Calculator (BL)'!D11</f>
        <v>Primary</v>
      </c>
      <c r="AH20" s="11" t="str">
        <f>'CM Calculator (BL)'!D10</f>
        <v>Ingot</v>
      </c>
    </row>
    <row r="21" spans="1:35" ht="15" thickBot="1" x14ac:dyDescent="0.4">
      <c r="A21" s="15"/>
      <c r="B21" s="42"/>
      <c r="C21" s="42" t="s">
        <v>453</v>
      </c>
      <c r="D21" s="42" t="s">
        <v>450</v>
      </c>
      <c r="E21" s="42"/>
      <c r="F21" s="12"/>
      <c r="P21" s="43"/>
      <c r="Q21" s="44"/>
      <c r="R21" s="44" t="s">
        <v>393</v>
      </c>
      <c r="S21" s="44"/>
      <c r="T21" s="45"/>
      <c r="X21" s="15"/>
      <c r="Y21" s="12"/>
      <c r="AD21" t="s">
        <v>511</v>
      </c>
      <c r="AE21" s="1" t="str">
        <f>'CM Calculator (BL)'!D15</f>
        <v>None</v>
      </c>
      <c r="AF21" t="str">
        <f>'CM Calculator (BL)'!D16</f>
        <v>Select</v>
      </c>
      <c r="AG21" t="str">
        <f>'CM Calculator (BL)'!D18</f>
        <v>Secondary</v>
      </c>
      <c r="AH21" s="11" t="str">
        <f>'CM Calculator (BL)'!D17</f>
        <v>Select</v>
      </c>
    </row>
    <row r="22" spans="1:35" x14ac:dyDescent="0.35">
      <c r="A22" s="15"/>
      <c r="B22" s="42"/>
      <c r="C22" s="42" t="s">
        <v>549</v>
      </c>
      <c r="D22" s="42" t="s">
        <v>451</v>
      </c>
      <c r="E22" s="42"/>
      <c r="F22" s="12"/>
      <c r="X22" s="15" t="s">
        <v>848</v>
      </c>
      <c r="Y22" s="12" t="str">
        <f>IF($Y$14="Metric", "MJ","Btu")</f>
        <v>Btu</v>
      </c>
      <c r="AD22" t="s">
        <v>577</v>
      </c>
      <c r="AH22" t="str">
        <f>'CM Calculator (BL)'!D41</f>
        <v>Rough rolling, forging</v>
      </c>
    </row>
    <row r="23" spans="1:35" ht="15" thickBot="1" x14ac:dyDescent="0.4">
      <c r="A23" s="15"/>
      <c r="B23" s="42"/>
      <c r="C23" s="42" t="s">
        <v>34</v>
      </c>
      <c r="D23" s="42" t="s">
        <v>452</v>
      </c>
      <c r="E23" s="42"/>
      <c r="F23" s="12"/>
      <c r="X23" s="43" t="s">
        <v>849</v>
      </c>
      <c r="Y23" s="45" t="str">
        <f>IF($Y$14="Metric", "GJ","MMBtu")</f>
        <v>MMBtu</v>
      </c>
    </row>
    <row r="24" spans="1:35" x14ac:dyDescent="0.35">
      <c r="A24" s="15"/>
      <c r="B24" s="42"/>
      <c r="C24" s="42" t="s">
        <v>301</v>
      </c>
      <c r="D24" s="42" t="s">
        <v>306</v>
      </c>
      <c r="E24" s="42"/>
      <c r="F24" s="12"/>
      <c r="AD24" t="s">
        <v>513</v>
      </c>
      <c r="AE24" s="1" t="str">
        <f>'AM Calculator (BL)'!D8</f>
        <v>Select</v>
      </c>
      <c r="AF24" t="str">
        <f>'AM Calculator (BL)'!D9</f>
        <v>Select</v>
      </c>
      <c r="AG24" t="str">
        <f>'AM Calculator (BL)'!D11</f>
        <v>Primary</v>
      </c>
      <c r="AH24" s="11" t="str">
        <f>'AM Calculator (BL)'!D10</f>
        <v>Select</v>
      </c>
    </row>
    <row r="25" spans="1:35" ht="15" thickBot="1" x14ac:dyDescent="0.4">
      <c r="A25" s="43"/>
      <c r="B25" s="44"/>
      <c r="C25" s="44"/>
      <c r="D25" s="44" t="s">
        <v>283</v>
      </c>
      <c r="E25" s="44"/>
      <c r="F25" s="45"/>
      <c r="AD25" t="s">
        <v>516</v>
      </c>
      <c r="AE25" s="1" t="str">
        <f>'AM Calculator (BL)'!D15</f>
        <v>Select First Material</v>
      </c>
      <c r="AF25" t="str">
        <f>'AM Calculator (BL)'!D16</f>
        <v>Select</v>
      </c>
      <c r="AG25" t="str">
        <f>'AM Calculator (BL)'!D18</f>
        <v>Primary</v>
      </c>
      <c r="AH25" s="11" t="str">
        <f>'AM Calculator (BL)'!D17</f>
        <v>Select</v>
      </c>
    </row>
    <row r="27" spans="1:35" x14ac:dyDescent="0.35">
      <c r="AD27" t="s">
        <v>517</v>
      </c>
      <c r="AE27" s="1" t="str">
        <f>'AM Calculator (Alt)'!D8</f>
        <v>Metal</v>
      </c>
      <c r="AF27" t="str">
        <f>'AM Calculator (Alt)'!D9</f>
        <v>Titanium (Ti6Al4V)</v>
      </c>
      <c r="AG27" t="str">
        <f>'AM Calculator (Alt)'!D11</f>
        <v>Primary</v>
      </c>
      <c r="AH27" s="11" t="str">
        <f>'AM Calculator (Alt)'!D10</f>
        <v>Powder</v>
      </c>
    </row>
    <row r="28" spans="1:35" x14ac:dyDescent="0.35">
      <c r="AD28" t="s">
        <v>519</v>
      </c>
      <c r="AE28" s="1" t="str">
        <f>'AM Calculator (Alt)'!D15</f>
        <v>None</v>
      </c>
      <c r="AF28" t="str">
        <f>'AM Calculator (Alt)'!D16</f>
        <v>Select</v>
      </c>
      <c r="AG28" t="str">
        <f>'AM Calculator (Alt)'!D18</f>
        <v>Primary</v>
      </c>
      <c r="AH28" s="11" t="str">
        <f>'AM Calculator (Alt)'!D17</f>
        <v>Select</v>
      </c>
    </row>
    <row r="29" spans="1:35" x14ac:dyDescent="0.35">
      <c r="AE29">
        <v>5</v>
      </c>
      <c r="AF29">
        <v>6</v>
      </c>
      <c r="AH29">
        <v>8</v>
      </c>
      <c r="AI29">
        <v>9</v>
      </c>
    </row>
    <row r="30" spans="1:35" x14ac:dyDescent="0.35">
      <c r="AE30">
        <v>2</v>
      </c>
      <c r="AF30">
        <v>3</v>
      </c>
      <c r="AH30">
        <v>5</v>
      </c>
      <c r="AI30">
        <v>6</v>
      </c>
    </row>
    <row r="36" spans="23:25" x14ac:dyDescent="0.35">
      <c r="W36" t="s">
        <v>35</v>
      </c>
      <c r="X36">
        <v>429.923</v>
      </c>
      <c r="Y36" t="s">
        <v>718</v>
      </c>
    </row>
    <row r="37" spans="23:25" x14ac:dyDescent="0.35">
      <c r="W37" t="s">
        <v>719</v>
      </c>
      <c r="X37">
        <v>0.62136999999999998</v>
      </c>
      <c r="Y37" t="s">
        <v>720</v>
      </c>
    </row>
    <row r="38" spans="23:25" x14ac:dyDescent="0.35">
      <c r="W38" t="s">
        <v>721</v>
      </c>
      <c r="X38">
        <v>691.89530000000002</v>
      </c>
      <c r="Y38" t="s">
        <v>722</v>
      </c>
    </row>
    <row r="39" spans="23:25" x14ac:dyDescent="0.35">
      <c r="W39" t="s">
        <v>640</v>
      </c>
      <c r="X39">
        <f>1.60934/2.20462</f>
        <v>0.72998521287115248</v>
      </c>
      <c r="Y39" t="s">
        <v>641</v>
      </c>
    </row>
    <row r="40" spans="23:25" x14ac:dyDescent="0.35">
      <c r="W40" t="s">
        <v>8</v>
      </c>
      <c r="X40">
        <f>1000000/(1055.06)</f>
        <v>947.81339449889106</v>
      </c>
      <c r="Y40" t="s">
        <v>642</v>
      </c>
    </row>
    <row r="41" spans="23:25" x14ac:dyDescent="0.35">
      <c r="W41" t="s">
        <v>723</v>
      </c>
      <c r="X41">
        <f>1/2.20462</f>
        <v>0.45359290943563974</v>
      </c>
      <c r="Y41" t="s">
        <v>724</v>
      </c>
    </row>
  </sheetData>
  <sheetProtection algorithmName="SHA-512" hashValue="AU4OGyNhtpn1j/N9t/pXEeOEM5aOWapxVC75+qbx9gNQno2pPzGlXy092z3pSK7e77WT/FbFkcVk74n94SSCuQ==" saltValue="Jk3RFdga7YYpQZ3St9DYPA==" spinCount="100000" sheet="1" objects="1" scenarios="1"/>
  <sortState xmlns:xlrd2="http://schemas.microsoft.com/office/spreadsheetml/2017/richdata2" ref="C78:D245">
    <sortCondition ref="D78:D245"/>
  </sortState>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0E0B6-0B1A-4A6E-AB88-6A09F168DA59}">
  <sheetPr codeName="Sheet20">
    <tabColor theme="9"/>
  </sheetPr>
  <dimension ref="A1:AG28"/>
  <sheetViews>
    <sheetView topLeftCell="M1" zoomScale="70" zoomScaleNormal="70" workbookViewId="0">
      <selection activeCell="O6" sqref="O6"/>
    </sheetView>
  </sheetViews>
  <sheetFormatPr defaultRowHeight="14.5" x14ac:dyDescent="0.35"/>
  <cols>
    <col min="1" max="1" width="20" customWidth="1"/>
    <col min="3" max="3" width="13.26953125" customWidth="1"/>
    <col min="14" max="14" width="32" customWidth="1"/>
    <col min="16" max="17" width="15.453125" customWidth="1"/>
    <col min="27" max="27" width="16.453125" bestFit="1" customWidth="1"/>
    <col min="28" max="31" width="16.453125" customWidth="1"/>
  </cols>
  <sheetData>
    <row r="1" spans="1:33" x14ac:dyDescent="0.35">
      <c r="B1" t="s">
        <v>423</v>
      </c>
      <c r="E1" t="s">
        <v>424</v>
      </c>
      <c r="H1" t="s">
        <v>422</v>
      </c>
      <c r="O1" t="s">
        <v>423</v>
      </c>
      <c r="S1" t="s">
        <v>424</v>
      </c>
      <c r="W1" t="s">
        <v>422</v>
      </c>
      <c r="AA1" t="s">
        <v>584</v>
      </c>
      <c r="AB1" t="s">
        <v>585</v>
      </c>
      <c r="AC1" t="s">
        <v>584</v>
      </c>
      <c r="AD1" t="s">
        <v>585</v>
      </c>
      <c r="AE1" t="s">
        <v>606</v>
      </c>
    </row>
    <row r="2" spans="1:33" x14ac:dyDescent="0.35">
      <c r="B2" t="s">
        <v>408</v>
      </c>
      <c r="C2" t="s">
        <v>407</v>
      </c>
      <c r="D2" t="s">
        <v>419</v>
      </c>
      <c r="E2" t="s">
        <v>408</v>
      </c>
      <c r="F2" t="s">
        <v>407</v>
      </c>
      <c r="G2" t="s">
        <v>419</v>
      </c>
      <c r="H2" t="s">
        <v>408</v>
      </c>
      <c r="I2" t="s">
        <v>407</v>
      </c>
      <c r="J2" t="s">
        <v>419</v>
      </c>
      <c r="O2" t="s">
        <v>420</v>
      </c>
      <c r="P2" t="str">
        <f>"Energy "&amp; IF($F$24="Metric","MJ","Btu")&amp;"/part"</f>
        <v>Energy Btu/part</v>
      </c>
      <c r="Q2" t="s">
        <v>609</v>
      </c>
      <c r="R2" t="s">
        <v>419</v>
      </c>
      <c r="S2" t="s">
        <v>420</v>
      </c>
      <c r="T2" t="str">
        <f>"Energy "&amp; IF($F$24="Metric","MJ","Btu")&amp;"/part"</f>
        <v>Energy Btu/part</v>
      </c>
      <c r="U2" t="s">
        <v>609</v>
      </c>
      <c r="V2" t="s">
        <v>419</v>
      </c>
      <c r="W2" t="s">
        <v>420</v>
      </c>
      <c r="X2" t="str">
        <f>"Energy "&amp; IF($F$24="Metric","MJ","Btu")&amp;"/part"</f>
        <v>Energy Btu/part</v>
      </c>
      <c r="Y2" t="s">
        <v>609</v>
      </c>
      <c r="Z2" t="s">
        <v>419</v>
      </c>
      <c r="AA2" t="str">
        <f>"Energy "&amp; IF($F$24="Metric","MJ","Btu")&amp;"/unit"</f>
        <v>Energy Btu/unit</v>
      </c>
      <c r="AB2" t="str">
        <f>"Energy "&amp; IF($F$24="Metric","MJ","Btu")&amp;"/unit"</f>
        <v>Energy Btu/unit</v>
      </c>
      <c r="AC2" t="s">
        <v>608</v>
      </c>
      <c r="AD2" t="s">
        <v>608</v>
      </c>
      <c r="AF2" t="s">
        <v>524</v>
      </c>
      <c r="AG2" t="s">
        <v>586</v>
      </c>
    </row>
    <row r="3" spans="1:33" x14ac:dyDescent="0.35">
      <c r="A3" t="s">
        <v>410</v>
      </c>
      <c r="B3">
        <v>450</v>
      </c>
      <c r="C3">
        <v>7.5</v>
      </c>
      <c r="D3" t="b">
        <v>1</v>
      </c>
      <c r="E3">
        <v>10</v>
      </c>
      <c r="F3">
        <v>2</v>
      </c>
      <c r="G3" t="b">
        <v>1</v>
      </c>
      <c r="H3">
        <v>372</v>
      </c>
      <c r="I3">
        <v>7.5</v>
      </c>
      <c r="J3" t="b">
        <v>1</v>
      </c>
      <c r="N3" t="s">
        <v>18</v>
      </c>
      <c r="O3">
        <v>15</v>
      </c>
      <c r="P3">
        <v>1070</v>
      </c>
      <c r="Q3">
        <v>7.7100000000000002E-2</v>
      </c>
      <c r="R3" t="b">
        <v>1</v>
      </c>
      <c r="S3">
        <v>3</v>
      </c>
      <c r="T3">
        <v>344</v>
      </c>
      <c r="U3">
        <v>2.7199999999999998E-2</v>
      </c>
      <c r="V3" t="b">
        <v>1</v>
      </c>
      <c r="X3">
        <v>1070</v>
      </c>
      <c r="Y3">
        <v>7.7100000000000002E-2</v>
      </c>
      <c r="Z3" t="b">
        <v>0</v>
      </c>
      <c r="AA3">
        <f>ROUND('Conventional Manuf. EE'!C20*IF($F$24="Metric",1,947.817*$AE3),0)</f>
        <v>344</v>
      </c>
      <c r="AB3">
        <f>ROUND('Conventional Manuf. EE'!D20*IF($F$24="Metric",1,947.817*$AE3),-1)</f>
        <v>1070</v>
      </c>
      <c r="AC3">
        <f>ROUND('Conventional Manuf. EE'!F20*IF($F$24="Metric",1,$AE3),4)</f>
        <v>2.7199999999999998E-2</v>
      </c>
      <c r="AD3">
        <f>ROUND('Conventional Manuf. EE'!G20*IF($F$24="Metric",1,$AE3),4)</f>
        <v>7.7100000000000002E-2</v>
      </c>
      <c r="AE3">
        <f>1/2.20462</f>
        <v>0.45359290943563974</v>
      </c>
      <c r="AF3" t="s">
        <v>432</v>
      </c>
      <c r="AG3" t="s">
        <v>582</v>
      </c>
    </row>
    <row r="4" spans="1:33" x14ac:dyDescent="0.35">
      <c r="A4" t="s">
        <v>411</v>
      </c>
      <c r="B4">
        <v>1416</v>
      </c>
      <c r="C4">
        <v>7.5</v>
      </c>
      <c r="D4" t="b">
        <v>1</v>
      </c>
      <c r="E4">
        <v>3</v>
      </c>
      <c r="F4">
        <v>4</v>
      </c>
      <c r="G4" t="b">
        <v>1</v>
      </c>
      <c r="J4" t="b">
        <v>0</v>
      </c>
      <c r="N4" t="s">
        <v>19</v>
      </c>
      <c r="P4">
        <v>4300</v>
      </c>
      <c r="Q4">
        <v>0.3175</v>
      </c>
      <c r="R4" t="b">
        <v>0</v>
      </c>
      <c r="T4">
        <v>2580</v>
      </c>
      <c r="U4">
        <v>0.18140000000000001</v>
      </c>
      <c r="V4" t="b">
        <v>0</v>
      </c>
      <c r="W4">
        <v>0.42</v>
      </c>
      <c r="X4">
        <v>3439</v>
      </c>
      <c r="Y4">
        <v>0.3175</v>
      </c>
      <c r="Z4" t="b">
        <v>1</v>
      </c>
      <c r="AA4">
        <f>ROUND('Conventional Manuf. EE'!C21*IF($F$24="Metric",1,947.817*$AE4),0)</f>
        <v>2580</v>
      </c>
      <c r="AB4">
        <f>ROUND('Conventional Manuf. EE'!D21*IF($F$24="Metric",1,947.817*$AE4),-1)</f>
        <v>4300</v>
      </c>
      <c r="AC4">
        <f>ROUND('Conventional Manuf. EE'!F21*IF($F$24="Metric",1,$AE4),4)</f>
        <v>0.18140000000000001</v>
      </c>
      <c r="AD4">
        <f>ROUND('Conventional Manuf. EE'!G21*IF($F$24="Metric",1,$AE4),4)</f>
        <v>0.3175</v>
      </c>
      <c r="AE4">
        <f>1/2.20462</f>
        <v>0.45359290943563974</v>
      </c>
      <c r="AF4" t="s">
        <v>432</v>
      </c>
      <c r="AG4" t="s">
        <v>582</v>
      </c>
    </row>
    <row r="5" spans="1:33" x14ac:dyDescent="0.35">
      <c r="A5" t="s">
        <v>412</v>
      </c>
      <c r="D5" t="b">
        <v>0</v>
      </c>
      <c r="E5">
        <v>15</v>
      </c>
      <c r="F5">
        <v>6</v>
      </c>
      <c r="G5" t="b">
        <v>1</v>
      </c>
      <c r="J5" t="b">
        <v>0</v>
      </c>
      <c r="N5" t="s">
        <v>20</v>
      </c>
      <c r="P5">
        <v>15050</v>
      </c>
      <c r="Q5">
        <v>1.1339999999999999</v>
      </c>
      <c r="R5" t="b">
        <v>0</v>
      </c>
      <c r="S5">
        <v>4</v>
      </c>
      <c r="T5">
        <v>10750</v>
      </c>
      <c r="U5">
        <v>0.8165</v>
      </c>
      <c r="V5" t="b">
        <v>0</v>
      </c>
      <c r="X5">
        <v>15050</v>
      </c>
      <c r="Y5">
        <v>1.1339999999999999</v>
      </c>
      <c r="Z5" t="b">
        <v>0</v>
      </c>
      <c r="AA5">
        <f>ROUND('Conventional Manuf. EE'!C22*IF($F$24="Metric",1,947.817*$AE5),-1)</f>
        <v>10750</v>
      </c>
      <c r="AB5">
        <f>ROUND('Conventional Manuf. EE'!D22*IF($F$24="Metric",1,947.817*$AE5),-1)</f>
        <v>15050</v>
      </c>
      <c r="AC5">
        <f>ROUND('Conventional Manuf. EE'!F22*IF($F$24="Metric",1,$AE5),4)</f>
        <v>0.8165</v>
      </c>
      <c r="AD5">
        <f>ROUND('Conventional Manuf. EE'!G22*IF($F$24="Metric",1,$AE5),4)</f>
        <v>1.1339999999999999</v>
      </c>
      <c r="AE5">
        <f>1/2.20462</f>
        <v>0.45359290943563974</v>
      </c>
      <c r="AF5" t="s">
        <v>432</v>
      </c>
      <c r="AG5" t="s">
        <v>582</v>
      </c>
    </row>
    <row r="6" spans="1:33" x14ac:dyDescent="0.35">
      <c r="A6" t="s">
        <v>413</v>
      </c>
      <c r="D6" t="b">
        <v>0</v>
      </c>
      <c r="E6">
        <v>7</v>
      </c>
      <c r="F6">
        <v>8</v>
      </c>
      <c r="G6" t="b">
        <v>0</v>
      </c>
      <c r="J6" t="b">
        <v>0</v>
      </c>
      <c r="N6" t="s">
        <v>21</v>
      </c>
      <c r="O6">
        <v>1.8</v>
      </c>
      <c r="P6">
        <v>2150000</v>
      </c>
      <c r="Q6">
        <v>158.80000000000001</v>
      </c>
      <c r="R6" t="b">
        <v>1</v>
      </c>
      <c r="T6">
        <v>215000</v>
      </c>
      <c r="U6">
        <v>15.88</v>
      </c>
      <c r="V6" t="b">
        <v>0</v>
      </c>
      <c r="X6">
        <v>2150000</v>
      </c>
      <c r="Y6">
        <v>158.80000000000001</v>
      </c>
      <c r="Z6" t="b">
        <v>0</v>
      </c>
      <c r="AA6">
        <f>ROUND('Conventional Manuf. EE'!C23*IF($F$24="Metric",1,947.817*$AE6),-2)</f>
        <v>215000</v>
      </c>
      <c r="AB6">
        <f>ROUND('Conventional Manuf. EE'!D23*IF($F$24="Metric",1,947.817*$AE6),-4)</f>
        <v>2150000</v>
      </c>
      <c r="AC6">
        <f>ROUND('Conventional Manuf. EE'!F23*IF($F$24="Metric",1,$AE6),2)</f>
        <v>15.88</v>
      </c>
      <c r="AD6">
        <f>ROUND('Conventional Manuf. EE'!G23*IF($F$24="Metric",1,$AE6),1)</f>
        <v>158.80000000000001</v>
      </c>
      <c r="AE6">
        <f>1/2.20462</f>
        <v>0.45359290943563974</v>
      </c>
      <c r="AF6" t="s">
        <v>432</v>
      </c>
      <c r="AG6" t="s">
        <v>582</v>
      </c>
    </row>
    <row r="7" spans="1:33" x14ac:dyDescent="0.35">
      <c r="A7" t="s">
        <v>414</v>
      </c>
      <c r="D7" t="b">
        <v>0</v>
      </c>
      <c r="E7">
        <v>19</v>
      </c>
      <c r="F7">
        <v>10</v>
      </c>
      <c r="G7" t="b">
        <v>1</v>
      </c>
      <c r="J7" t="b">
        <v>0</v>
      </c>
      <c r="N7" t="s">
        <v>22</v>
      </c>
      <c r="P7">
        <v>809</v>
      </c>
      <c r="Q7">
        <v>4.5699999999999998E-2</v>
      </c>
      <c r="R7" t="b">
        <v>0</v>
      </c>
      <c r="S7">
        <v>0.5</v>
      </c>
      <c r="T7">
        <v>289</v>
      </c>
      <c r="U7">
        <v>1.6799999999999999E-2</v>
      </c>
      <c r="V7" t="b">
        <v>0</v>
      </c>
      <c r="X7">
        <v>809</v>
      </c>
      <c r="Y7">
        <v>4.5699999999999998E-2</v>
      </c>
      <c r="Z7" t="b">
        <v>0</v>
      </c>
      <c r="AA7">
        <f>ROUND('Conventional Manuf. EE'!C24*IF($F$24="Metric",1,947.817*$AE7),0)</f>
        <v>289</v>
      </c>
      <c r="AB7">
        <f>ROUND('Conventional Manuf. EE'!D24*IF($F$24="Metric",1,947.817*$AE7),0)</f>
        <v>809</v>
      </c>
      <c r="AC7">
        <f>ROUND('Conventional Manuf. EE'!F24*IF($F$24="Metric",1,$AE7),4)</f>
        <v>1.6799999999999999E-2</v>
      </c>
      <c r="AD7">
        <f>ROUND('Conventional Manuf. EE'!G24*IF($F$24="Metric",1,$AE7),4)</f>
        <v>4.5699999999999998E-2</v>
      </c>
      <c r="AE7">
        <f>1/3.28084</f>
        <v>0.30479999024640031</v>
      </c>
      <c r="AF7" t="s">
        <v>433</v>
      </c>
      <c r="AG7" t="s">
        <v>6</v>
      </c>
    </row>
    <row r="8" spans="1:33" x14ac:dyDescent="0.35">
      <c r="A8" t="s">
        <v>415</v>
      </c>
      <c r="D8" t="b">
        <v>0</v>
      </c>
      <c r="E8">
        <v>11</v>
      </c>
      <c r="F8">
        <v>12</v>
      </c>
      <c r="G8" t="b">
        <v>1</v>
      </c>
      <c r="J8" t="b">
        <v>0</v>
      </c>
      <c r="N8" t="s">
        <v>23</v>
      </c>
      <c r="P8">
        <v>1010</v>
      </c>
      <c r="Q8">
        <v>7.6200000000000004E-2</v>
      </c>
      <c r="R8" t="b">
        <v>0</v>
      </c>
      <c r="T8">
        <v>491</v>
      </c>
      <c r="U8">
        <v>3.6600000000000001E-2</v>
      </c>
      <c r="V8" t="b">
        <v>0</v>
      </c>
      <c r="X8">
        <v>1010</v>
      </c>
      <c r="Y8">
        <v>7.6200000000000004E-2</v>
      </c>
      <c r="Z8" t="b">
        <v>0</v>
      </c>
      <c r="AA8">
        <f>ROUND('Conventional Manuf. EE'!C25*IF($F$24="Metric",1,947.817*$AE8),0)</f>
        <v>491</v>
      </c>
      <c r="AB8">
        <f>ROUND('Conventional Manuf. EE'!D25*IF($F$24="Metric",1,947.817*$AE8),-1)</f>
        <v>1010</v>
      </c>
      <c r="AC8">
        <f>ROUND('Conventional Manuf. EE'!F25*IF($F$24="Metric",1,$AE8),4)</f>
        <v>3.6600000000000001E-2</v>
      </c>
      <c r="AD8">
        <f>ROUND('Conventional Manuf. EE'!G25*IF($F$24="Metric",1,$AE8),4)</f>
        <v>7.6200000000000004E-2</v>
      </c>
      <c r="AE8">
        <f>1/3.28084</f>
        <v>0.30479999024640031</v>
      </c>
      <c r="AF8" t="s">
        <v>433</v>
      </c>
      <c r="AG8" t="s">
        <v>6</v>
      </c>
    </row>
    <row r="9" spans="1:33" x14ac:dyDescent="0.35">
      <c r="A9" t="s">
        <v>416</v>
      </c>
      <c r="D9" t="b">
        <v>0</v>
      </c>
      <c r="E9">
        <v>13</v>
      </c>
      <c r="F9">
        <v>14</v>
      </c>
      <c r="G9" t="b">
        <v>1</v>
      </c>
      <c r="J9" t="b">
        <v>0</v>
      </c>
      <c r="N9" t="s">
        <v>24</v>
      </c>
      <c r="P9">
        <v>37.9</v>
      </c>
      <c r="Q9">
        <v>3.0000000000000001E-3</v>
      </c>
      <c r="R9" t="b">
        <v>0</v>
      </c>
      <c r="S9">
        <v>2</v>
      </c>
      <c r="T9">
        <v>19</v>
      </c>
      <c r="U9">
        <v>1.5E-3</v>
      </c>
      <c r="V9" t="b">
        <v>0</v>
      </c>
      <c r="X9">
        <v>37.9</v>
      </c>
      <c r="Y9">
        <v>3.0000000000000001E-3</v>
      </c>
      <c r="Z9" t="b">
        <v>0</v>
      </c>
      <c r="AA9">
        <f>ROUND('Conventional Manuf. EE'!C26*IF($F$24="Metric",1,947.817*$AE9),1)</f>
        <v>19</v>
      </c>
      <c r="AB9">
        <f>ROUND('Conventional Manuf. EE'!D26*IF($F$24="Metric",1,947.817*$AE9),1)</f>
        <v>37.9</v>
      </c>
      <c r="AC9">
        <f>ROUND('Conventional Manuf. EE'!F26*IF($F$24="Metric",1,$AE9),4)</f>
        <v>1.5E-3</v>
      </c>
      <c r="AD9">
        <f>ROUND('Conventional Manuf. EE'!G26*IF($F$24="Metric",1,$AE9),4)</f>
        <v>3.0000000000000001E-3</v>
      </c>
      <c r="AE9">
        <v>1</v>
      </c>
      <c r="AF9" t="s">
        <v>434</v>
      </c>
      <c r="AG9" t="s">
        <v>434</v>
      </c>
    </row>
    <row r="10" spans="1:33" x14ac:dyDescent="0.35">
      <c r="A10" t="s">
        <v>429</v>
      </c>
      <c r="D10" t="b">
        <v>0</v>
      </c>
      <c r="G10" t="b">
        <v>0</v>
      </c>
      <c r="H10">
        <v>300</v>
      </c>
      <c r="I10">
        <v>23.5</v>
      </c>
      <c r="J10" t="b">
        <v>1</v>
      </c>
      <c r="N10" t="s">
        <v>25</v>
      </c>
      <c r="P10">
        <v>94.8</v>
      </c>
      <c r="Q10">
        <v>7.4000000000000003E-3</v>
      </c>
      <c r="R10" t="b">
        <v>0</v>
      </c>
      <c r="T10">
        <v>47.4</v>
      </c>
      <c r="U10">
        <v>3.7000000000000002E-3</v>
      </c>
      <c r="V10" t="b">
        <v>0</v>
      </c>
      <c r="X10">
        <v>94.8</v>
      </c>
      <c r="Y10">
        <v>7.4000000000000003E-3</v>
      </c>
      <c r="Z10" t="b">
        <v>0</v>
      </c>
      <c r="AA10">
        <f>ROUND('Conventional Manuf. EE'!C27*IF($F$24="Metric",1,947.817*$AE10),1)</f>
        <v>47.4</v>
      </c>
      <c r="AB10">
        <f>ROUND('Conventional Manuf. EE'!D27*IF($F$24="Metric",1,947.817*$AE10),1)</f>
        <v>94.8</v>
      </c>
      <c r="AC10">
        <f>ROUND('Conventional Manuf. EE'!F27*IF($F$24="Metric",1,$AE10),4)</f>
        <v>3.7000000000000002E-3</v>
      </c>
      <c r="AD10">
        <f>ROUND('Conventional Manuf. EE'!G27*IF($F$24="Metric",1,$AE10),4)</f>
        <v>7.4000000000000003E-3</v>
      </c>
      <c r="AE10">
        <v>1</v>
      </c>
      <c r="AF10" t="s">
        <v>434</v>
      </c>
      <c r="AG10" t="s">
        <v>434</v>
      </c>
    </row>
    <row r="11" spans="1:33" x14ac:dyDescent="0.35">
      <c r="A11" t="s">
        <v>430</v>
      </c>
      <c r="D11" t="b">
        <v>0</v>
      </c>
      <c r="G11" t="b">
        <v>0</v>
      </c>
      <c r="J11" t="b">
        <v>0</v>
      </c>
      <c r="N11" t="s">
        <v>26</v>
      </c>
      <c r="P11">
        <v>1230</v>
      </c>
      <c r="Q11">
        <v>0.2601</v>
      </c>
      <c r="R11" t="b">
        <v>0</v>
      </c>
      <c r="T11">
        <v>616</v>
      </c>
      <c r="U11">
        <v>0.1208</v>
      </c>
      <c r="V11" t="b">
        <v>0</v>
      </c>
      <c r="X11">
        <v>1230</v>
      </c>
      <c r="Y11">
        <v>0.2601</v>
      </c>
      <c r="Z11" t="b">
        <v>0</v>
      </c>
      <c r="AA11">
        <f>ROUND('Conventional Manuf. EE'!C28*IF($F$24="Metric",1,947.817*$AE11),0)</f>
        <v>616</v>
      </c>
      <c r="AB11">
        <f>ROUND('Conventional Manuf. EE'!D28*IF($F$24="Metric",1,947.817*$AE11),-1)</f>
        <v>1230</v>
      </c>
      <c r="AC11">
        <f>ROUND('Conventional Manuf. EE'!F28*IF($F$24="Metric",1,$AE11),4)</f>
        <v>0.1208</v>
      </c>
      <c r="AD11">
        <f>ROUND('Conventional Manuf. EE'!G28*IF($F$24="Metric",1,$AE11),4)</f>
        <v>0.2601</v>
      </c>
      <c r="AE11">
        <f t="shared" ref="AE11:AE16" si="0">1/(3.28084^2)</f>
        <v>9.2903034054205719E-2</v>
      </c>
      <c r="AF11" t="s">
        <v>435</v>
      </c>
      <c r="AG11" t="s">
        <v>583</v>
      </c>
    </row>
    <row r="12" spans="1:33" x14ac:dyDescent="0.35">
      <c r="A12" t="s">
        <v>431</v>
      </c>
      <c r="D12" t="b">
        <v>0</v>
      </c>
      <c r="G12" t="b">
        <v>0</v>
      </c>
      <c r="J12" t="b">
        <v>0</v>
      </c>
      <c r="N12" t="s">
        <v>27</v>
      </c>
      <c r="P12">
        <v>3520</v>
      </c>
      <c r="Q12">
        <v>0.65029999999999999</v>
      </c>
      <c r="R12" t="b">
        <v>0</v>
      </c>
      <c r="T12">
        <v>1580</v>
      </c>
      <c r="U12">
        <v>0.29730000000000001</v>
      </c>
      <c r="V12" t="b">
        <v>0</v>
      </c>
      <c r="X12">
        <v>3520</v>
      </c>
      <c r="Y12">
        <v>0.65029999999999999</v>
      </c>
      <c r="Z12" t="b">
        <v>0</v>
      </c>
      <c r="AA12">
        <f>ROUND('Conventional Manuf. EE'!C29*IF($F$24="Metric",1,947.817*$AE12),-1)</f>
        <v>1580</v>
      </c>
      <c r="AB12">
        <f>ROUND('Conventional Manuf. EE'!D29*IF($F$24="Metric",1,947.817*$AE12),-1)</f>
        <v>3520</v>
      </c>
      <c r="AC12">
        <f>ROUND('Conventional Manuf. EE'!F29*IF($F$24="Metric",1,$AE12),4)</f>
        <v>0.29730000000000001</v>
      </c>
      <c r="AD12">
        <f>ROUND('Conventional Manuf. EE'!G29*IF($F$24="Metric",1,$AE12),4)</f>
        <v>0.65029999999999999</v>
      </c>
      <c r="AE12">
        <f t="shared" si="0"/>
        <v>9.2903034054205719E-2</v>
      </c>
      <c r="AF12" t="s">
        <v>435</v>
      </c>
      <c r="AG12" t="s">
        <v>583</v>
      </c>
    </row>
    <row r="13" spans="1:33" x14ac:dyDescent="0.35">
      <c r="A13" t="s">
        <v>122</v>
      </c>
      <c r="D13" t="b">
        <v>0</v>
      </c>
      <c r="G13" t="b">
        <v>0</v>
      </c>
      <c r="J13" t="b">
        <v>0</v>
      </c>
      <c r="N13" t="s">
        <v>28</v>
      </c>
      <c r="P13">
        <v>5280</v>
      </c>
      <c r="Q13">
        <v>8.8000000000000005E-3</v>
      </c>
      <c r="R13" t="b">
        <v>0</v>
      </c>
      <c r="T13">
        <v>4400</v>
      </c>
      <c r="U13">
        <v>5.8500000000000003E-2</v>
      </c>
      <c r="V13" t="b">
        <v>0</v>
      </c>
      <c r="X13">
        <v>5280</v>
      </c>
      <c r="Y13">
        <v>8.8000000000000005E-3</v>
      </c>
      <c r="Z13" t="b">
        <v>0</v>
      </c>
      <c r="AA13">
        <f>ROUND('Conventional Manuf. EE'!C30*IF($F$24="Metric",1,947.817*$AE13),-1)</f>
        <v>4400</v>
      </c>
      <c r="AB13">
        <f>ROUND('Conventional Manuf. EE'!D30*IF($F$24="Metric",1,947.817*$AE13),-1)</f>
        <v>5280</v>
      </c>
      <c r="AC13">
        <f>ROUND('Conventional Manuf. EE'!F30*IF($F$24="Metric",1,$AE13),4)</f>
        <v>5.8500000000000003E-2</v>
      </c>
      <c r="AD13">
        <f>ROUND('Conventional Manuf. EE'!G30*IF($F$24="Metric",1,$AE13),4)</f>
        <v>8.8000000000000005E-3</v>
      </c>
      <c r="AE13">
        <f t="shared" si="0"/>
        <v>9.2903034054205719E-2</v>
      </c>
      <c r="AF13" t="s">
        <v>435</v>
      </c>
      <c r="AG13" t="s">
        <v>583</v>
      </c>
    </row>
    <row r="14" spans="1:33" x14ac:dyDescent="0.35">
      <c r="A14" t="s">
        <v>417</v>
      </c>
      <c r="B14">
        <v>15</v>
      </c>
      <c r="C14" s="40">
        <f>0.03/3.6</f>
        <v>8.3333333333333332E-3</v>
      </c>
      <c r="D14" t="b">
        <v>0</v>
      </c>
      <c r="E14">
        <v>15</v>
      </c>
      <c r="F14" s="40">
        <f>0.03/3.6</f>
        <v>8.3333333333333332E-3</v>
      </c>
      <c r="G14" t="b">
        <v>0</v>
      </c>
      <c r="I14" s="40">
        <f>0.03/3.6</f>
        <v>8.3333333333333332E-3</v>
      </c>
      <c r="J14" t="b">
        <v>0</v>
      </c>
      <c r="N14" t="s">
        <v>29</v>
      </c>
      <c r="P14">
        <v>6160</v>
      </c>
      <c r="Q14">
        <v>0.1208</v>
      </c>
      <c r="R14" t="b">
        <v>0</v>
      </c>
      <c r="T14">
        <v>5280</v>
      </c>
      <c r="U14">
        <v>8.3599999999999994E-2</v>
      </c>
      <c r="V14" t="b">
        <v>0</v>
      </c>
      <c r="X14">
        <v>6160</v>
      </c>
      <c r="Y14">
        <v>0.1208</v>
      </c>
      <c r="Z14" t="b">
        <v>0</v>
      </c>
      <c r="AA14">
        <f>ROUND('Conventional Manuf. EE'!C31*IF($F$24="Metric",1,947.817*$AE14),-1)</f>
        <v>5280</v>
      </c>
      <c r="AB14">
        <f>ROUND('Conventional Manuf. EE'!D31*IF($F$24="Metric",1,947.817*$AE14),-1)</f>
        <v>6160</v>
      </c>
      <c r="AC14">
        <f>ROUND('Conventional Manuf. EE'!F31*IF($F$24="Metric",1,$AE14),4)</f>
        <v>8.3599999999999994E-2</v>
      </c>
      <c r="AD14">
        <f>ROUND('Conventional Manuf. EE'!G31*IF($F$24="Metric",1,$AE14),4)</f>
        <v>0.1208</v>
      </c>
      <c r="AE14">
        <f t="shared" si="0"/>
        <v>9.2903034054205719E-2</v>
      </c>
      <c r="AF14" t="s">
        <v>435</v>
      </c>
      <c r="AG14" t="s">
        <v>583</v>
      </c>
    </row>
    <row r="15" spans="1:33" x14ac:dyDescent="0.35">
      <c r="A15" t="s">
        <v>418</v>
      </c>
      <c r="B15">
        <v>16</v>
      </c>
      <c r="C15" s="40">
        <f>0.075/3.6</f>
        <v>2.0833333333333332E-2</v>
      </c>
      <c r="D15" t="b">
        <v>0</v>
      </c>
      <c r="E15">
        <v>16</v>
      </c>
      <c r="F15" s="40">
        <f>0.075/3.6</f>
        <v>2.0833333333333332E-2</v>
      </c>
      <c r="G15" t="b">
        <v>1</v>
      </c>
      <c r="I15" s="40">
        <f>0.075/3.6</f>
        <v>2.0833333333333332E-2</v>
      </c>
      <c r="J15" t="b">
        <v>0</v>
      </c>
      <c r="N15" t="s">
        <v>30</v>
      </c>
      <c r="P15">
        <v>7570</v>
      </c>
      <c r="Q15">
        <v>0.4274</v>
      </c>
      <c r="R15" t="b">
        <v>0</v>
      </c>
      <c r="T15">
        <v>5900</v>
      </c>
      <c r="U15">
        <v>0.34370000000000001</v>
      </c>
      <c r="V15" t="b">
        <v>0</v>
      </c>
      <c r="X15">
        <v>7570</v>
      </c>
      <c r="Y15">
        <v>0.4274</v>
      </c>
      <c r="Z15" t="b">
        <v>0</v>
      </c>
      <c r="AA15">
        <f>ROUND('Conventional Manuf. EE'!C32*IF($F$24="Metric",1,947.817*$AE15),-1)</f>
        <v>5900</v>
      </c>
      <c r="AB15">
        <f>ROUND('Conventional Manuf. EE'!D32*IF($F$24="Metric",1,947.817*$AE15),-1)</f>
        <v>7570</v>
      </c>
      <c r="AC15">
        <f>ROUND('Conventional Manuf. EE'!F32*IF($F$24="Metric",1,$AE15),4)</f>
        <v>0.34370000000000001</v>
      </c>
      <c r="AD15">
        <f>ROUND('Conventional Manuf. EE'!G32*IF($F$24="Metric",1,$AE15),4)</f>
        <v>0.4274</v>
      </c>
      <c r="AE15">
        <f t="shared" si="0"/>
        <v>9.2903034054205719E-2</v>
      </c>
      <c r="AF15" t="s">
        <v>435</v>
      </c>
      <c r="AG15" t="s">
        <v>583</v>
      </c>
    </row>
    <row r="16" spans="1:33" x14ac:dyDescent="0.35">
      <c r="N16" t="s">
        <v>31</v>
      </c>
      <c r="P16">
        <v>8810</v>
      </c>
      <c r="Q16">
        <v>0.4924</v>
      </c>
      <c r="R16" t="b">
        <v>0</v>
      </c>
      <c r="T16">
        <v>7040</v>
      </c>
      <c r="U16">
        <v>0.4088</v>
      </c>
      <c r="V16" t="b">
        <v>0</v>
      </c>
      <c r="X16">
        <v>8810</v>
      </c>
      <c r="Y16">
        <v>0.4924</v>
      </c>
      <c r="Z16" t="b">
        <v>0</v>
      </c>
      <c r="AA16">
        <f>ROUND('Conventional Manuf. EE'!C33*IF($F$24="Metric",1,947.817*$AE16),-1)</f>
        <v>7040</v>
      </c>
      <c r="AB16">
        <f>ROUND('Conventional Manuf. EE'!D33*IF($F$24="Metric",1,947.817*$AE16),-1)</f>
        <v>8810</v>
      </c>
      <c r="AC16">
        <f>ROUND('Conventional Manuf. EE'!F33*IF($F$24="Metric",1,$AE16),4)</f>
        <v>0.4088</v>
      </c>
      <c r="AD16">
        <f>ROUND('Conventional Manuf. EE'!G33*IF($F$24="Metric",1,$AE16),4)</f>
        <v>0.4924</v>
      </c>
      <c r="AE16">
        <f t="shared" si="0"/>
        <v>9.2903034054205719E-2</v>
      </c>
      <c r="AF16" t="s">
        <v>435</v>
      </c>
      <c r="AG16" t="s">
        <v>583</v>
      </c>
    </row>
    <row r="17" spans="1:33" x14ac:dyDescent="0.35">
      <c r="N17" t="s">
        <v>426</v>
      </c>
      <c r="R17" t="b">
        <v>0</v>
      </c>
      <c r="S17">
        <v>10</v>
      </c>
      <c r="T17">
        <v>10</v>
      </c>
      <c r="U17">
        <v>3</v>
      </c>
      <c r="V17" t="b">
        <v>0</v>
      </c>
      <c r="Z17" t="b">
        <v>0</v>
      </c>
      <c r="AF17" t="s">
        <v>7</v>
      </c>
      <c r="AG17" t="s">
        <v>3</v>
      </c>
    </row>
    <row r="18" spans="1:33" x14ac:dyDescent="0.35">
      <c r="A18" t="s">
        <v>406</v>
      </c>
      <c r="B18" cm="1">
        <f t="array" ref="B18">SUMPRODUCT(B3:B13,C3:C13,INT(D3:D13))/60+SUMPRODUCT(B14:B15,C14:C15,INT(D14:D15))</f>
        <v>233.25</v>
      </c>
      <c r="C18" t="s">
        <v>409</v>
      </c>
      <c r="E18" cm="1">
        <f t="array" ref="E18">SUMPRODUCT(E3:E13,F3:F13,INT(G3:G13))/60+SUMPRODUCT(E14:E15,F14:F15,INT(G14:G15))</f>
        <v>10.766666666666667</v>
      </c>
      <c r="F18" t="s">
        <v>409</v>
      </c>
      <c r="H18" cm="1">
        <f t="array" ref="H18">SUMPRODUCT(H3:H13,I3:I13,INT(J3:J13))/60+SUMPRODUCT(H14:H15,I14:I15,INT(J14:J15))</f>
        <v>164</v>
      </c>
      <c r="I18" t="s">
        <v>409</v>
      </c>
      <c r="N18" t="s">
        <v>427</v>
      </c>
      <c r="R18" t="b">
        <v>0</v>
      </c>
      <c r="V18" t="b">
        <v>0</v>
      </c>
      <c r="Z18" t="b">
        <v>0</v>
      </c>
      <c r="AF18" t="s">
        <v>7</v>
      </c>
      <c r="AG18" t="s">
        <v>3</v>
      </c>
    </row>
    <row r="19" spans="1:33" x14ac:dyDescent="0.35">
      <c r="A19" t="s">
        <v>406</v>
      </c>
      <c r="B19">
        <f>B18*IF($F$24="Metric", 3.6, 3412.14)</f>
        <v>795881.65500000003</v>
      </c>
      <c r="C19" t="str">
        <f>IF($F$24="Metric","MJ","Btu")&amp;"/part"</f>
        <v>Btu/part</v>
      </c>
      <c r="E19">
        <f>E18*IF($F$24="Metric", 3.6, 3412.14)</f>
        <v>36737.374000000003</v>
      </c>
      <c r="F19" t="str">
        <f>IF($F$24="Metric","MJ","Btu")&amp;"/part"</f>
        <v>Btu/part</v>
      </c>
      <c r="H19">
        <f>H18*IF($F$24="Metric", 3.6, 3412.14)</f>
        <v>559590.96</v>
      </c>
      <c r="I19" t="str">
        <f>IF($F$24="Metric","MJ","Btu")&amp;"/part"</f>
        <v>Btu/part</v>
      </c>
      <c r="N19" t="s">
        <v>428</v>
      </c>
      <c r="R19" t="b">
        <v>0</v>
      </c>
      <c r="V19" t="b">
        <v>0</v>
      </c>
      <c r="Z19" t="b">
        <v>0</v>
      </c>
      <c r="AF19" t="s">
        <v>7</v>
      </c>
      <c r="AG19" t="s">
        <v>3</v>
      </c>
    </row>
    <row r="20" spans="1:33" x14ac:dyDescent="0.35">
      <c r="A20" t="s">
        <v>638</v>
      </c>
      <c r="B20">
        <f>B18*(1/1000)*'Use Phase'!N18</f>
        <v>87.019044778692034</v>
      </c>
      <c r="C20" t="s">
        <v>637</v>
      </c>
      <c r="E20">
        <f>E18*(1/1000)*'Use Phase'!N18</f>
        <v>4.0167419026105788</v>
      </c>
      <c r="F20" t="s">
        <v>637</v>
      </c>
      <c r="H20">
        <f>H18*(1/1000)*'Use Phase'!N18</f>
        <v>61.183808547504789</v>
      </c>
      <c r="I20" t="s">
        <v>637</v>
      </c>
      <c r="N20" t="s">
        <v>32</v>
      </c>
      <c r="R20" t="b">
        <v>0</v>
      </c>
      <c r="V20" t="b">
        <v>0</v>
      </c>
      <c r="Z20" t="b">
        <v>0</v>
      </c>
    </row>
    <row r="22" spans="1:33" x14ac:dyDescent="0.35">
      <c r="N22" t="s">
        <v>406</v>
      </c>
      <c r="O22" cm="1">
        <f t="array" ref="O22">SUMPRODUCT(O3:O20,P3:P20,INT(R3:R20))</f>
        <v>3886050</v>
      </c>
      <c r="P22" t="str">
        <f>IF($F$24="Metric","MJ","Btu")&amp;"/part"</f>
        <v>Btu/part</v>
      </c>
      <c r="S22" cm="1">
        <f t="array" ref="S22">SUMPRODUCT(S3:S20,T3:T20,INT(V3:V20))</f>
        <v>1032</v>
      </c>
      <c r="T22" t="str">
        <f>IF($F$24="Metric","MJ","Btu")&amp;"/part"</f>
        <v>Btu/part</v>
      </c>
      <c r="W22" cm="1">
        <f t="array" ref="W22">SUMPRODUCT(W3:W20,X3:X20,INT(Z3:Z20))</f>
        <v>1444.3799999999999</v>
      </c>
      <c r="X22" t="str">
        <f>IF($F$24="Metric","MJ","Btu")&amp;"/part"</f>
        <v>Btu/part</v>
      </c>
    </row>
    <row r="23" spans="1:33" x14ac:dyDescent="0.35">
      <c r="O23" cm="1">
        <f t="array" ref="O23">SUMPRODUCT(O3:O20,Q3:Q20,INT(R3:R20))</f>
        <v>286.99650000000003</v>
      </c>
      <c r="P23" t="s">
        <v>637</v>
      </c>
      <c r="Q23" s="38"/>
      <c r="R23" s="38"/>
      <c r="S23" cm="1">
        <f t="array" ref="S23">SUMPRODUCT(S3:S20,U3:U20,INT(V3:V20))</f>
        <v>8.1599999999999992E-2</v>
      </c>
      <c r="T23" t="s">
        <v>637</v>
      </c>
      <c r="U23" s="38"/>
      <c r="V23" s="38"/>
      <c r="W23" cm="1">
        <f t="array" ref="W23">SUMPRODUCT(W3:W20,Y3:Y20,INT(Z3:Z20))</f>
        <v>0.13335</v>
      </c>
      <c r="X23" t="s">
        <v>637</v>
      </c>
    </row>
    <row r="24" spans="1:33" ht="15" thickBot="1" x14ac:dyDescent="0.4">
      <c r="E24" t="s">
        <v>580</v>
      </c>
      <c r="F24" t="str">
        <f>'Intro - Start Here'!C15</f>
        <v>U.S.</v>
      </c>
    </row>
    <row r="25" spans="1:33" x14ac:dyDescent="0.35">
      <c r="A25" t="s">
        <v>421</v>
      </c>
      <c r="E25" s="41" t="s">
        <v>425</v>
      </c>
      <c r="F25" s="13"/>
      <c r="G25" s="13" t="str">
        <f>IF($F$24="Metric","MJ","Btu")&amp;"/part"</f>
        <v>Btu/part</v>
      </c>
      <c r="H25" s="14"/>
    </row>
    <row r="26" spans="1:33" x14ac:dyDescent="0.35">
      <c r="A26" t="s">
        <v>423</v>
      </c>
      <c r="B26">
        <f>'CM Calculator (BL)'!D32-'CM Calculator (BL)'!D33</f>
        <v>16.8</v>
      </c>
      <c r="E26" s="15"/>
      <c r="F26" s="42" t="s">
        <v>423</v>
      </c>
      <c r="G26" s="42" t="s">
        <v>424</v>
      </c>
      <c r="H26" s="12" t="s">
        <v>422</v>
      </c>
    </row>
    <row r="27" spans="1:33" ht="15" thickBot="1" x14ac:dyDescent="0.4">
      <c r="A27" t="s">
        <v>424</v>
      </c>
      <c r="B27">
        <f>'AM Calculator (BL)'!D32-'AM Calculator (BL)'!D33</f>
        <v>0</v>
      </c>
      <c r="E27" s="43" t="s">
        <v>406</v>
      </c>
      <c r="F27" s="44">
        <f>B19+O22</f>
        <v>4681931.6550000003</v>
      </c>
      <c r="G27" s="44">
        <f>E19+S22</f>
        <v>37769.374000000003</v>
      </c>
      <c r="H27" s="45">
        <f>H19+W22</f>
        <v>561035.34</v>
      </c>
    </row>
    <row r="28" spans="1:33" ht="15" thickBot="1" x14ac:dyDescent="0.4">
      <c r="A28" t="s">
        <v>422</v>
      </c>
      <c r="B28">
        <f>'AM Calculator (Alt)'!D32-'AM Calculator (Alt)'!D33</f>
        <v>0.42000000000000004</v>
      </c>
      <c r="E28" s="39" t="s">
        <v>638</v>
      </c>
      <c r="F28" s="44">
        <f>B20+O23</f>
        <v>374.01554477869206</v>
      </c>
      <c r="G28" s="44">
        <f>E20+S23</f>
        <v>4.0983419026105787</v>
      </c>
      <c r="H28" s="45">
        <f>H20+W23</f>
        <v>61.317158547504789</v>
      </c>
    </row>
  </sheetData>
  <sheetProtection algorithmName="SHA-512" hashValue="EEK8Ev1qdv4OQmUpM7Ek7lXo7Ufv+CDJxw9DH8WOJiWYcm6/iJ5zoRNV/CD8x07qCIUypuCBIE9ysiRH3jKbig==" saltValue="gNMt5y3/cNRLS6uel1AnrA==" spinCount="100000" sheet="1" objects="1" scenarios="1"/>
  <phoneticPr fontId="4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8A41-60C5-4630-9DA6-E1A8B016BB3C}">
  <sheetPr codeName="Sheet5">
    <tabColor theme="9"/>
  </sheetPr>
  <dimension ref="A1:T72"/>
  <sheetViews>
    <sheetView zoomScale="85" zoomScaleNormal="85" workbookViewId="0">
      <selection activeCell="Y46" sqref="Y46"/>
    </sheetView>
  </sheetViews>
  <sheetFormatPr defaultRowHeight="14.5" x14ac:dyDescent="0.35"/>
  <cols>
    <col min="1" max="1" width="13.54296875" customWidth="1"/>
    <col min="3" max="3" width="13.7265625" customWidth="1"/>
    <col min="4" max="4" width="12" bestFit="1" customWidth="1"/>
    <col min="10" max="10" width="12" bestFit="1" customWidth="1"/>
    <col min="11" max="11" width="12.81640625" customWidth="1"/>
    <col min="12" max="12" width="14" customWidth="1"/>
    <col min="29" max="29" width="25.26953125" customWidth="1"/>
    <col min="30" max="32" width="17.54296875" customWidth="1"/>
  </cols>
  <sheetData>
    <row r="1" spans="1:20" ht="45" customHeight="1" x14ac:dyDescent="0.35">
      <c r="A1" s="54" t="s">
        <v>725</v>
      </c>
      <c r="B1" s="54" t="s">
        <v>60</v>
      </c>
      <c r="C1" s="54" t="str">
        <f>"Energy ("&amp;unitEE&amp;")"</f>
        <v>Energy (Btu/lb)</v>
      </c>
      <c r="D1" s="54" t="str">
        <f>"Carbon ("&amp;unitCE&amp;")"</f>
        <v>Carbon (kg/lb)</v>
      </c>
      <c r="E1" s="54"/>
      <c r="F1" s="54"/>
      <c r="G1" s="54"/>
      <c r="H1" s="54"/>
      <c r="I1" s="54"/>
      <c r="J1" s="54"/>
      <c r="K1" s="54"/>
      <c r="M1" s="54"/>
      <c r="N1" s="54" t="str">
        <f>"Carbon ("&amp;unitCE&amp;")"</f>
        <v>Carbon (kg/lb)</v>
      </c>
    </row>
    <row r="2" spans="1:20" x14ac:dyDescent="0.35">
      <c r="A2" t="s">
        <v>702</v>
      </c>
      <c r="B2" t="s">
        <v>765</v>
      </c>
      <c r="C2">
        <f t="shared" ref="C2:C11" si="0">IFERROR(VLOOKUP(B2,Tooling_EE,3+$R$5,FALSE)*$R$3,0)</f>
        <v>47364.367131538231</v>
      </c>
      <c r="D2">
        <f t="shared" ref="D2:D11" si="1">IFERROR(VLOOKUP(B2,Tooling_EE,6+$R$5,FALSE)*$R$4,0)</f>
        <v>4.0608313450844147</v>
      </c>
    </row>
    <row r="3" spans="1:20" x14ac:dyDescent="0.35">
      <c r="A3" t="s">
        <v>703</v>
      </c>
      <c r="B3" t="s">
        <v>208</v>
      </c>
      <c r="C3">
        <f t="shared" si="0"/>
        <v>0</v>
      </c>
      <c r="D3">
        <f t="shared" si="1"/>
        <v>0</v>
      </c>
      <c r="Q3" t="str">
        <f>unitEE</f>
        <v>Btu/lb</v>
      </c>
      <c r="R3">
        <f>IF(K16="Metric",1,1000000/(1055.06*2.20462))</f>
        <v>429.92143521282179</v>
      </c>
    </row>
    <row r="4" spans="1:20" x14ac:dyDescent="0.35">
      <c r="A4" t="s">
        <v>704</v>
      </c>
      <c r="B4" t="s">
        <v>208</v>
      </c>
      <c r="C4">
        <f t="shared" si="0"/>
        <v>0</v>
      </c>
      <c r="D4">
        <f t="shared" si="1"/>
        <v>0</v>
      </c>
      <c r="Q4" t="str">
        <f>unitCE</f>
        <v>kg/lb</v>
      </c>
      <c r="R4">
        <f>IF(F17="Metric",1,1/(2.20462))</f>
        <v>0.45359290943563974</v>
      </c>
    </row>
    <row r="5" spans="1:20" x14ac:dyDescent="0.35">
      <c r="A5" t="s">
        <v>705</v>
      </c>
      <c r="B5" t="s">
        <v>208</v>
      </c>
      <c r="C5">
        <f t="shared" si="0"/>
        <v>0</v>
      </c>
      <c r="D5">
        <f t="shared" si="1"/>
        <v>0</v>
      </c>
      <c r="P5">
        <v>1</v>
      </c>
      <c r="Q5" t="s">
        <v>747</v>
      </c>
      <c r="R5">
        <v>1</v>
      </c>
    </row>
    <row r="6" spans="1:20" x14ac:dyDescent="0.35">
      <c r="A6" t="s">
        <v>706</v>
      </c>
      <c r="B6" t="s">
        <v>208</v>
      </c>
      <c r="C6">
        <f t="shared" si="0"/>
        <v>0</v>
      </c>
      <c r="D6">
        <f t="shared" si="1"/>
        <v>0</v>
      </c>
    </row>
    <row r="7" spans="1:20" x14ac:dyDescent="0.35">
      <c r="A7" t="s">
        <v>707</v>
      </c>
      <c r="B7" t="s">
        <v>14</v>
      </c>
      <c r="C7">
        <f t="shared" si="0"/>
        <v>0</v>
      </c>
      <c r="D7">
        <f t="shared" si="1"/>
        <v>0</v>
      </c>
    </row>
    <row r="8" spans="1:20" x14ac:dyDescent="0.35">
      <c r="A8" t="s">
        <v>708</v>
      </c>
      <c r="B8" t="s">
        <v>14</v>
      </c>
      <c r="C8">
        <f t="shared" si="0"/>
        <v>0</v>
      </c>
      <c r="D8">
        <f t="shared" si="1"/>
        <v>0</v>
      </c>
    </row>
    <row r="9" spans="1:20" x14ac:dyDescent="0.35">
      <c r="A9" t="s">
        <v>709</v>
      </c>
      <c r="B9" t="s">
        <v>14</v>
      </c>
      <c r="C9">
        <f t="shared" si="0"/>
        <v>0</v>
      </c>
      <c r="D9">
        <f t="shared" si="1"/>
        <v>0</v>
      </c>
    </row>
    <row r="10" spans="1:20" x14ac:dyDescent="0.35">
      <c r="A10" t="s">
        <v>710</v>
      </c>
      <c r="B10" t="s">
        <v>14</v>
      </c>
      <c r="C10">
        <f t="shared" si="0"/>
        <v>0</v>
      </c>
      <c r="D10">
        <f t="shared" si="1"/>
        <v>0</v>
      </c>
    </row>
    <row r="11" spans="1:20" x14ac:dyDescent="0.35">
      <c r="A11" t="s">
        <v>711</v>
      </c>
      <c r="B11" t="s">
        <v>14</v>
      </c>
      <c r="C11">
        <f t="shared" si="0"/>
        <v>0</v>
      </c>
      <c r="D11">
        <f t="shared" si="1"/>
        <v>0</v>
      </c>
    </row>
    <row r="14" spans="1:20" x14ac:dyDescent="0.35">
      <c r="T14">
        <v>0.45359290943563974</v>
      </c>
    </row>
    <row r="21" spans="1:9" ht="58" x14ac:dyDescent="0.35">
      <c r="A21" t="s">
        <v>701</v>
      </c>
      <c r="B21" t="s">
        <v>60</v>
      </c>
      <c r="C21" t="str">
        <f>"Energy ("&amp;unitEE&amp;")"</f>
        <v>Energy (Btu/lb)</v>
      </c>
      <c r="D21" t="str">
        <f>"Carbon ("&amp;unitCE&amp;")"</f>
        <v>Carbon (kg/lb)</v>
      </c>
      <c r="E21" t="str">
        <f>"Mass (" &amp; unitMass&amp;")"</f>
        <v>Mass (lb)</v>
      </c>
      <c r="F21" t="s">
        <v>713</v>
      </c>
      <c r="G21" t="s">
        <v>714</v>
      </c>
      <c r="H21" s="54" t="str">
        <f>"Manuf Energy ("&amp;unitEpart&amp;")"</f>
        <v>Manuf Energy (Btu/part)</v>
      </c>
      <c r="I21" s="54" t="str">
        <f>"Manuf Carbon ("&amp;unitCpart&amp;")"</f>
        <v>Manuf Carbon (kg/part)</v>
      </c>
    </row>
    <row r="22" spans="1:9" x14ac:dyDescent="0.35">
      <c r="A22" t="s">
        <v>702</v>
      </c>
      <c r="B22" t="s">
        <v>760</v>
      </c>
      <c r="C22">
        <v>15988.78</v>
      </c>
      <c r="D22">
        <v>1.8800000000000001E-2</v>
      </c>
      <c r="E22">
        <v>0.5</v>
      </c>
      <c r="F22">
        <v>3</v>
      </c>
      <c r="G22">
        <v>1000</v>
      </c>
      <c r="H22">
        <v>3788</v>
      </c>
      <c r="I22">
        <v>0.44819999999999999</v>
      </c>
    </row>
    <row r="23" spans="1:9" x14ac:dyDescent="0.35">
      <c r="A23" t="s">
        <v>703</v>
      </c>
      <c r="B23" t="s">
        <v>761</v>
      </c>
      <c r="C23">
        <v>55502.86</v>
      </c>
      <c r="D23">
        <v>4.2954999999999997</v>
      </c>
      <c r="E23">
        <v>0.1</v>
      </c>
      <c r="F23">
        <v>2</v>
      </c>
      <c r="G23">
        <v>1000</v>
      </c>
      <c r="H23">
        <v>3788</v>
      </c>
      <c r="I23">
        <v>0.44819999999999999</v>
      </c>
    </row>
    <row r="24" spans="1:9" x14ac:dyDescent="0.35">
      <c r="A24" t="s">
        <v>704</v>
      </c>
      <c r="B24" t="s">
        <v>544</v>
      </c>
      <c r="C24">
        <v>212811.11</v>
      </c>
      <c r="D24">
        <v>12.473800000000001</v>
      </c>
      <c r="E24">
        <v>0.3</v>
      </c>
      <c r="F24">
        <v>1</v>
      </c>
      <c r="G24">
        <v>1000</v>
      </c>
      <c r="H24">
        <v>3788</v>
      </c>
      <c r="I24">
        <v>0.44819999999999999</v>
      </c>
    </row>
    <row r="25" spans="1:9" x14ac:dyDescent="0.35">
      <c r="A25" t="s">
        <v>705</v>
      </c>
      <c r="B25" t="s">
        <v>110</v>
      </c>
      <c r="C25">
        <v>23516.7</v>
      </c>
      <c r="D25">
        <v>1.3381000000000001</v>
      </c>
      <c r="E25">
        <v>1</v>
      </c>
      <c r="F25">
        <v>10</v>
      </c>
      <c r="G25">
        <v>1000</v>
      </c>
      <c r="H25">
        <v>3788</v>
      </c>
      <c r="I25">
        <v>0.44819999999999999</v>
      </c>
    </row>
    <row r="26" spans="1:9" x14ac:dyDescent="0.35">
      <c r="A26" t="s">
        <v>706</v>
      </c>
      <c r="B26" t="s">
        <v>771</v>
      </c>
      <c r="C26">
        <v>1950.53</v>
      </c>
      <c r="D26">
        <v>1.8800000000000001E-2</v>
      </c>
      <c r="E26">
        <v>2</v>
      </c>
      <c r="F26">
        <v>1</v>
      </c>
      <c r="G26">
        <v>1000</v>
      </c>
      <c r="H26">
        <v>3788</v>
      </c>
      <c r="I26">
        <v>0.44819999999999999</v>
      </c>
    </row>
    <row r="27" spans="1:9" x14ac:dyDescent="0.35">
      <c r="A27" t="s">
        <v>707</v>
      </c>
      <c r="B27" t="s">
        <v>14</v>
      </c>
      <c r="E27">
        <v>0</v>
      </c>
      <c r="F27">
        <v>0</v>
      </c>
      <c r="G27">
        <v>0</v>
      </c>
    </row>
    <row r="28" spans="1:9" x14ac:dyDescent="0.35">
      <c r="A28" t="s">
        <v>708</v>
      </c>
      <c r="B28" t="s">
        <v>14</v>
      </c>
      <c r="E28">
        <v>0</v>
      </c>
      <c r="F28">
        <v>0</v>
      </c>
      <c r="G28">
        <v>0</v>
      </c>
    </row>
    <row r="29" spans="1:9" x14ac:dyDescent="0.35">
      <c r="A29" t="s">
        <v>709</v>
      </c>
      <c r="B29" t="s">
        <v>14</v>
      </c>
      <c r="E29">
        <v>0</v>
      </c>
      <c r="F29">
        <v>0</v>
      </c>
      <c r="G29">
        <v>0</v>
      </c>
    </row>
    <row r="30" spans="1:9" x14ac:dyDescent="0.35">
      <c r="A30" t="s">
        <v>710</v>
      </c>
      <c r="B30" t="s">
        <v>14</v>
      </c>
      <c r="E30">
        <v>0</v>
      </c>
      <c r="F30">
        <v>0</v>
      </c>
      <c r="G30">
        <v>0</v>
      </c>
    </row>
    <row r="31" spans="1:9" x14ac:dyDescent="0.35">
      <c r="A31" t="s">
        <v>711</v>
      </c>
      <c r="B31" t="s">
        <v>14</v>
      </c>
      <c r="E31">
        <v>0</v>
      </c>
      <c r="F31">
        <v>0</v>
      </c>
      <c r="G31">
        <v>0</v>
      </c>
    </row>
    <row r="41" spans="1:11" ht="58" x14ac:dyDescent="0.35">
      <c r="A41" t="s">
        <v>775</v>
      </c>
      <c r="B41" t="s">
        <v>60</v>
      </c>
      <c r="C41" t="str">
        <f>"Energy ("&amp;unitEE&amp;")"</f>
        <v>Energy (Btu/lb)</v>
      </c>
      <c r="D41" t="str">
        <f>"Carbon ("&amp;unitCE&amp;")"</f>
        <v>Carbon (kg/lb)</v>
      </c>
      <c r="E41" t="str">
        <f>"Mass (" &amp; unitMass&amp;")"</f>
        <v>Mass (lb)</v>
      </c>
      <c r="F41" t="s">
        <v>713</v>
      </c>
      <c r="G41" t="s">
        <v>714</v>
      </c>
      <c r="H41" s="54" t="str">
        <f>"Manuf Energy ("&amp;unitEpart&amp;")"</f>
        <v>Manuf Energy (Btu/part)</v>
      </c>
      <c r="I41" s="54" t="str">
        <f>"Manuf Carbon ("&amp;unitCpart&amp;")"</f>
        <v>Manuf Carbon (kg/part)</v>
      </c>
      <c r="J41" t="str">
        <f>"Energy ("&amp;unitEpart&amp;")"</f>
        <v>Energy (Btu/part)</v>
      </c>
      <c r="K41" t="str">
        <f>"Carbon ("&amp;unitCpart&amp;")"</f>
        <v>Carbon (kg/part)</v>
      </c>
    </row>
    <row r="42" spans="1:11" x14ac:dyDescent="0.35">
      <c r="A42" t="s">
        <v>702</v>
      </c>
      <c r="B42" t="s">
        <v>14</v>
      </c>
      <c r="E42">
        <v>0</v>
      </c>
      <c r="F42">
        <v>0</v>
      </c>
      <c r="G42">
        <v>0</v>
      </c>
    </row>
    <row r="43" spans="1:11" x14ac:dyDescent="0.35">
      <c r="A43" t="s">
        <v>703</v>
      </c>
      <c r="B43" t="s">
        <v>14</v>
      </c>
      <c r="E43">
        <v>0</v>
      </c>
      <c r="F43">
        <v>0</v>
      </c>
      <c r="G43">
        <v>0</v>
      </c>
    </row>
    <row r="44" spans="1:11" x14ac:dyDescent="0.35">
      <c r="A44" t="s">
        <v>704</v>
      </c>
      <c r="B44" t="s">
        <v>14</v>
      </c>
      <c r="E44">
        <v>0</v>
      </c>
      <c r="F44">
        <v>0</v>
      </c>
      <c r="G44">
        <v>0</v>
      </c>
    </row>
    <row r="45" spans="1:11" x14ac:dyDescent="0.35">
      <c r="A45" t="s">
        <v>705</v>
      </c>
      <c r="B45" t="s">
        <v>14</v>
      </c>
      <c r="E45">
        <v>0</v>
      </c>
      <c r="F45">
        <v>0</v>
      </c>
      <c r="G45">
        <v>0</v>
      </c>
    </row>
    <row r="46" spans="1:11" x14ac:dyDescent="0.35">
      <c r="A46" t="s">
        <v>706</v>
      </c>
      <c r="B46" t="s">
        <v>14</v>
      </c>
      <c r="E46">
        <v>0</v>
      </c>
      <c r="F46">
        <v>0</v>
      </c>
      <c r="G46">
        <v>0</v>
      </c>
    </row>
    <row r="47" spans="1:11" x14ac:dyDescent="0.35">
      <c r="A47" t="s">
        <v>707</v>
      </c>
      <c r="B47" t="s">
        <v>14</v>
      </c>
      <c r="E47">
        <v>0</v>
      </c>
      <c r="F47">
        <v>0</v>
      </c>
      <c r="G47">
        <v>0</v>
      </c>
    </row>
    <row r="48" spans="1:11" x14ac:dyDescent="0.35">
      <c r="A48" t="s">
        <v>708</v>
      </c>
      <c r="B48" t="s">
        <v>14</v>
      </c>
      <c r="E48">
        <v>0</v>
      </c>
      <c r="F48">
        <v>0</v>
      </c>
      <c r="G48">
        <v>0</v>
      </c>
    </row>
    <row r="49" spans="1:11" x14ac:dyDescent="0.35">
      <c r="A49" t="s">
        <v>709</v>
      </c>
      <c r="B49" t="s">
        <v>14</v>
      </c>
      <c r="E49">
        <v>0</v>
      </c>
      <c r="F49">
        <v>0</v>
      </c>
      <c r="G49">
        <v>0</v>
      </c>
    </row>
    <row r="50" spans="1:11" x14ac:dyDescent="0.35">
      <c r="A50" t="s">
        <v>710</v>
      </c>
      <c r="B50" t="s">
        <v>14</v>
      </c>
      <c r="E50">
        <v>0</v>
      </c>
      <c r="F50">
        <v>0</v>
      </c>
      <c r="G50">
        <v>0</v>
      </c>
    </row>
    <row r="51" spans="1:11" x14ac:dyDescent="0.35">
      <c r="A51" t="s">
        <v>711</v>
      </c>
      <c r="B51" t="s">
        <v>14</v>
      </c>
      <c r="E51">
        <v>0</v>
      </c>
      <c r="F51">
        <v>0</v>
      </c>
      <c r="G51">
        <v>0</v>
      </c>
    </row>
    <row r="52" spans="1:11" x14ac:dyDescent="0.35">
      <c r="J52">
        <f>SUM(J42:J51)</f>
        <v>0</v>
      </c>
      <c r="K52">
        <f>SUM(K42:K51)</f>
        <v>0</v>
      </c>
    </row>
    <row r="61" spans="1:11" ht="58" x14ac:dyDescent="0.35">
      <c r="A61" t="s">
        <v>774</v>
      </c>
      <c r="B61" t="s">
        <v>60</v>
      </c>
      <c r="C61" t="str">
        <f>"Energy ("&amp;unitEE&amp;")"</f>
        <v>Energy (Btu/lb)</v>
      </c>
      <c r="D61" t="str">
        <f>"Carbon ("&amp;unitCE&amp;")"</f>
        <v>Carbon (kg/lb)</v>
      </c>
      <c r="E61" t="str">
        <f>"Mass (" &amp; unitMass&amp;")"</f>
        <v>Mass (lb)</v>
      </c>
      <c r="F61" t="s">
        <v>713</v>
      </c>
      <c r="G61" t="s">
        <v>714</v>
      </c>
      <c r="H61" s="54" t="str">
        <f>"Manuf Energy ("&amp;unitEpart&amp;")"</f>
        <v>Manuf Energy (Btu/part)</v>
      </c>
      <c r="I61" s="54" t="str">
        <f>"Manuf Carbon ("&amp;unitCpart&amp;")"</f>
        <v>Manuf Carbon (kg/part)</v>
      </c>
      <c r="J61" t="str">
        <f>"Energy ("&amp;unitEpart&amp;")"</f>
        <v>Energy (Btu/part)</v>
      </c>
      <c r="K61" t="str">
        <f>"Carbon ("&amp;unitCpart&amp;")"</f>
        <v>Carbon (kg/part)</v>
      </c>
    </row>
    <row r="62" spans="1:11" x14ac:dyDescent="0.35">
      <c r="A62" t="s">
        <v>702</v>
      </c>
      <c r="B62" t="s">
        <v>765</v>
      </c>
      <c r="C62">
        <v>47364.37</v>
      </c>
      <c r="D62">
        <v>0</v>
      </c>
      <c r="E62">
        <v>0.02</v>
      </c>
      <c r="F62">
        <v>1</v>
      </c>
      <c r="G62">
        <v>2.2999999999999998</v>
      </c>
      <c r="H62">
        <v>3788</v>
      </c>
      <c r="I62">
        <v>0.44819999999999999</v>
      </c>
    </row>
    <row r="63" spans="1:11" x14ac:dyDescent="0.35">
      <c r="A63" t="s">
        <v>703</v>
      </c>
      <c r="B63" t="s">
        <v>208</v>
      </c>
      <c r="C63">
        <v>0</v>
      </c>
      <c r="D63">
        <v>0</v>
      </c>
      <c r="E63">
        <v>0</v>
      </c>
      <c r="F63">
        <v>0</v>
      </c>
      <c r="G63">
        <v>0</v>
      </c>
      <c r="H63">
        <v>3788</v>
      </c>
      <c r="I63">
        <v>0.44819999999999999</v>
      </c>
    </row>
    <row r="64" spans="1:11" x14ac:dyDescent="0.35">
      <c r="A64" t="s">
        <v>704</v>
      </c>
      <c r="B64" t="s">
        <v>208</v>
      </c>
      <c r="C64">
        <v>0</v>
      </c>
      <c r="D64">
        <v>0</v>
      </c>
      <c r="E64">
        <v>0</v>
      </c>
      <c r="F64">
        <v>0</v>
      </c>
      <c r="G64">
        <v>0</v>
      </c>
      <c r="H64">
        <v>3788</v>
      </c>
      <c r="I64">
        <v>0.44819999999999999</v>
      </c>
    </row>
    <row r="65" spans="1:11" x14ac:dyDescent="0.35">
      <c r="A65" t="s">
        <v>705</v>
      </c>
      <c r="B65" t="s">
        <v>208</v>
      </c>
      <c r="C65">
        <v>0</v>
      </c>
      <c r="D65">
        <v>0</v>
      </c>
      <c r="E65">
        <v>0</v>
      </c>
      <c r="F65">
        <v>0</v>
      </c>
      <c r="G65">
        <v>0</v>
      </c>
      <c r="H65">
        <v>3788</v>
      </c>
      <c r="I65">
        <v>0.44819999999999999</v>
      </c>
    </row>
    <row r="66" spans="1:11" x14ac:dyDescent="0.35">
      <c r="A66" t="s">
        <v>706</v>
      </c>
      <c r="B66" t="s">
        <v>208</v>
      </c>
      <c r="C66">
        <v>0</v>
      </c>
      <c r="D66">
        <v>0</v>
      </c>
      <c r="E66">
        <v>0</v>
      </c>
      <c r="F66">
        <v>0</v>
      </c>
      <c r="G66">
        <v>0</v>
      </c>
      <c r="H66">
        <v>3788</v>
      </c>
      <c r="I66">
        <v>0.44819999999999999</v>
      </c>
    </row>
    <row r="67" spans="1:11" x14ac:dyDescent="0.35">
      <c r="A67" t="s">
        <v>707</v>
      </c>
      <c r="B67" t="s">
        <v>215</v>
      </c>
      <c r="E67">
        <v>10</v>
      </c>
      <c r="F67">
        <v>1</v>
      </c>
      <c r="G67">
        <v>100</v>
      </c>
    </row>
    <row r="68" spans="1:11" x14ac:dyDescent="0.35">
      <c r="A68" t="s">
        <v>708</v>
      </c>
      <c r="B68" t="s">
        <v>215</v>
      </c>
      <c r="E68">
        <v>10</v>
      </c>
      <c r="F68">
        <v>1</v>
      </c>
      <c r="G68">
        <v>100</v>
      </c>
    </row>
    <row r="69" spans="1:11" x14ac:dyDescent="0.35">
      <c r="A69" t="s">
        <v>709</v>
      </c>
      <c r="B69" t="s">
        <v>215</v>
      </c>
      <c r="E69">
        <v>10</v>
      </c>
      <c r="F69">
        <v>1</v>
      </c>
      <c r="G69">
        <v>100</v>
      </c>
    </row>
    <row r="70" spans="1:11" x14ac:dyDescent="0.35">
      <c r="A70" t="s">
        <v>710</v>
      </c>
      <c r="B70" t="s">
        <v>215</v>
      </c>
      <c r="E70">
        <v>10</v>
      </c>
      <c r="F70">
        <v>1</v>
      </c>
      <c r="G70">
        <v>100</v>
      </c>
    </row>
    <row r="71" spans="1:11" x14ac:dyDescent="0.35">
      <c r="A71" t="s">
        <v>711</v>
      </c>
      <c r="B71" t="s">
        <v>215</v>
      </c>
      <c r="E71">
        <v>10</v>
      </c>
      <c r="F71">
        <v>1</v>
      </c>
      <c r="G71">
        <v>100</v>
      </c>
    </row>
    <row r="72" spans="1:11" x14ac:dyDescent="0.35">
      <c r="J72">
        <f>SUM(J62:J71)</f>
        <v>0</v>
      </c>
      <c r="K72">
        <f>SUM(K62:K71)</f>
        <v>0</v>
      </c>
    </row>
  </sheetData>
  <sheetProtection algorithmName="SHA-512" hashValue="ZOlyv9gnC/BqBKL/IFmjCqL/Xdow0CojLBoa4X+dejoufszmwUvZ1+8KIAChJfI6Liht+6sWQ7SAucbGp4chCQ==" saltValue="7nhR4VojOrbuc4uR82hmeg==" spinCount="100000" sheet="1" objects="1" scenarios="1"/>
  <sortState xmlns:xlrd2="http://schemas.microsoft.com/office/spreadsheetml/2017/richdata2" ref="AC2:AE10">
    <sortCondition ref="AC2:AC10"/>
  </sortState>
  <phoneticPr fontId="4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4A2BB-B4FB-4EFE-A5E0-69FB98703903}">
  <sheetPr codeName="Sheet26">
    <tabColor theme="9"/>
  </sheetPr>
  <dimension ref="A1:AT196"/>
  <sheetViews>
    <sheetView topLeftCell="A141" zoomScaleNormal="100" workbookViewId="0">
      <selection activeCell="E105" sqref="E105"/>
    </sheetView>
  </sheetViews>
  <sheetFormatPr defaultRowHeight="14.5" x14ac:dyDescent="0.35"/>
  <cols>
    <col min="1" max="1" width="20.1796875" customWidth="1"/>
    <col min="2" max="2" width="13.81640625" customWidth="1"/>
    <col min="3" max="3" width="14.54296875" customWidth="1"/>
    <col min="4" max="4" width="17.453125" customWidth="1"/>
    <col min="5" max="5" width="18.26953125" bestFit="1" customWidth="1"/>
    <col min="6" max="6" width="12.54296875" customWidth="1"/>
    <col min="8" max="8" width="22.54296875" bestFit="1" customWidth="1"/>
    <col min="9" max="9" width="10.453125" bestFit="1" customWidth="1"/>
    <col min="10" max="10" width="11.7265625" bestFit="1" customWidth="1"/>
    <col min="11" max="11" width="19.54296875" bestFit="1" customWidth="1"/>
    <col min="12" max="12" width="16.1796875" customWidth="1"/>
    <col min="18" max="18" width="27" customWidth="1"/>
    <col min="20" max="20" width="7.26953125" customWidth="1"/>
    <col min="27" max="27" width="21.81640625" customWidth="1"/>
    <col min="28" max="28" width="12.26953125" customWidth="1"/>
    <col min="40" max="40" width="22" bestFit="1" customWidth="1"/>
    <col min="41" max="41" width="19.81640625" bestFit="1" customWidth="1"/>
    <col min="42" max="42" width="19.54296875" bestFit="1" customWidth="1"/>
    <col min="43" max="43" width="18.54296875" bestFit="1" customWidth="1"/>
    <col min="44" max="44" width="25.1796875" bestFit="1" customWidth="1"/>
    <col min="45" max="45" width="19.453125" bestFit="1" customWidth="1"/>
  </cols>
  <sheetData>
    <row r="1" spans="1:46" x14ac:dyDescent="0.35">
      <c r="A1" t="s">
        <v>728</v>
      </c>
      <c r="H1" t="s">
        <v>733</v>
      </c>
      <c r="Q1" t="s">
        <v>78</v>
      </c>
      <c r="AA1" t="s">
        <v>726</v>
      </c>
    </row>
    <row r="2" spans="1:46" x14ac:dyDescent="0.35">
      <c r="B2" t="s">
        <v>657</v>
      </c>
      <c r="C2" t="s">
        <v>657</v>
      </c>
      <c r="D2" t="s">
        <v>660</v>
      </c>
      <c r="E2" t="s">
        <v>660</v>
      </c>
      <c r="AB2" t="s">
        <v>657</v>
      </c>
      <c r="AC2" t="s">
        <v>657</v>
      </c>
      <c r="AD2" t="s">
        <v>660</v>
      </c>
      <c r="AE2" t="s">
        <v>660</v>
      </c>
    </row>
    <row r="3" spans="1:46" x14ac:dyDescent="0.35">
      <c r="B3" t="s">
        <v>658</v>
      </c>
      <c r="C3" t="s">
        <v>659</v>
      </c>
      <c r="D3" t="s">
        <v>658</v>
      </c>
      <c r="E3" t="s">
        <v>659</v>
      </c>
      <c r="H3" t="s">
        <v>743</v>
      </c>
      <c r="I3" t="s">
        <v>963</v>
      </c>
      <c r="J3" t="s">
        <v>963</v>
      </c>
      <c r="K3" t="s">
        <v>853</v>
      </c>
      <c r="L3" t="s">
        <v>930</v>
      </c>
    </row>
    <row r="4" spans="1:46" x14ac:dyDescent="0.35">
      <c r="A4" t="s">
        <v>60</v>
      </c>
      <c r="B4" t="s">
        <v>440</v>
      </c>
      <c r="H4" t="s">
        <v>744</v>
      </c>
      <c r="I4" t="s">
        <v>385</v>
      </c>
      <c r="J4" t="s">
        <v>385</v>
      </c>
      <c r="K4" t="s">
        <v>385</v>
      </c>
      <c r="L4" t="s">
        <v>208</v>
      </c>
      <c r="U4" t="s">
        <v>272</v>
      </c>
      <c r="AB4" t="s">
        <v>658</v>
      </c>
      <c r="AC4" t="s">
        <v>659</v>
      </c>
      <c r="AD4" t="s">
        <v>658</v>
      </c>
      <c r="AE4" t="s">
        <v>659</v>
      </c>
    </row>
    <row r="5" spans="1:46" ht="24.75" customHeight="1" x14ac:dyDescent="0.35">
      <c r="A5" t="s">
        <v>61</v>
      </c>
      <c r="B5" t="s">
        <v>69</v>
      </c>
      <c r="C5" t="s">
        <v>66</v>
      </c>
      <c r="D5" t="s">
        <v>14</v>
      </c>
      <c r="E5" t="s">
        <v>279</v>
      </c>
      <c r="U5" t="s">
        <v>274</v>
      </c>
      <c r="AA5" t="s">
        <v>667</v>
      </c>
      <c r="AB5" s="54"/>
      <c r="AC5" s="54"/>
      <c r="AD5" s="54"/>
      <c r="AE5" s="54"/>
    </row>
    <row r="6" spans="1:46" ht="24" customHeight="1" x14ac:dyDescent="0.35">
      <c r="A6" t="s">
        <v>673</v>
      </c>
      <c r="B6">
        <v>0.84</v>
      </c>
      <c r="C6">
        <v>0.84</v>
      </c>
      <c r="D6">
        <v>95</v>
      </c>
      <c r="E6">
        <v>95</v>
      </c>
      <c r="F6" s="27" t="str">
        <f>IF(unitChoice="Metric","kg","lb")&amp;"/part"</f>
        <v>lb/part</v>
      </c>
      <c r="H6" s="59" t="s">
        <v>684</v>
      </c>
      <c r="I6" s="59">
        <f>B6*B7</f>
        <v>0.67200000000000004</v>
      </c>
      <c r="J6" s="59">
        <f>C6*C7</f>
        <v>0.16800000000000001</v>
      </c>
      <c r="K6" s="59">
        <f>D6*D7</f>
        <v>0</v>
      </c>
      <c r="L6" s="59">
        <f>E6*E7</f>
        <v>0</v>
      </c>
      <c r="AA6" t="s">
        <v>673</v>
      </c>
      <c r="AB6" s="56">
        <f>U6</f>
        <v>0</v>
      </c>
      <c r="AC6" s="56">
        <f t="shared" ref="AC6:AE7" si="0">V6</f>
        <v>0</v>
      </c>
      <c r="AD6" s="56">
        <f t="shared" si="0"/>
        <v>0</v>
      </c>
      <c r="AE6" s="56">
        <f t="shared" si="0"/>
        <v>0</v>
      </c>
    </row>
    <row r="7" spans="1:46" ht="15" customHeight="1" x14ac:dyDescent="0.35">
      <c r="A7" t="s">
        <v>671</v>
      </c>
      <c r="B7">
        <v>0.8</v>
      </c>
      <c r="C7" s="38">
        <v>0.2</v>
      </c>
      <c r="D7">
        <v>0</v>
      </c>
      <c r="E7" s="38">
        <v>0</v>
      </c>
      <c r="R7" s="55"/>
      <c r="S7" s="55"/>
      <c r="U7" t="s">
        <v>275</v>
      </c>
      <c r="AA7" t="s">
        <v>671</v>
      </c>
      <c r="AB7" s="56" t="str">
        <f>U7</f>
        <v>1 MJ/kg/km = 691.8953 Btu/lb/mile</v>
      </c>
      <c r="AC7" s="56">
        <f t="shared" si="0"/>
        <v>0</v>
      </c>
      <c r="AD7" s="56">
        <f t="shared" si="0"/>
        <v>0</v>
      </c>
      <c r="AE7" s="56">
        <f t="shared" si="0"/>
        <v>0</v>
      </c>
    </row>
    <row r="8" spans="1:46" ht="15" customHeight="1" x14ac:dyDescent="0.35">
      <c r="A8" t="s">
        <v>663</v>
      </c>
      <c r="B8" t="b">
        <v>1</v>
      </c>
      <c r="C8" t="b">
        <v>0</v>
      </c>
      <c r="D8" t="b">
        <v>0</v>
      </c>
      <c r="E8" t="b">
        <v>0</v>
      </c>
      <c r="H8" t="s">
        <v>663</v>
      </c>
      <c r="I8" t="b">
        <f>VLOOKUP(B5,EoLDefaults,2,FALSE)</f>
        <v>1</v>
      </c>
      <c r="J8" t="b">
        <f>VLOOKUP(C5,EoLDefaults,2,FALSE)</f>
        <v>0</v>
      </c>
      <c r="K8" t="b">
        <f>VLOOKUP(D5,EoLDefaults,2,FALSE)</f>
        <v>0</v>
      </c>
      <c r="L8" t="b">
        <f>VLOOKUP(E5,EoLDefaults,2,FALSE)</f>
        <v>0</v>
      </c>
      <c r="N8" s="55"/>
      <c r="O8" s="55"/>
      <c r="P8" s="55"/>
      <c r="Q8" s="55"/>
      <c r="R8" s="54"/>
      <c r="S8" s="54"/>
      <c r="AA8" t="s">
        <v>663</v>
      </c>
      <c r="AB8" s="55" t="b">
        <v>1</v>
      </c>
      <c r="AC8" s="55"/>
      <c r="AD8" s="55"/>
      <c r="AE8" s="55"/>
      <c r="AF8" s="55"/>
    </row>
    <row r="9" spans="1:46" x14ac:dyDescent="0.35">
      <c r="A9" t="s">
        <v>662</v>
      </c>
      <c r="B9" t="b">
        <v>0</v>
      </c>
      <c r="C9" t="b">
        <v>0</v>
      </c>
      <c r="D9" t="b">
        <v>0</v>
      </c>
      <c r="E9" t="b">
        <v>0</v>
      </c>
      <c r="H9" t="s">
        <v>662</v>
      </c>
      <c r="I9" t="b">
        <f>VLOOKUP(B5,EoLDefaults,3,FALSE)</f>
        <v>0</v>
      </c>
      <c r="J9" t="b">
        <f>VLOOKUP(C5,EoLDefaults,3,FALSE)</f>
        <v>0</v>
      </c>
      <c r="K9" t="b">
        <f>VLOOKUP(D5,EoLDefaults,3,FALSE)</f>
        <v>0</v>
      </c>
      <c r="L9" t="b">
        <f>VLOOKUP(E5,EoLDefaults,3,FALSE)</f>
        <v>0</v>
      </c>
      <c r="N9" s="54"/>
      <c r="O9" s="54"/>
      <c r="P9" s="54"/>
      <c r="Q9" s="54"/>
      <c r="R9" s="54"/>
      <c r="S9" s="54"/>
      <c r="AA9" t="s">
        <v>662</v>
      </c>
      <c r="AB9" s="54" t="b">
        <v>0</v>
      </c>
      <c r="AC9" s="54"/>
      <c r="AD9" s="54"/>
      <c r="AE9" s="54"/>
      <c r="AF9" s="54"/>
    </row>
    <row r="10" spans="1:46" x14ac:dyDescent="0.35">
      <c r="A10" t="s">
        <v>661</v>
      </c>
      <c r="B10" t="b">
        <v>0</v>
      </c>
      <c r="C10" t="b">
        <v>1</v>
      </c>
      <c r="D10" t="b">
        <v>1</v>
      </c>
      <c r="E10" t="b">
        <v>1</v>
      </c>
      <c r="H10" t="s">
        <v>661</v>
      </c>
      <c r="I10" t="b">
        <f>VLOOKUP(B5,EoLDefaults,4,FALSE)</f>
        <v>0</v>
      </c>
      <c r="J10" t="b">
        <f>VLOOKUP(C5,EoLDefaults,4,FALSE)</f>
        <v>1</v>
      </c>
      <c r="K10" t="b">
        <f>VLOOKUP(D5,EoLDefaults,4,FALSE)</f>
        <v>1</v>
      </c>
      <c r="L10" t="b">
        <f>VLOOKUP(E5,EoLDefaults,4,FALSE)</f>
        <v>1</v>
      </c>
      <c r="N10" s="54"/>
      <c r="O10" s="54"/>
      <c r="P10" s="54"/>
      <c r="Q10" s="54"/>
      <c r="R10" s="54"/>
      <c r="S10" s="54"/>
      <c r="AA10" t="s">
        <v>661</v>
      </c>
      <c r="AB10" s="54" t="b">
        <v>0</v>
      </c>
      <c r="AC10" s="54"/>
      <c r="AD10" s="54"/>
      <c r="AE10" s="54"/>
      <c r="AF10" s="54"/>
      <c r="AM10" t="s">
        <v>727</v>
      </c>
      <c r="AN10" t="s">
        <v>663</v>
      </c>
      <c r="AO10" t="s">
        <v>662</v>
      </c>
      <c r="AP10" t="s">
        <v>661</v>
      </c>
      <c r="AQ10" t="s">
        <v>700</v>
      </c>
      <c r="AR10" t="s">
        <v>668</v>
      </c>
      <c r="AS10" t="s">
        <v>680</v>
      </c>
      <c r="AT10" t="s">
        <v>681</v>
      </c>
    </row>
    <row r="11" spans="1:46" ht="15.5" x14ac:dyDescent="0.35">
      <c r="R11" s="54"/>
      <c r="S11" s="54"/>
      <c r="AA11" t="s">
        <v>684</v>
      </c>
      <c r="AB11" s="54">
        <f>U11</f>
        <v>0</v>
      </c>
      <c r="AC11" s="54">
        <f>V11</f>
        <v>0</v>
      </c>
      <c r="AD11" s="54">
        <f>W11</f>
        <v>0</v>
      </c>
      <c r="AE11" s="54">
        <f>X11</f>
        <v>0</v>
      </c>
      <c r="AF11" s="27" t="str">
        <f>IF(unitChoice="Metric","kg","lb")&amp;"/part"</f>
        <v>lb/part</v>
      </c>
      <c r="AM11" t="s">
        <v>279</v>
      </c>
      <c r="AN11" t="b">
        <v>0</v>
      </c>
      <c r="AO11" t="b">
        <v>0</v>
      </c>
      <c r="AP11" t="b">
        <f t="shared" ref="AP11:AP17" si="1">NOT(AN11)</f>
        <v>1</v>
      </c>
      <c r="AQ11" t="b">
        <v>0</v>
      </c>
      <c r="AR11" t="b">
        <v>0</v>
      </c>
      <c r="AS11" t="b">
        <v>1</v>
      </c>
      <c r="AT11" t="b">
        <v>0</v>
      </c>
    </row>
    <row r="12" spans="1:46" ht="15.5" x14ac:dyDescent="0.35">
      <c r="A12" t="s">
        <v>664</v>
      </c>
      <c r="B12" s="1">
        <v>0.67200000000000004</v>
      </c>
      <c r="C12" s="1">
        <v>0</v>
      </c>
      <c r="D12" s="1">
        <v>0</v>
      </c>
      <c r="E12" s="1">
        <v>0</v>
      </c>
      <c r="F12" s="27" t="str">
        <f>IF(unitChoice="Metric","kg","lb")&amp;"/part"</f>
        <v>lb/part</v>
      </c>
      <c r="H12" s="59" t="s">
        <v>729</v>
      </c>
      <c r="I12" s="59">
        <v>295141.06527360214</v>
      </c>
      <c r="J12" s="59">
        <v>295141.06527360214</v>
      </c>
      <c r="K12" s="59">
        <v>0</v>
      </c>
      <c r="L12" s="59">
        <v>94582.715746820788</v>
      </c>
      <c r="AA12" t="s">
        <v>664</v>
      </c>
      <c r="AB12" s="54">
        <v>47.5</v>
      </c>
      <c r="AC12" s="54"/>
      <c r="AD12" s="54"/>
      <c r="AE12" s="54"/>
      <c r="AF12" s="27" t="str">
        <f>IF(unitChoice="Metric","kg","lb")&amp;"/part"</f>
        <v>lb/part</v>
      </c>
      <c r="AM12" t="s">
        <v>69</v>
      </c>
      <c r="AN12" t="b">
        <v>1</v>
      </c>
      <c r="AO12" t="b">
        <v>0</v>
      </c>
      <c r="AP12" t="b">
        <f t="shared" si="1"/>
        <v>0</v>
      </c>
      <c r="AQ12" t="b">
        <v>0</v>
      </c>
      <c r="AR12" t="b">
        <v>0</v>
      </c>
      <c r="AS12" t="b">
        <v>1</v>
      </c>
      <c r="AT12" t="b">
        <v>0</v>
      </c>
    </row>
    <row r="13" spans="1:46" ht="15.5" x14ac:dyDescent="0.35">
      <c r="A13" t="s">
        <v>737</v>
      </c>
      <c r="B13" s="1">
        <v>295141.06527360214</v>
      </c>
      <c r="C13" s="1">
        <v>0</v>
      </c>
      <c r="D13" s="1">
        <v>0</v>
      </c>
      <c r="E13" s="1">
        <v>0</v>
      </c>
      <c r="F13" s="52" t="str">
        <f>IF(unitChoice="Metric","MJ/kg","Btu/lb")</f>
        <v>Btu/lb</v>
      </c>
      <c r="H13" s="59" t="s">
        <v>730</v>
      </c>
      <c r="I13" s="59">
        <v>21.500303907249322</v>
      </c>
      <c r="J13" s="59">
        <v>21.500303907249322</v>
      </c>
      <c r="K13" s="59">
        <v>0</v>
      </c>
      <c r="L13" s="59">
        <v>5.443114913227677</v>
      </c>
      <c r="R13" t="s">
        <v>643</v>
      </c>
      <c r="S13" t="s">
        <v>644</v>
      </c>
      <c r="T13" t="s">
        <v>645</v>
      </c>
      <c r="U13" t="s">
        <v>654</v>
      </c>
      <c r="AA13" t="s">
        <v>665</v>
      </c>
      <c r="AB13">
        <v>8616.49</v>
      </c>
      <c r="AF13" s="52" t="str">
        <f>IF(unitChoice="Metric","MJ/kg","Btu/lb")</f>
        <v>Btu/lb</v>
      </c>
      <c r="AM13" t="s">
        <v>67</v>
      </c>
      <c r="AN13" t="b">
        <v>0</v>
      </c>
      <c r="AO13" t="b">
        <v>0</v>
      </c>
      <c r="AP13" t="b">
        <f t="shared" si="1"/>
        <v>1</v>
      </c>
      <c r="AQ13" t="b">
        <v>0</v>
      </c>
      <c r="AR13" t="b">
        <v>1</v>
      </c>
      <c r="AS13" t="b">
        <v>1</v>
      </c>
      <c r="AT13" t="b">
        <v>0</v>
      </c>
    </row>
    <row r="14" spans="1:46" ht="15.5" x14ac:dyDescent="0.35">
      <c r="A14" t="s">
        <v>738</v>
      </c>
      <c r="B14" s="1">
        <v>21.500303907249322</v>
      </c>
      <c r="C14" s="1">
        <v>0</v>
      </c>
      <c r="D14" s="1">
        <v>0</v>
      </c>
      <c r="E14" s="1">
        <v>0</v>
      </c>
      <c r="F14" t="str">
        <f>IF(unitChoice="Metric","kg/kg","kg/lb")</f>
        <v>kg/lb</v>
      </c>
      <c r="H14" t="s">
        <v>678</v>
      </c>
      <c r="I14">
        <f>IFERROR(IF(I4="Polymer",$S$16,$S$14)*'HIDE - Lists &amp; Lookups'!$AF$1,0)</f>
        <v>17.335325436441373</v>
      </c>
      <c r="J14">
        <f>IFERROR(IF(J4="Polymer",$S$16,$S$14)*'HIDE - Lists &amp; Lookups'!$AF$1,0)</f>
        <v>17.335325436441373</v>
      </c>
      <c r="K14">
        <f>IFERROR(IF(K4="Polymer",$S$16,$S$14)*'HIDE - Lists &amp; Lookups'!$AF$1,0)</f>
        <v>17.335325436441373</v>
      </c>
      <c r="L14">
        <f>IFERROR(IF(L4="Polymer",$S$16,$S$14)*'HIDE - Lists &amp; Lookups'!$AF$1,0)</f>
        <v>17.335325436441373</v>
      </c>
      <c r="M14" s="27" t="str">
        <f>IF(unitChoice="Metric","MJ/kg","Btu/lb")</f>
        <v>Btu/lb</v>
      </c>
      <c r="R14" s="54" t="s">
        <v>646</v>
      </c>
      <c r="S14">
        <v>4.0322077515999998E-2</v>
      </c>
      <c r="T14">
        <v>2.66E-3</v>
      </c>
      <c r="U14" t="s">
        <v>647</v>
      </c>
      <c r="AA14" t="s">
        <v>666</v>
      </c>
      <c r="AB14">
        <v>689.32</v>
      </c>
      <c r="AF14" t="str">
        <f>IF(unitChoice="Metric","kg/kg","kg/lb")</f>
        <v>kg/lb</v>
      </c>
      <c r="AM14" t="s">
        <v>66</v>
      </c>
      <c r="AN14" t="b">
        <v>0</v>
      </c>
      <c r="AO14" t="b">
        <v>0</v>
      </c>
      <c r="AP14" t="b">
        <f t="shared" si="1"/>
        <v>1</v>
      </c>
      <c r="AQ14" t="b">
        <v>0</v>
      </c>
      <c r="AR14" t="b">
        <v>0</v>
      </c>
      <c r="AS14" t="b">
        <v>1</v>
      </c>
      <c r="AT14" t="b">
        <v>0</v>
      </c>
    </row>
    <row r="15" spans="1:46" ht="15.5" x14ac:dyDescent="0.35">
      <c r="B15" s="1"/>
      <c r="C15" s="1"/>
      <c r="D15" s="1"/>
      <c r="E15" s="1"/>
      <c r="I15">
        <f>IFERROR(IF(I4="Polymer",$T$16,$T$14)*'HIDE - Lists &amp; Lookups'!$AI$1,0)</f>
        <v>1.2065571390988017E-3</v>
      </c>
      <c r="J15">
        <f>IFERROR(IF(J4="Polymer",$T$16,$T$14)*'HIDE - Lists &amp; Lookups'!$AI$1,0)</f>
        <v>1.2065571390988017E-3</v>
      </c>
      <c r="K15">
        <f>IFERROR(IF(K4="Polymer",$T$16,$T$14)*'HIDE - Lists &amp; Lookups'!$AI$1,0)</f>
        <v>1.2065571390988017E-3</v>
      </c>
      <c r="L15">
        <f>IFERROR(IF(L4="Polymer",$T$16,$T$14)*'HIDE - Lists &amp; Lookups'!$AI$1,0)</f>
        <v>1.2065571390988017E-3</v>
      </c>
      <c r="M15" t="str">
        <f>IF(unitChoice="Metric","kg/kg","kg/lb")</f>
        <v>kg/lb</v>
      </c>
      <c r="R15" s="54" t="s">
        <v>648</v>
      </c>
      <c r="S15">
        <v>3.9890480486999995E-2</v>
      </c>
      <c r="T15">
        <v>2.6199999999999999E-3</v>
      </c>
      <c r="U15" t="s">
        <v>649</v>
      </c>
      <c r="AA15" t="s">
        <v>691</v>
      </c>
      <c r="AB15">
        <v>10000</v>
      </c>
      <c r="AF15" s="52" t="str">
        <f>IF(unitChoice="Metric","MJ/kg","Btu/lb")</f>
        <v>Btu/lb</v>
      </c>
      <c r="AM15" t="s">
        <v>68</v>
      </c>
      <c r="AN15" t="b">
        <v>1</v>
      </c>
      <c r="AO15" t="b">
        <v>0</v>
      </c>
      <c r="AP15" t="b">
        <f t="shared" si="1"/>
        <v>0</v>
      </c>
      <c r="AQ15" t="b">
        <v>0</v>
      </c>
      <c r="AR15" t="b">
        <v>0</v>
      </c>
      <c r="AS15" t="b">
        <v>1</v>
      </c>
      <c r="AT15" t="b">
        <v>0</v>
      </c>
    </row>
    <row r="16" spans="1:46" ht="15.5" x14ac:dyDescent="0.35">
      <c r="A16" t="s">
        <v>691</v>
      </c>
      <c r="B16" s="1">
        <v>64918.14</v>
      </c>
      <c r="C16" s="1">
        <v>17.34</v>
      </c>
      <c r="D16" s="1">
        <v>0</v>
      </c>
      <c r="E16" s="1">
        <v>0</v>
      </c>
      <c r="F16" s="52" t="str">
        <f>IF(unitChoice="Metric","MJ/kg","Btu/lb")</f>
        <v>Btu/lb</v>
      </c>
      <c r="H16" t="s">
        <v>679</v>
      </c>
      <c r="I16" s="1">
        <v>295141.06527360214</v>
      </c>
      <c r="J16" s="1">
        <v>295141.06527360214</v>
      </c>
      <c r="K16" s="1">
        <v>0</v>
      </c>
      <c r="L16" s="1">
        <v>18056.700278938515</v>
      </c>
      <c r="M16" s="27" t="str">
        <f>IF(unitChoice="Metric","MJ/kg","Btu/lb")</f>
        <v>Btu/lb</v>
      </c>
      <c r="R16" s="54" t="s">
        <v>650</v>
      </c>
      <c r="S16">
        <v>8.405054411E-2</v>
      </c>
      <c r="T16">
        <v>5.4799999999999996E-3</v>
      </c>
      <c r="U16" t="s">
        <v>651</v>
      </c>
      <c r="AA16" t="s">
        <v>692</v>
      </c>
      <c r="AB16">
        <v>500</v>
      </c>
      <c r="AF16" t="str">
        <f>IF(unitChoice="Metric","kg/kg","kg/lb")</f>
        <v>kg/lb</v>
      </c>
      <c r="AM16" t="s">
        <v>99</v>
      </c>
      <c r="AN16" t="b">
        <v>1</v>
      </c>
      <c r="AO16" t="b">
        <v>0</v>
      </c>
      <c r="AP16" t="b">
        <f t="shared" si="1"/>
        <v>0</v>
      </c>
      <c r="AQ16" t="b">
        <v>0</v>
      </c>
      <c r="AR16" t="b">
        <v>0</v>
      </c>
      <c r="AS16" t="b">
        <v>1</v>
      </c>
      <c r="AT16" t="b">
        <v>0</v>
      </c>
    </row>
    <row r="17" spans="1:46" x14ac:dyDescent="0.35">
      <c r="A17" t="s">
        <v>692</v>
      </c>
      <c r="B17" s="1">
        <v>4.22</v>
      </c>
      <c r="C17" s="1">
        <v>0</v>
      </c>
      <c r="D17" s="1">
        <v>0</v>
      </c>
      <c r="E17" s="1">
        <v>0</v>
      </c>
      <c r="F17" t="str">
        <f>IF(unitChoice="Metric","kg/kg","kg/lb")</f>
        <v>kg/lb</v>
      </c>
      <c r="I17" s="1">
        <v>21.500303907249322</v>
      </c>
      <c r="J17" s="1">
        <v>21.500303907249322</v>
      </c>
      <c r="K17" s="1">
        <v>0</v>
      </c>
      <c r="L17" s="1">
        <v>1.3154194373633552</v>
      </c>
      <c r="M17" t="str">
        <f>IF(unitChoice="Metric","kg/kg","kg/lb")</f>
        <v>kg/lb</v>
      </c>
      <c r="R17" s="54" t="s">
        <v>652</v>
      </c>
      <c r="S17">
        <v>4.6071819628000006E-2</v>
      </c>
      <c r="T17">
        <v>3.2399999999999998E-3</v>
      </c>
      <c r="U17" t="s">
        <v>653</v>
      </c>
      <c r="AA17" t="s">
        <v>668</v>
      </c>
      <c r="AB17" t="b">
        <v>1</v>
      </c>
      <c r="AM17" t="s">
        <v>14</v>
      </c>
      <c r="AN17" t="b">
        <v>0</v>
      </c>
      <c r="AO17" t="b">
        <v>0</v>
      </c>
      <c r="AP17" t="b">
        <f t="shared" si="1"/>
        <v>1</v>
      </c>
      <c r="AQ17" t="b">
        <v>0</v>
      </c>
      <c r="AR17" t="b">
        <v>0</v>
      </c>
      <c r="AS17" t="b">
        <v>1</v>
      </c>
      <c r="AT17" t="b">
        <v>0</v>
      </c>
    </row>
    <row r="18" spans="1:46" x14ac:dyDescent="0.35">
      <c r="B18" s="1"/>
      <c r="C18" s="1"/>
      <c r="D18" s="1"/>
      <c r="E18" s="1"/>
      <c r="H18" t="s">
        <v>668</v>
      </c>
      <c r="I18" t="b">
        <f>VLOOKUP(B5,EoLDefaults,6,FALSE)</f>
        <v>0</v>
      </c>
      <c r="J18" t="b">
        <f>VLOOKUP(C5,EoLDefaults,6,FALSE)</f>
        <v>0</v>
      </c>
      <c r="K18" t="b">
        <f>VLOOKUP(D5,EoLDefaults,6,FALSE)</f>
        <v>0</v>
      </c>
      <c r="L18" t="b">
        <f>VLOOKUP(E5,EoLDefaults,6,FALSE)</f>
        <v>0</v>
      </c>
      <c r="AA18" t="s">
        <v>680</v>
      </c>
      <c r="AB18" t="b">
        <v>1</v>
      </c>
    </row>
    <row r="19" spans="1:46" x14ac:dyDescent="0.35">
      <c r="A19" t="s">
        <v>668</v>
      </c>
      <c r="B19" s="1" t="b">
        <v>0</v>
      </c>
      <c r="C19" s="1" t="b">
        <v>0</v>
      </c>
      <c r="D19" s="1" t="b">
        <v>0</v>
      </c>
      <c r="E19" s="1" t="b">
        <v>0</v>
      </c>
      <c r="AA19" t="s">
        <v>681</v>
      </c>
      <c r="AB19" t="b">
        <v>0</v>
      </c>
      <c r="AM19" t="s">
        <v>14</v>
      </c>
    </row>
    <row r="20" spans="1:46" ht="15.5" x14ac:dyDescent="0.35">
      <c r="A20" t="s">
        <v>680</v>
      </c>
      <c r="B20" s="1" t="b">
        <v>0</v>
      </c>
      <c r="C20" s="1" t="b">
        <v>0</v>
      </c>
      <c r="D20" s="1" t="b">
        <v>0</v>
      </c>
      <c r="E20" s="1" t="b">
        <v>0</v>
      </c>
      <c r="H20" s="59" t="s">
        <v>731</v>
      </c>
      <c r="I20" s="59">
        <f t="shared" ref="I20:L21" si="2">IF(ISNUMBER(SEARCH("Recyc",B$5)),I16,IF(B$5="Landfill",I14,IF(ISNUMBER(SEARCH("Other",B$5)),0,0)))</f>
        <v>295141.06527360214</v>
      </c>
      <c r="J20" s="59">
        <f t="shared" si="2"/>
        <v>17.335325436441373</v>
      </c>
      <c r="K20" s="59">
        <f t="shared" si="2"/>
        <v>0</v>
      </c>
      <c r="L20" s="59">
        <f t="shared" si="2"/>
        <v>0</v>
      </c>
      <c r="AA20" t="s">
        <v>655</v>
      </c>
      <c r="AB20">
        <v>10000</v>
      </c>
      <c r="AF20" s="52" t="str">
        <f>IF(unitChoice="Metric","MJ/kg","Btu/lb")</f>
        <v>Btu/lb</v>
      </c>
      <c r="AM20" t="s">
        <v>66</v>
      </c>
    </row>
    <row r="21" spans="1:46" x14ac:dyDescent="0.35">
      <c r="A21" t="s">
        <v>681</v>
      </c>
      <c r="B21" s="1" t="b">
        <v>0</v>
      </c>
      <c r="C21" s="1" t="b">
        <v>0</v>
      </c>
      <c r="D21" s="1" t="b">
        <v>0</v>
      </c>
      <c r="E21" s="1" t="b">
        <v>0</v>
      </c>
      <c r="H21" s="59" t="s">
        <v>732</v>
      </c>
      <c r="I21" s="59">
        <f t="shared" si="2"/>
        <v>21.500303907249322</v>
      </c>
      <c r="J21" s="59">
        <f t="shared" si="2"/>
        <v>1.2065571390988017E-3</v>
      </c>
      <c r="K21" s="59">
        <f t="shared" si="2"/>
        <v>0</v>
      </c>
      <c r="L21" s="59">
        <f t="shared" si="2"/>
        <v>0</v>
      </c>
      <c r="AA21" t="s">
        <v>669</v>
      </c>
      <c r="AB21">
        <v>0.8</v>
      </c>
      <c r="AM21" t="s">
        <v>67</v>
      </c>
    </row>
    <row r="22" spans="1:46" x14ac:dyDescent="0.35">
      <c r="A22" t="s">
        <v>685</v>
      </c>
      <c r="B22" s="1" t="b">
        <v>0</v>
      </c>
      <c r="C22" s="1" t="b">
        <v>0</v>
      </c>
      <c r="D22" s="1" t="b">
        <v>0</v>
      </c>
      <c r="E22" s="1" t="b">
        <v>0</v>
      </c>
      <c r="AA22" t="s">
        <v>670</v>
      </c>
      <c r="AB22">
        <v>0.56999999999999995</v>
      </c>
      <c r="AM22" t="s">
        <v>68</v>
      </c>
    </row>
    <row r="23" spans="1:46" ht="15.5" x14ac:dyDescent="0.35">
      <c r="A23" t="s">
        <v>699</v>
      </c>
      <c r="B23" s="1">
        <v>0</v>
      </c>
      <c r="C23" s="1">
        <v>0</v>
      </c>
      <c r="D23" s="1">
        <v>0</v>
      </c>
      <c r="E23" s="1">
        <v>0</v>
      </c>
      <c r="F23" s="27" t="str">
        <f>IF(unitChoice="Metric","kg","lb")&amp;"/part"</f>
        <v>lb/part</v>
      </c>
      <c r="AM23" t="s">
        <v>69</v>
      </c>
    </row>
    <row r="24" spans="1:46" ht="15.5" x14ac:dyDescent="0.35">
      <c r="A24" t="s">
        <v>655</v>
      </c>
      <c r="B24" s="1">
        <v>0</v>
      </c>
      <c r="C24" s="1">
        <v>0</v>
      </c>
      <c r="D24" s="1">
        <v>0</v>
      </c>
      <c r="E24" s="1">
        <v>0</v>
      </c>
      <c r="F24" s="52" t="str">
        <f>IF(unitChoice="Metric","MJ/kg","Btu/lb")</f>
        <v>Btu/lb</v>
      </c>
      <c r="H24" s="59" t="s">
        <v>734</v>
      </c>
      <c r="I24" s="59">
        <f>IFERROR(VLOOKUP(I3,Material_Source_EE,11,FALSE)*'HIDE - Lists &amp; Lookups'!$AF$1,0)</f>
        <v>0</v>
      </c>
      <c r="J24" s="59">
        <f>IFERROR(VLOOKUP(J3,Material_Source_EE,11,FALSE)*'HIDE - Lists &amp; Lookups'!$AF$1,0)</f>
        <v>0</v>
      </c>
      <c r="K24" s="59">
        <f>IFERROR(VLOOKUP(K3,Material_Source_EE,11,FALSE)*'HIDE - Lists &amp; Lookups'!$AF$1,0)</f>
        <v>0</v>
      </c>
      <c r="L24" s="59">
        <f>IFERROR(VLOOKUP(L3,Material_Source_EE,11,FALSE)*'HIDE - Lists &amp; Lookups'!$AF$1,0)</f>
        <v>0</v>
      </c>
      <c r="AA24" t="s">
        <v>672</v>
      </c>
      <c r="AB24">
        <v>0.40106999999999998</v>
      </c>
      <c r="AF24" t="str">
        <f>IF(AB18,"kg/kWh",IF(unitChoice="Metric","kg/GJ","kg/MMBtu"))</f>
        <v>kg/kWh</v>
      </c>
      <c r="AM24" t="s">
        <v>279</v>
      </c>
    </row>
    <row r="25" spans="1:46" ht="15.5" x14ac:dyDescent="0.35">
      <c r="A25" t="s">
        <v>669</v>
      </c>
      <c r="B25" s="1">
        <v>0</v>
      </c>
      <c r="C25" s="1">
        <v>0</v>
      </c>
      <c r="D25" s="1">
        <v>0</v>
      </c>
      <c r="E25" s="1">
        <v>0</v>
      </c>
      <c r="AF25" s="52"/>
      <c r="AM25" t="s">
        <v>99</v>
      </c>
    </row>
    <row r="26" spans="1:46" x14ac:dyDescent="0.35">
      <c r="A26" t="s">
        <v>736</v>
      </c>
      <c r="B26" s="1">
        <v>0</v>
      </c>
      <c r="C26" s="1">
        <v>0</v>
      </c>
      <c r="D26" s="1">
        <v>0</v>
      </c>
      <c r="E26" s="1">
        <v>0</v>
      </c>
      <c r="AA26" t="s">
        <v>677</v>
      </c>
      <c r="AB26">
        <v>0.88</v>
      </c>
      <c r="AF26" t="str">
        <f>IF(unitChoice="Metric","kg/kg","kg/lb")</f>
        <v>kg/lb</v>
      </c>
    </row>
    <row r="27" spans="1:46" ht="15.5" x14ac:dyDescent="0.35">
      <c r="A27" t="s">
        <v>677</v>
      </c>
      <c r="B27" s="1">
        <v>0</v>
      </c>
      <c r="C27" s="1">
        <v>0</v>
      </c>
      <c r="D27" s="1"/>
      <c r="E27" s="1"/>
      <c r="F27" t="str">
        <f>IF(unitChoice="Metric","kg/kg","kg/lb")</f>
        <v>kg/lb</v>
      </c>
      <c r="H27" s="59" t="s">
        <v>735</v>
      </c>
      <c r="I27" s="59">
        <f>IFERROR(VLOOKUP(I3,Material_Source_EE,12,FALSE)*'HIDE - Lists &amp; Lookups'!$AI$1,0)</f>
        <v>0</v>
      </c>
      <c r="J27" s="59">
        <f>IFERROR(VLOOKUP(J3,Material_Source_EE,12,FALSE)*'HIDE - Lists &amp; Lookups'!$AI$1,0)</f>
        <v>0</v>
      </c>
      <c r="K27" s="59">
        <f>IFERROR(VLOOKUP(K3,Material_Source_EE,12,FALSE)*'HIDE - Lists &amp; Lookups'!$AI$1,0)</f>
        <v>0</v>
      </c>
      <c r="L27" s="59">
        <f>IFERROR(VLOOKUP(L3,Material_Source_EE,12,FALSE)*'HIDE - Lists &amp; Lookups'!$AI$1,0)</f>
        <v>0</v>
      </c>
      <c r="AA27" t="s">
        <v>685</v>
      </c>
      <c r="AB27" t="b">
        <v>0</v>
      </c>
      <c r="AF27" s="58"/>
    </row>
    <row r="28" spans="1:46" x14ac:dyDescent="0.35">
      <c r="A28" t="s">
        <v>672</v>
      </c>
      <c r="B28" s="1">
        <v>0</v>
      </c>
      <c r="C28" s="1">
        <v>0</v>
      </c>
      <c r="D28" s="1">
        <v>0</v>
      </c>
      <c r="E28" s="1">
        <v>0</v>
      </c>
      <c r="F28" t="str">
        <f>IF(B20,"kg/kWh",IF(unitChoice="Metric","kg/GJ","kg/MMBtu"))</f>
        <v>kg/MMBtu</v>
      </c>
      <c r="AA28" t="s">
        <v>699</v>
      </c>
      <c r="AB28">
        <v>47.5</v>
      </c>
      <c r="AF28" t="s">
        <v>637</v>
      </c>
    </row>
    <row r="29" spans="1:46" ht="15.5" x14ac:dyDescent="0.35">
      <c r="B29" s="1"/>
      <c r="C29" s="1"/>
      <c r="D29" s="1"/>
      <c r="E29" s="1"/>
      <c r="AA29" t="s">
        <v>694</v>
      </c>
      <c r="AB29" s="56">
        <v>1000</v>
      </c>
      <c r="AF29" s="27" t="str">
        <f>IF(unitChoice="Metric","MJ/kg","Btu/lb")</f>
        <v>Btu/lb</v>
      </c>
    </row>
    <row r="30" spans="1:46" ht="15.5" x14ac:dyDescent="0.35">
      <c r="A30" t="s">
        <v>696</v>
      </c>
      <c r="B30" s="1">
        <v>0</v>
      </c>
      <c r="C30" s="1">
        <v>0</v>
      </c>
      <c r="D30" s="1">
        <v>0</v>
      </c>
      <c r="E30" s="1">
        <v>0</v>
      </c>
      <c r="F30" s="27" t="str">
        <f>IF(unitChoice="Metric","kg","lb")&amp;"/part"</f>
        <v>lb/part</v>
      </c>
      <c r="AA30" t="s">
        <v>695</v>
      </c>
      <c r="AB30" s="56">
        <v>500</v>
      </c>
      <c r="AF30" t="str">
        <f>IF(unitChoice="Metric","kg/kg","kg/lb")</f>
        <v>kg/lb</v>
      </c>
    </row>
    <row r="31" spans="1:46" ht="15.5" x14ac:dyDescent="0.35">
      <c r="A31" t="s">
        <v>694</v>
      </c>
      <c r="B31" s="1">
        <v>0</v>
      </c>
      <c r="C31" s="1">
        <v>0</v>
      </c>
      <c r="D31" s="1">
        <v>0</v>
      </c>
      <c r="E31" s="1">
        <v>0</v>
      </c>
      <c r="F31" s="52" t="str">
        <f>IF(unitChoice="Metric","MJ/kg","Btu/lb")</f>
        <v>Btu/lb</v>
      </c>
      <c r="AA31" t="s">
        <v>696</v>
      </c>
      <c r="AB31" s="56">
        <v>10</v>
      </c>
      <c r="AF31" s="27" t="str">
        <f>IF(unitChoice="Metric","kg","lb")&amp;"/part"</f>
        <v>lb/part</v>
      </c>
    </row>
    <row r="32" spans="1:46" x14ac:dyDescent="0.35">
      <c r="A32" t="s">
        <v>695</v>
      </c>
      <c r="B32" s="1">
        <v>0</v>
      </c>
      <c r="C32" s="1">
        <v>0</v>
      </c>
      <c r="D32" s="1">
        <v>0</v>
      </c>
      <c r="E32" s="1">
        <v>0</v>
      </c>
      <c r="F32" t="str">
        <f>IF(unitChoice="Metric","kg/kg","kg/lb")</f>
        <v>kg/lb</v>
      </c>
      <c r="AA32" t="s">
        <v>700</v>
      </c>
      <c r="AB32" t="b">
        <v>1</v>
      </c>
    </row>
    <row r="33" spans="1:32" x14ac:dyDescent="0.35">
      <c r="B33" s="1"/>
      <c r="C33" s="1"/>
      <c r="D33" s="1"/>
      <c r="E33" s="1"/>
    </row>
    <row r="34" spans="1:32" x14ac:dyDescent="0.35">
      <c r="A34" t="s">
        <v>682</v>
      </c>
      <c r="B34" s="1"/>
      <c r="C34" s="1"/>
      <c r="D34" s="1"/>
      <c r="E34" s="1"/>
      <c r="AA34" t="s">
        <v>682</v>
      </c>
    </row>
    <row r="35" spans="1:32" ht="15.5" x14ac:dyDescent="0.35">
      <c r="A35" t="s">
        <v>674</v>
      </c>
      <c r="B35" s="1">
        <f>-1*B12*B13</f>
        <v>-198334.79586386067</v>
      </c>
      <c r="C35" s="1">
        <f>-1*C12*C13</f>
        <v>0</v>
      </c>
      <c r="D35" s="1">
        <f>-1*D12*D13</f>
        <v>0</v>
      </c>
      <c r="E35" s="1">
        <f>-1*E12*E13</f>
        <v>0</v>
      </c>
      <c r="F35" s="52" t="str">
        <f>IF(unitChoice="Metric","MJ","Btu")&amp;"/part"</f>
        <v>Btu/part</v>
      </c>
      <c r="AA35" t="s">
        <v>674</v>
      </c>
      <c r="AB35">
        <f>-1*AB12*AB13</f>
        <v>-409283.27499999997</v>
      </c>
      <c r="AC35">
        <f>AC12*AC13</f>
        <v>0</v>
      </c>
      <c r="AD35">
        <f>AD12*AD13</f>
        <v>0</v>
      </c>
      <c r="AE35">
        <f>AE12*AE13</f>
        <v>0</v>
      </c>
      <c r="AF35" s="52" t="str">
        <f>IF(unitChoice="Metric","MJ","Btu")&amp;"/part"</f>
        <v>Btu/part</v>
      </c>
    </row>
    <row r="36" spans="1:32" x14ac:dyDescent="0.35">
      <c r="A36" t="s">
        <v>675</v>
      </c>
      <c r="B36" s="1">
        <f>-1*B12*B14</f>
        <v>-14.448204225671544</v>
      </c>
      <c r="C36" s="1">
        <f>-1*C12*C14</f>
        <v>0</v>
      </c>
      <c r="D36" s="1">
        <f>-1*D12*D14</f>
        <v>0</v>
      </c>
      <c r="E36" s="1">
        <f>-1*E12*E14</f>
        <v>0</v>
      </c>
      <c r="F36" t="s">
        <v>637</v>
      </c>
      <c r="AA36" t="s">
        <v>675</v>
      </c>
      <c r="AB36">
        <f>-1*AB12*AB14</f>
        <v>-32742.7</v>
      </c>
      <c r="AC36">
        <f>AC12*AC14</f>
        <v>0</v>
      </c>
      <c r="AD36">
        <f>AD12*AD14</f>
        <v>0</v>
      </c>
      <c r="AE36">
        <f>AE12*AE14</f>
        <v>0</v>
      </c>
      <c r="AF36" t="s">
        <v>637</v>
      </c>
    </row>
    <row r="37" spans="1:32" ht="15.5" x14ac:dyDescent="0.35">
      <c r="A37" t="s">
        <v>697</v>
      </c>
      <c r="B37" s="1">
        <f>B31*B30</f>
        <v>0</v>
      </c>
      <c r="C37" s="1">
        <f>C31*C30</f>
        <v>0</v>
      </c>
      <c r="D37" s="1">
        <f>D31*D30</f>
        <v>0</v>
      </c>
      <c r="E37" s="1">
        <f>E31*E30</f>
        <v>0</v>
      </c>
      <c r="F37" s="52" t="str">
        <f>IF(unitChoice="Metric","MJ","Btu")&amp;"/part"</f>
        <v>Btu/part</v>
      </c>
      <c r="AA37" t="s">
        <v>697</v>
      </c>
      <c r="AB37">
        <f>AB31*AB29</f>
        <v>10000</v>
      </c>
      <c r="AF37" s="52" t="str">
        <f>IF(unitChoice="Metric","MJ","Btu")&amp;"/part"</f>
        <v>Btu/part</v>
      </c>
    </row>
    <row r="38" spans="1:32" x14ac:dyDescent="0.35">
      <c r="A38" t="s">
        <v>698</v>
      </c>
      <c r="B38" s="1">
        <f>B32*B30</f>
        <v>0</v>
      </c>
      <c r="C38" s="1">
        <f>C32*C30</f>
        <v>0</v>
      </c>
      <c r="D38" s="1">
        <f>D32*D30</f>
        <v>0</v>
      </c>
      <c r="E38" s="1">
        <f>E32*E30</f>
        <v>0</v>
      </c>
      <c r="F38" t="s">
        <v>637</v>
      </c>
      <c r="AA38" t="s">
        <v>698</v>
      </c>
      <c r="AB38">
        <f>AB31*AB30</f>
        <v>5000</v>
      </c>
      <c r="AF38" t="s">
        <v>637</v>
      </c>
    </row>
    <row r="39" spans="1:32" ht="15.5" x14ac:dyDescent="0.35">
      <c r="A39" t="s">
        <v>691</v>
      </c>
      <c r="B39" s="1">
        <f>I6*B16</f>
        <v>43624.990080000003</v>
      </c>
      <c r="C39" s="1">
        <f>J6*C16</f>
        <v>2.9131200000000002</v>
      </c>
      <c r="D39" s="1">
        <f>K6*D16</f>
        <v>0</v>
      </c>
      <c r="E39" s="1">
        <f>L6*E16</f>
        <v>0</v>
      </c>
      <c r="F39" s="52" t="str">
        <f>IF(unitChoice="Metric","MJ","Btu")&amp;"/part"</f>
        <v>Btu/part</v>
      </c>
      <c r="AA39" t="s">
        <v>691</v>
      </c>
      <c r="AB39">
        <f>AB11*AB15</f>
        <v>0</v>
      </c>
      <c r="AC39">
        <f>AC11*AC15</f>
        <v>0</v>
      </c>
      <c r="AD39">
        <f>AD11*AD15</f>
        <v>0</v>
      </c>
      <c r="AE39">
        <f>AE11*AE15</f>
        <v>0</v>
      </c>
      <c r="AF39" s="52" t="str">
        <f>IF(unitChoice="Metric","MJ","Btu")&amp;"/part"</f>
        <v>Btu/part</v>
      </c>
    </row>
    <row r="40" spans="1:32" x14ac:dyDescent="0.35">
      <c r="A40" t="s">
        <v>692</v>
      </c>
      <c r="B40" s="1">
        <f>B12*B17</f>
        <v>2.8358400000000001</v>
      </c>
      <c r="C40" s="1">
        <f>C12*C17</f>
        <v>0</v>
      </c>
      <c r="D40" s="1">
        <f>D12*D17</f>
        <v>0</v>
      </c>
      <c r="E40" s="1">
        <f>E12*E17</f>
        <v>0</v>
      </c>
      <c r="F40" t="s">
        <v>637</v>
      </c>
      <c r="AA40" t="s">
        <v>692</v>
      </c>
      <c r="AB40">
        <f>AB11*AB16</f>
        <v>0</v>
      </c>
      <c r="AC40">
        <f>AC11*AC16</f>
        <v>0</v>
      </c>
      <c r="AD40">
        <f>AD11*AD16</f>
        <v>0</v>
      </c>
      <c r="AE40">
        <f>AE11*AE16</f>
        <v>0</v>
      </c>
      <c r="AF40" t="s">
        <v>637</v>
      </c>
    </row>
    <row r="41" spans="1:32" ht="15.5" x14ac:dyDescent="0.35">
      <c r="A41" t="s">
        <v>668</v>
      </c>
      <c r="B41" s="60">
        <f>B23*B24*B25*B26*IF(B20,IF(unitChoice="Metric",1/3.6,1/3412.14),1)</f>
        <v>0</v>
      </c>
      <c r="C41" s="60">
        <f>C23*C24*C25*C26*IF(C20,IF(unitChoice="Metric",1/3.6,1/3412.14),1)</f>
        <v>0</v>
      </c>
      <c r="D41" s="60">
        <f>D23*D24*D25*D26*IF(D20,IF(unitChoice="Metric",1/3.6,1/3412.14),1)</f>
        <v>0</v>
      </c>
      <c r="E41" s="60">
        <f>E23*E24*E25*E26*IF(E20,IF(unitChoice="Metric",1/3.6,1/3412.14),1)</f>
        <v>0</v>
      </c>
      <c r="F41" s="52" t="str">
        <f>IF(B20,"kWh",IF(unitChoice="Metric","MJ","Btu"))&amp;"/part"</f>
        <v>Btu/part</v>
      </c>
      <c r="AA41" t="s">
        <v>668</v>
      </c>
      <c r="AB41" s="57">
        <f>AB20*AB28*AB21*AB22*IF(AB18,IF(unitChoice="Metric",1/3.6,1/3412.14),1)</f>
        <v>63.479224181891709</v>
      </c>
      <c r="AC41" s="57">
        <f>AC20*AC28*AC21*AC22*IF(AC18,IF(unitChoice="Metric",1/3.6,1/3412.14),1)</f>
        <v>0</v>
      </c>
      <c r="AD41" s="57">
        <f>AD20*AD28*AD21*AD22*IF(AD18,IF(unitChoice="Metric",1/3.6,1/3412.14),1)</f>
        <v>0</v>
      </c>
      <c r="AE41" s="57">
        <f>AE20*AE28*AE21*AE22*IF(AE18,IF(unitChoice="Metric",1/3.6,1/3412.14),1)</f>
        <v>0</v>
      </c>
      <c r="AF41" s="52" t="str">
        <f>IF(unitChoice="Metric","MJ","Btu")&amp;"/part"</f>
        <v>Btu/part</v>
      </c>
    </row>
    <row r="42" spans="1:32" ht="15.5" x14ac:dyDescent="0.35">
      <c r="A42" t="s">
        <v>683</v>
      </c>
      <c r="B42" s="1">
        <f>-1*B41*IF(B20,IF(unitChoice= "Metric", 3.6,3412.14),1)</f>
        <v>0</v>
      </c>
      <c r="C42" s="1">
        <f>-1*C41*IF(C20,IF(unitChoice= "Metric", 3.6,3412.14),1)</f>
        <v>0</v>
      </c>
      <c r="D42" s="1">
        <f>-1*D41*IF(D20,IF(unitChoice= "Metric", 3.6,3412.14),1)</f>
        <v>0</v>
      </c>
      <c r="E42" s="1">
        <f>-1*E41*IF(E20,IF(unitChoice= "Metric", 3.6,3412.14),1)</f>
        <v>0</v>
      </c>
      <c r="F42" s="52" t="str">
        <f>IF(unitChoice="Metric","MJ","Btu")&amp;"/part"</f>
        <v>Btu/part</v>
      </c>
      <c r="AA42" t="s">
        <v>683</v>
      </c>
      <c r="AB42">
        <f>-1*AB41*IF(AB18,IF(unitChoice= "Metric", 3.6,3412.14),1)</f>
        <v>-216599.99999999997</v>
      </c>
      <c r="AC42">
        <f>AC41*IF(AC18,IF(unitChoice= "Metric", 3.6,3412.14),1)</f>
        <v>0</v>
      </c>
      <c r="AD42">
        <f>AD41*IF(AD18,IF(unitChoice= "Metric", 3.6,3412.14),1)</f>
        <v>0</v>
      </c>
      <c r="AE42">
        <f>AE41*IF(AE18,IF(unitChoice= "Metric", 3.6,3412.14),1)</f>
        <v>0</v>
      </c>
      <c r="AF42" s="52" t="str">
        <f>IF(unitChoice="Metric","MJ","Btu")&amp;"/part"</f>
        <v>Btu/part</v>
      </c>
    </row>
    <row r="43" spans="1:32" x14ac:dyDescent="0.35">
      <c r="A43" t="s">
        <v>693</v>
      </c>
      <c r="B43" s="1">
        <f>-1*B41*B28*IF(B20,1,IF(unitChoice = "Metric", 1/1000,1/1000000))     +B27*B23</f>
        <v>0</v>
      </c>
      <c r="C43" s="1">
        <f>-1*C41*C28*IF(C20,1,IF(unitChoice = "Metric", 1/1000,1/1000000))     +C27*C23</f>
        <v>0</v>
      </c>
      <c r="D43" s="1">
        <f>-1*D41*D28*IF(D20,1,IF(unitChoice = "Metric", 1/1000,1/1000000))     +D27*D23</f>
        <v>0</v>
      </c>
      <c r="E43" s="1">
        <f>-1*E41*E28*IF(E20,1,IF(unitChoice = "Metric", 1/1000,1/1000000))     +E27*E23</f>
        <v>0</v>
      </c>
      <c r="F43" t="s">
        <v>637</v>
      </c>
      <c r="AA43" t="s">
        <v>693</v>
      </c>
      <c r="AB43">
        <f>-1*AB41*AB24*IF(unitChoice = "Metric", 1/1000,1/1000000)     +AB26*AB11</f>
        <v>-2.5459612442631306E-5</v>
      </c>
      <c r="AC43">
        <f>-1*AC41*AC24*IF(unitChoice = "Metric", 1/1000,1/1000000)     +AC26*AC11</f>
        <v>0</v>
      </c>
      <c r="AD43">
        <f>-1*AD41*AD24*IF(unitChoice = "Metric", 1/1000,1/1000000)     +AD26*AD11</f>
        <v>0</v>
      </c>
      <c r="AE43">
        <f>-1*AE41*AE24*IF(unitChoice = "Metric", 1/1000,1/1000000)     +AE26*AE11</f>
        <v>0</v>
      </c>
      <c r="AF43" t="s">
        <v>637</v>
      </c>
    </row>
    <row r="44" spans="1:32" x14ac:dyDescent="0.35">
      <c r="B44" s="1"/>
      <c r="C44" s="1"/>
      <c r="D44" s="1"/>
      <c r="E44" s="1"/>
    </row>
    <row r="45" spans="1:32" ht="15.5" x14ac:dyDescent="0.35">
      <c r="A45" t="s">
        <v>676</v>
      </c>
      <c r="B45" s="1">
        <f t="shared" ref="B45:E46" si="3">SUM(B35,B37,B39,B42)</f>
        <v>-154709.80578386068</v>
      </c>
      <c r="C45" s="1">
        <f t="shared" si="3"/>
        <v>2.9131200000000002</v>
      </c>
      <c r="D45" s="1">
        <f t="shared" si="3"/>
        <v>0</v>
      </c>
      <c r="E45" s="1">
        <f t="shared" si="3"/>
        <v>0</v>
      </c>
      <c r="AA45" t="s">
        <v>676</v>
      </c>
      <c r="AB45">
        <f>SUM(AB35,AB39,AB42)</f>
        <v>-625883.27499999991</v>
      </c>
      <c r="AC45">
        <f t="shared" ref="AC45:AE46" si="4">SUM(AC35,AC39,AC42)</f>
        <v>0</v>
      </c>
      <c r="AD45">
        <f t="shared" si="4"/>
        <v>0</v>
      </c>
      <c r="AE45">
        <f t="shared" si="4"/>
        <v>0</v>
      </c>
      <c r="AF45" s="52" t="str">
        <f>IF(unitChoice="Metric","MJ","Btu")&amp;"/part"</f>
        <v>Btu/part</v>
      </c>
    </row>
    <row r="46" spans="1:32" x14ac:dyDescent="0.35">
      <c r="A46" t="s">
        <v>677</v>
      </c>
      <c r="B46" s="1">
        <f t="shared" si="3"/>
        <v>-11.612364225671545</v>
      </c>
      <c r="C46" s="1">
        <f t="shared" si="3"/>
        <v>0</v>
      </c>
      <c r="D46" s="1">
        <f t="shared" si="3"/>
        <v>0</v>
      </c>
      <c r="E46" s="1">
        <f t="shared" si="3"/>
        <v>0</v>
      </c>
      <c r="AA46" t="s">
        <v>677</v>
      </c>
      <c r="AB46">
        <f>SUM(AB36,AB40,AB43)</f>
        <v>-32742.700025459613</v>
      </c>
      <c r="AC46">
        <f t="shared" si="4"/>
        <v>0</v>
      </c>
      <c r="AD46">
        <f t="shared" si="4"/>
        <v>0</v>
      </c>
      <c r="AE46">
        <f t="shared" si="4"/>
        <v>0</v>
      </c>
      <c r="AF46" t="s">
        <v>637</v>
      </c>
    </row>
    <row r="51" spans="1:6" x14ac:dyDescent="0.35">
      <c r="A51" t="s">
        <v>740</v>
      </c>
    </row>
    <row r="52" spans="1:6" x14ac:dyDescent="0.35">
      <c r="B52" t="s">
        <v>657</v>
      </c>
      <c r="C52" t="s">
        <v>657</v>
      </c>
      <c r="D52" t="s">
        <v>660</v>
      </c>
      <c r="E52" t="s">
        <v>660</v>
      </c>
    </row>
    <row r="53" spans="1:6" x14ac:dyDescent="0.35">
      <c r="B53" t="s">
        <v>658</v>
      </c>
      <c r="C53" t="s">
        <v>659</v>
      </c>
      <c r="D53" t="s">
        <v>658</v>
      </c>
      <c r="E53" t="s">
        <v>659</v>
      </c>
    </row>
    <row r="54" spans="1:6" x14ac:dyDescent="0.35">
      <c r="A54" t="s">
        <v>60</v>
      </c>
      <c r="B54" t="s">
        <v>440</v>
      </c>
    </row>
    <row r="55" spans="1:6" x14ac:dyDescent="0.35">
      <c r="A55" t="s">
        <v>61</v>
      </c>
      <c r="B55" t="s">
        <v>68</v>
      </c>
      <c r="C55" t="s">
        <v>66</v>
      </c>
      <c r="D55" t="s">
        <v>68</v>
      </c>
      <c r="E55" t="s">
        <v>66</v>
      </c>
    </row>
    <row r="56" spans="1:6" ht="15.5" x14ac:dyDescent="0.35">
      <c r="A56" t="s">
        <v>673</v>
      </c>
      <c r="F56" s="27"/>
    </row>
    <row r="57" spans="1:6" x14ac:dyDescent="0.35">
      <c r="A57" t="s">
        <v>671</v>
      </c>
      <c r="B57">
        <v>0.8</v>
      </c>
      <c r="C57">
        <v>0.2</v>
      </c>
      <c r="D57">
        <v>0.75</v>
      </c>
      <c r="E57">
        <v>0.25</v>
      </c>
    </row>
    <row r="58" spans="1:6" x14ac:dyDescent="0.35">
      <c r="A58" t="s">
        <v>663</v>
      </c>
      <c r="B58" t="b">
        <v>1</v>
      </c>
      <c r="C58" t="b">
        <v>0</v>
      </c>
      <c r="D58" t="b">
        <v>1</v>
      </c>
      <c r="E58" t="b">
        <v>0</v>
      </c>
    </row>
    <row r="59" spans="1:6" x14ac:dyDescent="0.35">
      <c r="A59" t="s">
        <v>662</v>
      </c>
      <c r="B59" t="b">
        <v>0</v>
      </c>
      <c r="C59" t="b">
        <v>0</v>
      </c>
      <c r="D59" t="b">
        <v>0</v>
      </c>
      <c r="E59" t="b">
        <v>0</v>
      </c>
    </row>
    <row r="60" spans="1:6" x14ac:dyDescent="0.35">
      <c r="A60" t="s">
        <v>661</v>
      </c>
      <c r="B60" t="b">
        <v>0</v>
      </c>
      <c r="C60" t="b">
        <v>1</v>
      </c>
      <c r="D60" t="b">
        <v>0</v>
      </c>
      <c r="E60" t="b">
        <v>1</v>
      </c>
    </row>
    <row r="62" spans="1:6" ht="15.5" x14ac:dyDescent="0.35">
      <c r="A62" t="s">
        <v>664</v>
      </c>
      <c r="B62">
        <v>1.92</v>
      </c>
      <c r="C62">
        <v>0</v>
      </c>
      <c r="D62">
        <v>71.25</v>
      </c>
      <c r="E62">
        <v>23.75</v>
      </c>
      <c r="F62" s="27" t="str">
        <f>IF(unitChoice="Metric","kg","lb")&amp;"/part"</f>
        <v>lb/part</v>
      </c>
    </row>
    <row r="63" spans="1:6" ht="15.5" x14ac:dyDescent="0.35">
      <c r="A63" t="s">
        <v>737</v>
      </c>
      <c r="B63">
        <v>309543.4333532317</v>
      </c>
      <c r="C63">
        <v>0</v>
      </c>
      <c r="D63">
        <v>167927.10623183928</v>
      </c>
      <c r="E63">
        <v>0</v>
      </c>
      <c r="F63" s="52" t="str">
        <f>IF(unitChoice="Metric","MJ/kg","Btu/lb")</f>
        <v>Btu/lb</v>
      </c>
    </row>
    <row r="64" spans="1:6" x14ac:dyDescent="0.35">
      <c r="A64" t="s">
        <v>738</v>
      </c>
      <c r="B64">
        <v>22.226052562346347</v>
      </c>
      <c r="C64">
        <v>0</v>
      </c>
      <c r="D64">
        <v>13.778428482005971</v>
      </c>
      <c r="E64">
        <v>0</v>
      </c>
      <c r="F64" t="str">
        <f>IF(unitChoice="Metric","kg/kg","kg/lb")</f>
        <v>kg/lb</v>
      </c>
    </row>
    <row r="66" spans="1:6" ht="15.5" x14ac:dyDescent="0.35">
      <c r="A66" t="s">
        <v>691</v>
      </c>
      <c r="B66">
        <v>41272.46</v>
      </c>
      <c r="C66">
        <v>17.34</v>
      </c>
      <c r="D66">
        <v>17798.54</v>
      </c>
      <c r="E66">
        <v>17.34</v>
      </c>
      <c r="F66" s="52" t="str">
        <f>IF(unitChoice="Metric","MJ/kg","Btu/lb")</f>
        <v>Btu/lb</v>
      </c>
    </row>
    <row r="67" spans="1:6" x14ac:dyDescent="0.35">
      <c r="A67" t="s">
        <v>692</v>
      </c>
      <c r="B67">
        <v>2.59</v>
      </c>
      <c r="C67">
        <v>0</v>
      </c>
      <c r="D67">
        <v>1.49</v>
      </c>
      <c r="E67">
        <v>0</v>
      </c>
      <c r="F67" t="str">
        <f>IF(unitChoice="Metric","kg/kg","kg/lb")</f>
        <v>kg/lb</v>
      </c>
    </row>
    <row r="69" spans="1:6" x14ac:dyDescent="0.35">
      <c r="A69" t="s">
        <v>668</v>
      </c>
      <c r="B69" t="b">
        <v>0</v>
      </c>
      <c r="C69" t="b">
        <v>0</v>
      </c>
      <c r="D69" t="b">
        <v>0</v>
      </c>
      <c r="E69" t="b">
        <v>0</v>
      </c>
    </row>
    <row r="70" spans="1:6" x14ac:dyDescent="0.35">
      <c r="A70" t="s">
        <v>680</v>
      </c>
      <c r="B70" t="b">
        <v>0</v>
      </c>
      <c r="C70" t="b">
        <v>0</v>
      </c>
      <c r="D70" t="b">
        <v>0</v>
      </c>
      <c r="E70" t="b">
        <v>0</v>
      </c>
    </row>
    <row r="71" spans="1:6" x14ac:dyDescent="0.35">
      <c r="A71" t="s">
        <v>681</v>
      </c>
      <c r="B71" t="b">
        <v>0</v>
      </c>
      <c r="C71" t="b">
        <v>0</v>
      </c>
      <c r="D71" t="b">
        <v>0</v>
      </c>
      <c r="E71" t="b">
        <v>0</v>
      </c>
    </row>
    <row r="72" spans="1:6" x14ac:dyDescent="0.35">
      <c r="A72" t="s">
        <v>685</v>
      </c>
      <c r="B72" t="b">
        <v>0</v>
      </c>
      <c r="C72" t="b">
        <v>0</v>
      </c>
      <c r="D72" t="b">
        <v>0</v>
      </c>
      <c r="E72" t="b">
        <v>0</v>
      </c>
    </row>
    <row r="73" spans="1:6" ht="15.5" x14ac:dyDescent="0.35">
      <c r="A73" t="s">
        <v>699</v>
      </c>
      <c r="B73">
        <v>0</v>
      </c>
      <c r="C73">
        <v>0</v>
      </c>
      <c r="D73">
        <v>71.25</v>
      </c>
      <c r="E73">
        <v>23.75</v>
      </c>
      <c r="F73" s="27" t="str">
        <f>IF(unitChoice="Metric","kg","lb")&amp;"/part"</f>
        <v>lb/part</v>
      </c>
    </row>
    <row r="74" spans="1:6" ht="15.5" x14ac:dyDescent="0.35">
      <c r="A74" t="s">
        <v>655</v>
      </c>
      <c r="B74">
        <v>0</v>
      </c>
      <c r="C74">
        <v>0</v>
      </c>
      <c r="D74">
        <v>0</v>
      </c>
      <c r="E74">
        <v>0</v>
      </c>
      <c r="F74" s="52" t="str">
        <f>IF(unitChoice="Metric","MJ/kg","Btu/lb")</f>
        <v>Btu/lb</v>
      </c>
    </row>
    <row r="75" spans="1:6" x14ac:dyDescent="0.35">
      <c r="A75" t="s">
        <v>669</v>
      </c>
      <c r="B75">
        <v>0</v>
      </c>
      <c r="C75">
        <v>0</v>
      </c>
      <c r="D75">
        <v>0</v>
      </c>
      <c r="E75">
        <v>0</v>
      </c>
    </row>
    <row r="76" spans="1:6" x14ac:dyDescent="0.35">
      <c r="A76" t="s">
        <v>736</v>
      </c>
      <c r="B76">
        <v>0</v>
      </c>
      <c r="C76">
        <v>0</v>
      </c>
      <c r="D76">
        <v>0</v>
      </c>
      <c r="E76">
        <v>0</v>
      </c>
    </row>
    <row r="77" spans="1:6" x14ac:dyDescent="0.35">
      <c r="A77" t="s">
        <v>677</v>
      </c>
      <c r="B77">
        <v>0</v>
      </c>
      <c r="C77">
        <v>0</v>
      </c>
      <c r="F77" t="str">
        <f>IF(unitChoice="Metric","kg/kg","kg/lb")</f>
        <v>kg/lb</v>
      </c>
    </row>
    <row r="78" spans="1:6" x14ac:dyDescent="0.35">
      <c r="A78" t="s">
        <v>672</v>
      </c>
      <c r="B78">
        <v>0</v>
      </c>
      <c r="C78">
        <v>0</v>
      </c>
      <c r="D78">
        <v>0</v>
      </c>
      <c r="E78">
        <v>0</v>
      </c>
      <c r="F78" t="str">
        <f>IF(B70,"kg/kWh",IF(unitChoice="Metric","kg/GJ","kg/MMBtu"))</f>
        <v>kg/MMBtu</v>
      </c>
    </row>
    <row r="80" spans="1:6" ht="15.5" x14ac:dyDescent="0.35">
      <c r="A80" t="s">
        <v>696</v>
      </c>
      <c r="B80">
        <v>0</v>
      </c>
      <c r="C80">
        <v>0</v>
      </c>
      <c r="D80">
        <v>0</v>
      </c>
      <c r="E80">
        <v>0</v>
      </c>
      <c r="F80" s="27" t="str">
        <f>IF(unitChoice="Metric","kg","lb")&amp;"/part"</f>
        <v>lb/part</v>
      </c>
    </row>
    <row r="81" spans="1:6" ht="15.5" x14ac:dyDescent="0.35">
      <c r="A81" t="s">
        <v>694</v>
      </c>
      <c r="B81">
        <v>0</v>
      </c>
      <c r="C81">
        <v>0</v>
      </c>
      <c r="D81">
        <v>0</v>
      </c>
      <c r="E81">
        <v>0</v>
      </c>
      <c r="F81" s="52" t="str">
        <f>IF(unitChoice="Metric","MJ/kg","Btu/lb")</f>
        <v>Btu/lb</v>
      </c>
    </row>
    <row r="82" spans="1:6" x14ac:dyDescent="0.35">
      <c r="A82" t="s">
        <v>695</v>
      </c>
      <c r="B82">
        <v>0</v>
      </c>
      <c r="C82">
        <v>0</v>
      </c>
      <c r="D82">
        <v>0</v>
      </c>
      <c r="E82">
        <v>0</v>
      </c>
      <c r="F82" t="str">
        <f>IF(unitChoice="Metric","kg/kg","kg/lb")</f>
        <v>kg/lb</v>
      </c>
    </row>
    <row r="84" spans="1:6" x14ac:dyDescent="0.35">
      <c r="A84" t="s">
        <v>682</v>
      </c>
    </row>
    <row r="85" spans="1:6" ht="15.5" x14ac:dyDescent="0.35">
      <c r="A85" t="s">
        <v>674</v>
      </c>
      <c r="B85">
        <f>-1*B62*B63</f>
        <v>-594323.39203820482</v>
      </c>
      <c r="F85" s="52" t="str">
        <f>IF(unitChoice="Metric","MJ","Btu")&amp;"/part"</f>
        <v>Btu/part</v>
      </c>
    </row>
    <row r="86" spans="1:6" x14ac:dyDescent="0.35">
      <c r="A86" t="s">
        <v>675</v>
      </c>
      <c r="B86">
        <f>-1*B62*B64</f>
        <v>-42.674020919704986</v>
      </c>
      <c r="F86" t="s">
        <v>637</v>
      </c>
    </row>
    <row r="87" spans="1:6" ht="15.5" x14ac:dyDescent="0.35">
      <c r="A87" t="s">
        <v>697</v>
      </c>
      <c r="B87">
        <f>B81*B80</f>
        <v>0</v>
      </c>
      <c r="F87" s="52" t="str">
        <f>IF(unitChoice="Metric","MJ","Btu")&amp;"/part"</f>
        <v>Btu/part</v>
      </c>
    </row>
    <row r="88" spans="1:6" x14ac:dyDescent="0.35">
      <c r="A88" t="s">
        <v>698</v>
      </c>
      <c r="B88">
        <f>B82*B80</f>
        <v>0</v>
      </c>
      <c r="F88" t="s">
        <v>637</v>
      </c>
    </row>
    <row r="89" spans="1:6" ht="15.5" x14ac:dyDescent="0.35">
      <c r="A89" t="s">
        <v>691</v>
      </c>
      <c r="B89">
        <f>I56*B66</f>
        <v>0</v>
      </c>
      <c r="F89" s="52" t="str">
        <f>IF(unitChoice="Metric","MJ","Btu")&amp;"/part"</f>
        <v>Btu/part</v>
      </c>
    </row>
    <row r="90" spans="1:6" x14ac:dyDescent="0.35">
      <c r="A90" t="s">
        <v>692</v>
      </c>
      <c r="B90">
        <f>B62*B67</f>
        <v>4.9727999999999994</v>
      </c>
      <c r="F90" t="s">
        <v>637</v>
      </c>
    </row>
    <row r="91" spans="1:6" ht="15.5" x14ac:dyDescent="0.35">
      <c r="A91" t="s">
        <v>668</v>
      </c>
      <c r="B91" s="57">
        <f>B73*B74*B75*B76*IF(B70,IF(unitChoice="Metric",1/3.6,1/3412.14),1)</f>
        <v>0</v>
      </c>
      <c r="F91" s="52" t="str">
        <f>IF(B70,"kWh",IF(unitChoice="Metric","MJ","Btu"))&amp;"/part"</f>
        <v>Btu/part</v>
      </c>
    </row>
    <row r="92" spans="1:6" ht="15.5" x14ac:dyDescent="0.35">
      <c r="A92" t="s">
        <v>683</v>
      </c>
      <c r="B92">
        <f>-1*B91*IF(B70,IF(unitChoice= "Metric", 3.6,3412.14),1)</f>
        <v>0</v>
      </c>
      <c r="F92" s="52" t="str">
        <f>IF(unitChoice="Metric","MJ","Btu")&amp;"/part"</f>
        <v>Btu/part</v>
      </c>
    </row>
    <row r="93" spans="1:6" x14ac:dyDescent="0.35">
      <c r="A93" t="s">
        <v>693</v>
      </c>
      <c r="B93">
        <f>-1*B91*B78*IF(B70,1,IF(unitChoice = "Metric", 1/1000,1/1000000))     +B77*B73</f>
        <v>0</v>
      </c>
      <c r="F93" t="s">
        <v>637</v>
      </c>
    </row>
    <row r="95" spans="1:6" x14ac:dyDescent="0.35">
      <c r="A95" t="s">
        <v>676</v>
      </c>
      <c r="B95">
        <f>SUM(B85,B87,B89,B92)</f>
        <v>-594323.39203820482</v>
      </c>
    </row>
    <row r="96" spans="1:6" x14ac:dyDescent="0.35">
      <c r="A96" t="s">
        <v>677</v>
      </c>
      <c r="B96">
        <f>SUM(B86,B88,B90,B93)</f>
        <v>-37.701220919704987</v>
      </c>
    </row>
    <row r="101" spans="1:6" x14ac:dyDescent="0.35">
      <c r="A101" t="s">
        <v>741</v>
      </c>
    </row>
    <row r="102" spans="1:6" x14ac:dyDescent="0.35">
      <c r="B102" t="s">
        <v>657</v>
      </c>
      <c r="C102" t="s">
        <v>657</v>
      </c>
      <c r="D102" t="s">
        <v>660</v>
      </c>
      <c r="E102" t="s">
        <v>660</v>
      </c>
    </row>
    <row r="103" spans="1:6" x14ac:dyDescent="0.35">
      <c r="B103" t="s">
        <v>658</v>
      </c>
      <c r="C103" t="s">
        <v>659</v>
      </c>
      <c r="D103" t="s">
        <v>658</v>
      </c>
      <c r="E103" t="s">
        <v>659</v>
      </c>
    </row>
    <row r="104" spans="1:6" x14ac:dyDescent="0.35">
      <c r="A104" t="s">
        <v>60</v>
      </c>
    </row>
    <row r="105" spans="1:6" x14ac:dyDescent="0.35">
      <c r="A105" t="s">
        <v>61</v>
      </c>
      <c r="B105" t="s">
        <v>66</v>
      </c>
      <c r="C105" t="s">
        <v>68</v>
      </c>
      <c r="D105" t="s">
        <v>69</v>
      </c>
      <c r="E105" t="s">
        <v>279</v>
      </c>
    </row>
    <row r="106" spans="1:6" ht="15.5" x14ac:dyDescent="0.35">
      <c r="A106" t="s">
        <v>673</v>
      </c>
      <c r="F106" s="27"/>
    </row>
    <row r="107" spans="1:6" x14ac:dyDescent="0.35">
      <c r="A107" t="s">
        <v>671</v>
      </c>
      <c r="B107">
        <v>0.9</v>
      </c>
      <c r="C107">
        <v>0.1</v>
      </c>
      <c r="D107">
        <v>0.7</v>
      </c>
      <c r="E107">
        <v>0.3</v>
      </c>
    </row>
    <row r="108" spans="1:6" x14ac:dyDescent="0.35">
      <c r="A108" t="s">
        <v>663</v>
      </c>
      <c r="B108" t="b">
        <v>0</v>
      </c>
      <c r="C108" t="b">
        <v>1</v>
      </c>
      <c r="D108" t="b">
        <v>1</v>
      </c>
      <c r="E108" t="b">
        <v>0</v>
      </c>
    </row>
    <row r="109" spans="1:6" x14ac:dyDescent="0.35">
      <c r="A109" t="s">
        <v>662</v>
      </c>
      <c r="B109" t="b">
        <v>0</v>
      </c>
      <c r="C109" t="b">
        <v>0</v>
      </c>
      <c r="D109" t="b">
        <v>0</v>
      </c>
      <c r="E109" t="b">
        <v>0</v>
      </c>
    </row>
    <row r="110" spans="1:6" x14ac:dyDescent="0.35">
      <c r="A110" t="s">
        <v>661</v>
      </c>
      <c r="B110" t="b">
        <v>1</v>
      </c>
      <c r="C110" t="b">
        <v>0</v>
      </c>
      <c r="D110" t="b">
        <v>0</v>
      </c>
      <c r="E110" t="b">
        <v>1</v>
      </c>
    </row>
    <row r="112" spans="1:6" ht="15.5" x14ac:dyDescent="0.35">
      <c r="A112" t="s">
        <v>664</v>
      </c>
      <c r="B112">
        <v>85.5</v>
      </c>
      <c r="C112">
        <v>9.5</v>
      </c>
      <c r="D112">
        <v>66.5</v>
      </c>
      <c r="E112">
        <v>28.5</v>
      </c>
      <c r="F112" s="27" t="str">
        <f>IF(unitChoice="Metric","kg","lb")&amp;"/part"</f>
        <v>lb/part</v>
      </c>
    </row>
    <row r="113" spans="1:6" ht="15.5" x14ac:dyDescent="0.35">
      <c r="A113" t="s">
        <v>737</v>
      </c>
      <c r="B113">
        <v>0</v>
      </c>
      <c r="C113">
        <v>43851.986391707826</v>
      </c>
      <c r="D113">
        <v>159070.93102874406</v>
      </c>
      <c r="E113">
        <v>0</v>
      </c>
      <c r="F113" s="52" t="str">
        <f>IF(unitChoice="Metric","MJ/kg","Btu/lb")</f>
        <v>Btu/lb</v>
      </c>
    </row>
    <row r="114" spans="1:6" x14ac:dyDescent="0.35">
      <c r="A114" t="s">
        <v>738</v>
      </c>
      <c r="B114">
        <v>0</v>
      </c>
      <c r="C114">
        <v>2536.5364677556486</v>
      </c>
      <c r="D114">
        <v>17196.857408512871</v>
      </c>
      <c r="E114">
        <v>0</v>
      </c>
      <c r="F114" t="str">
        <f>IF(unitChoice="Metric","kg/kg","kg/lb")</f>
        <v>kg/lb</v>
      </c>
    </row>
    <row r="116" spans="1:6" ht="15.5" x14ac:dyDescent="0.35">
      <c r="A116" t="s">
        <v>691</v>
      </c>
      <c r="B116">
        <v>17.34</v>
      </c>
      <c r="C116">
        <v>23645.68</v>
      </c>
      <c r="D116">
        <v>28374.81</v>
      </c>
      <c r="E116">
        <v>0</v>
      </c>
      <c r="F116" s="52" t="str">
        <f>IF(unitChoice="Metric","MJ/kg","Btu/lb")</f>
        <v>Btu/lb</v>
      </c>
    </row>
    <row r="117" spans="1:6" x14ac:dyDescent="0.35">
      <c r="A117" t="s">
        <v>692</v>
      </c>
      <c r="B117">
        <v>0</v>
      </c>
      <c r="C117">
        <v>1246.77</v>
      </c>
      <c r="D117">
        <v>2235.59</v>
      </c>
      <c r="E117">
        <v>0</v>
      </c>
      <c r="F117" t="str">
        <f>IF(unitChoice="Metric","kg/kg","kg/lb")</f>
        <v>kg/lb</v>
      </c>
    </row>
    <row r="119" spans="1:6" x14ac:dyDescent="0.35">
      <c r="A119" t="s">
        <v>668</v>
      </c>
      <c r="B119" t="b">
        <v>0</v>
      </c>
      <c r="C119" t="b">
        <v>0</v>
      </c>
      <c r="D119" t="b">
        <v>0</v>
      </c>
      <c r="E119" t="b">
        <v>0</v>
      </c>
    </row>
    <row r="120" spans="1:6" x14ac:dyDescent="0.35">
      <c r="A120" t="s">
        <v>680</v>
      </c>
      <c r="B120" t="b">
        <v>0</v>
      </c>
      <c r="C120" t="b">
        <v>0</v>
      </c>
      <c r="D120" t="b">
        <v>0</v>
      </c>
      <c r="E120" t="b">
        <v>0</v>
      </c>
    </row>
    <row r="121" spans="1:6" x14ac:dyDescent="0.35">
      <c r="A121" t="s">
        <v>681</v>
      </c>
      <c r="B121" t="b">
        <v>0</v>
      </c>
      <c r="C121" t="b">
        <v>0</v>
      </c>
      <c r="D121" t="b">
        <v>0</v>
      </c>
      <c r="E121" t="b">
        <v>0</v>
      </c>
    </row>
    <row r="122" spans="1:6" x14ac:dyDescent="0.35">
      <c r="A122" t="s">
        <v>685</v>
      </c>
      <c r="B122" t="b">
        <v>0</v>
      </c>
      <c r="C122" t="b">
        <v>0</v>
      </c>
      <c r="D122" t="b">
        <v>0</v>
      </c>
      <c r="E122" t="b">
        <v>0</v>
      </c>
    </row>
    <row r="123" spans="1:6" ht="15.5" x14ac:dyDescent="0.35">
      <c r="A123" t="s">
        <v>699</v>
      </c>
      <c r="B123">
        <v>85.5</v>
      </c>
      <c r="C123">
        <v>0</v>
      </c>
      <c r="D123">
        <v>66.5</v>
      </c>
      <c r="E123">
        <v>28.5</v>
      </c>
      <c r="F123" s="27" t="str">
        <f>IF(unitChoice="Metric","kg","lb")&amp;"/part"</f>
        <v>lb/part</v>
      </c>
    </row>
    <row r="124" spans="1:6" ht="15.5" x14ac:dyDescent="0.35">
      <c r="A124" t="s">
        <v>655</v>
      </c>
      <c r="B124">
        <v>0</v>
      </c>
      <c r="C124">
        <v>0</v>
      </c>
      <c r="D124">
        <v>0</v>
      </c>
      <c r="E124">
        <v>0</v>
      </c>
      <c r="F124" s="52" t="str">
        <f>IF(unitChoice="Metric","MJ/kg","Btu/lb")</f>
        <v>Btu/lb</v>
      </c>
    </row>
    <row r="125" spans="1:6" x14ac:dyDescent="0.35">
      <c r="A125" t="s">
        <v>669</v>
      </c>
      <c r="B125">
        <v>0</v>
      </c>
      <c r="C125">
        <v>0</v>
      </c>
      <c r="D125">
        <v>0</v>
      </c>
      <c r="E125">
        <v>0</v>
      </c>
    </row>
    <row r="126" spans="1:6" x14ac:dyDescent="0.35">
      <c r="A126" t="s">
        <v>736</v>
      </c>
      <c r="B126">
        <v>0</v>
      </c>
      <c r="C126">
        <v>0</v>
      </c>
      <c r="D126">
        <v>0</v>
      </c>
      <c r="E126">
        <v>0</v>
      </c>
    </row>
    <row r="127" spans="1:6" x14ac:dyDescent="0.35">
      <c r="A127" t="s">
        <v>677</v>
      </c>
      <c r="B127">
        <v>0</v>
      </c>
      <c r="C127">
        <v>0</v>
      </c>
      <c r="F127" t="str">
        <f>IF(unitChoice="Metric","kg/kg","kg/lb")</f>
        <v>kg/lb</v>
      </c>
    </row>
    <row r="128" spans="1:6" x14ac:dyDescent="0.35">
      <c r="A128" t="s">
        <v>672</v>
      </c>
      <c r="B128">
        <v>0</v>
      </c>
      <c r="C128">
        <v>0</v>
      </c>
      <c r="D128">
        <v>0</v>
      </c>
      <c r="E128">
        <v>0</v>
      </c>
      <c r="F128" t="str">
        <f>IF(B120,"kg/kWh",IF(unitChoice="Metric","kg/GJ","kg/MMBtu"))</f>
        <v>kg/MMBtu</v>
      </c>
    </row>
    <row r="130" spans="1:6" ht="15.5" x14ac:dyDescent="0.35">
      <c r="A130" t="s">
        <v>696</v>
      </c>
      <c r="B130">
        <v>0</v>
      </c>
      <c r="C130">
        <v>0</v>
      </c>
      <c r="D130">
        <v>0</v>
      </c>
      <c r="E130">
        <v>0</v>
      </c>
      <c r="F130" s="27" t="str">
        <f>IF(unitChoice="Metric","kg","lb")&amp;"/part"</f>
        <v>lb/part</v>
      </c>
    </row>
    <row r="131" spans="1:6" ht="15.5" x14ac:dyDescent="0.35">
      <c r="A131" t="s">
        <v>694</v>
      </c>
      <c r="B131">
        <v>0</v>
      </c>
      <c r="C131">
        <v>0</v>
      </c>
      <c r="D131">
        <v>0</v>
      </c>
      <c r="E131">
        <v>0</v>
      </c>
      <c r="F131" s="52" t="str">
        <f>IF(unitChoice="Metric","MJ/kg","Btu/lb")</f>
        <v>Btu/lb</v>
      </c>
    </row>
    <row r="132" spans="1:6" x14ac:dyDescent="0.35">
      <c r="A132" t="s">
        <v>695</v>
      </c>
      <c r="B132">
        <v>0</v>
      </c>
      <c r="C132">
        <v>0</v>
      </c>
      <c r="D132">
        <v>0</v>
      </c>
      <c r="E132">
        <v>0</v>
      </c>
      <c r="F132" t="str">
        <f>IF(unitChoice="Metric","kg/kg","kg/lb")</f>
        <v>kg/lb</v>
      </c>
    </row>
    <row r="134" spans="1:6" x14ac:dyDescent="0.35">
      <c r="A134" t="s">
        <v>682</v>
      </c>
    </row>
    <row r="135" spans="1:6" ht="15.5" x14ac:dyDescent="0.35">
      <c r="A135" t="s">
        <v>674</v>
      </c>
      <c r="B135">
        <f>-1*B112*B113</f>
        <v>0</v>
      </c>
      <c r="F135" s="52" t="str">
        <f>IF(unitChoice="Metric","MJ","Btu")&amp;"/part"</f>
        <v>Btu/part</v>
      </c>
    </row>
    <row r="136" spans="1:6" x14ac:dyDescent="0.35">
      <c r="A136" t="s">
        <v>675</v>
      </c>
      <c r="B136">
        <f>-1*B112*B114</f>
        <v>0</v>
      </c>
      <c r="F136" t="s">
        <v>637</v>
      </c>
    </row>
    <row r="137" spans="1:6" ht="15.5" x14ac:dyDescent="0.35">
      <c r="A137" t="s">
        <v>697</v>
      </c>
      <c r="B137">
        <f>B131*B130</f>
        <v>0</v>
      </c>
      <c r="F137" s="52" t="str">
        <f>IF(unitChoice="Metric","MJ","Btu")&amp;"/part"</f>
        <v>Btu/part</v>
      </c>
    </row>
    <row r="138" spans="1:6" x14ac:dyDescent="0.35">
      <c r="A138" t="s">
        <v>698</v>
      </c>
      <c r="B138">
        <f>B132*B130</f>
        <v>0</v>
      </c>
      <c r="F138" t="s">
        <v>637</v>
      </c>
    </row>
    <row r="139" spans="1:6" ht="15.5" x14ac:dyDescent="0.35">
      <c r="A139" t="s">
        <v>691</v>
      </c>
      <c r="B139">
        <f>I106*B116</f>
        <v>0</v>
      </c>
      <c r="F139" s="52" t="str">
        <f>IF(unitChoice="Metric","MJ","Btu")&amp;"/part"</f>
        <v>Btu/part</v>
      </c>
    </row>
    <row r="140" spans="1:6" x14ac:dyDescent="0.35">
      <c r="A140" t="s">
        <v>692</v>
      </c>
      <c r="B140">
        <f>B112*B117</f>
        <v>0</v>
      </c>
      <c r="F140" t="s">
        <v>637</v>
      </c>
    </row>
    <row r="141" spans="1:6" ht="15.5" x14ac:dyDescent="0.35">
      <c r="A141" t="s">
        <v>668</v>
      </c>
      <c r="B141" s="57">
        <f>B123*B124*B125*B126*IF(B120,IF(unitChoice="Metric",1/3.6,1/3412.14),1)</f>
        <v>0</v>
      </c>
      <c r="F141" s="52" t="str">
        <f>IF(B120,"kWh",IF(unitChoice="Metric","MJ","Btu"))&amp;"/part"</f>
        <v>Btu/part</v>
      </c>
    </row>
    <row r="142" spans="1:6" ht="15.5" x14ac:dyDescent="0.35">
      <c r="A142" t="s">
        <v>683</v>
      </c>
      <c r="B142">
        <f>-1*B141*IF(B120,IF(unitChoice= "Metric", 3.6,3412.14),1)</f>
        <v>0</v>
      </c>
      <c r="F142" s="52" t="str">
        <f>IF(unitChoice="Metric","MJ","Btu")&amp;"/part"</f>
        <v>Btu/part</v>
      </c>
    </row>
    <row r="143" spans="1:6" x14ac:dyDescent="0.35">
      <c r="A143" t="s">
        <v>693</v>
      </c>
      <c r="B143">
        <f>-1*B141*B128*IF(B120,1,IF(unitChoice = "Metric", 1/1000,1/1000000))     +B127*B123</f>
        <v>0</v>
      </c>
      <c r="F143" t="s">
        <v>637</v>
      </c>
    </row>
    <row r="145" spans="1:6" x14ac:dyDescent="0.35">
      <c r="A145" t="s">
        <v>676</v>
      </c>
      <c r="B145">
        <f>SUM(B135,B137,B139,B142)</f>
        <v>0</v>
      </c>
    </row>
    <row r="146" spans="1:6" x14ac:dyDescent="0.35">
      <c r="A146" t="s">
        <v>677</v>
      </c>
      <c r="B146">
        <f>SUM(B136,B138,B140,B143)</f>
        <v>0</v>
      </c>
    </row>
    <row r="151" spans="1:6" x14ac:dyDescent="0.35">
      <c r="A151" t="s">
        <v>742</v>
      </c>
    </row>
    <row r="152" spans="1:6" x14ac:dyDescent="0.35">
      <c r="B152" t="s">
        <v>657</v>
      </c>
      <c r="C152" t="s">
        <v>657</v>
      </c>
      <c r="D152" t="s">
        <v>660</v>
      </c>
      <c r="E152" t="s">
        <v>660</v>
      </c>
    </row>
    <row r="153" spans="1:6" x14ac:dyDescent="0.35">
      <c r="B153" t="s">
        <v>658</v>
      </c>
      <c r="C153" t="s">
        <v>659</v>
      </c>
      <c r="D153" t="s">
        <v>658</v>
      </c>
      <c r="E153" t="s">
        <v>659</v>
      </c>
    </row>
    <row r="154" spans="1:6" x14ac:dyDescent="0.35">
      <c r="A154" t="s">
        <v>60</v>
      </c>
    </row>
    <row r="155" spans="1:6" x14ac:dyDescent="0.35">
      <c r="A155" t="s">
        <v>61</v>
      </c>
      <c r="B155" t="s">
        <v>69</v>
      </c>
      <c r="C155" t="s">
        <v>66</v>
      </c>
      <c r="D155" t="s">
        <v>69</v>
      </c>
      <c r="E155" t="s">
        <v>279</v>
      </c>
    </row>
    <row r="156" spans="1:6" ht="15.5" x14ac:dyDescent="0.35">
      <c r="A156" t="s">
        <v>673</v>
      </c>
      <c r="F156" s="27"/>
    </row>
    <row r="157" spans="1:6" x14ac:dyDescent="0.35">
      <c r="A157" t="s">
        <v>671</v>
      </c>
      <c r="B157">
        <v>0.8</v>
      </c>
      <c r="C157">
        <v>0.2</v>
      </c>
      <c r="D157">
        <v>1</v>
      </c>
      <c r="E157">
        <v>0</v>
      </c>
    </row>
    <row r="158" spans="1:6" x14ac:dyDescent="0.35">
      <c r="A158" t="s">
        <v>663</v>
      </c>
      <c r="B158" t="b">
        <v>1</v>
      </c>
      <c r="C158" t="b">
        <v>0</v>
      </c>
      <c r="D158" t="b">
        <v>1</v>
      </c>
      <c r="E158" t="b">
        <v>0</v>
      </c>
    </row>
    <row r="159" spans="1:6" x14ac:dyDescent="0.35">
      <c r="A159" t="s">
        <v>662</v>
      </c>
      <c r="B159" t="b">
        <v>0</v>
      </c>
      <c r="C159" t="b">
        <v>0</v>
      </c>
      <c r="D159" t="b">
        <v>0</v>
      </c>
      <c r="E159" t="b">
        <v>0</v>
      </c>
    </row>
    <row r="160" spans="1:6" x14ac:dyDescent="0.35">
      <c r="A160" t="s">
        <v>661</v>
      </c>
      <c r="B160" t="b">
        <v>0</v>
      </c>
      <c r="C160" t="b">
        <v>1</v>
      </c>
      <c r="D160" t="b">
        <v>0</v>
      </c>
      <c r="E160" t="b">
        <v>1</v>
      </c>
    </row>
    <row r="162" spans="1:6" ht="15.5" x14ac:dyDescent="0.35">
      <c r="A162" t="s">
        <v>664</v>
      </c>
      <c r="B162">
        <v>0.67200000000000004</v>
      </c>
      <c r="C162">
        <v>0</v>
      </c>
      <c r="D162">
        <v>95</v>
      </c>
      <c r="E162">
        <v>0</v>
      </c>
      <c r="F162" s="27" t="str">
        <f>IF(unitChoice="Metric","kg","lb")&amp;"/part"</f>
        <v>lb/part</v>
      </c>
    </row>
    <row r="163" spans="1:6" ht="15.5" x14ac:dyDescent="0.35">
      <c r="A163" t="s">
        <v>737</v>
      </c>
      <c r="B163">
        <v>295141.06527360214</v>
      </c>
      <c r="C163">
        <v>0</v>
      </c>
      <c r="D163">
        <v>137574.85926810297</v>
      </c>
      <c r="E163">
        <v>0</v>
      </c>
      <c r="F163" s="52" t="str">
        <f>IF(unitChoice="Metric","MJ/kg","Btu/lb")</f>
        <v>Btu/lb</v>
      </c>
    </row>
    <row r="164" spans="1:6" x14ac:dyDescent="0.35">
      <c r="A164" t="s">
        <v>738</v>
      </c>
      <c r="B164">
        <v>21.500303907249322</v>
      </c>
      <c r="C164">
        <v>0</v>
      </c>
      <c r="D164">
        <v>15047.250232448763</v>
      </c>
      <c r="E164">
        <v>0</v>
      </c>
      <c r="F164" t="str">
        <f>IF(unitChoice="Metric","kg/kg","kg/lb")</f>
        <v>kg/lb</v>
      </c>
    </row>
    <row r="166" spans="1:6" ht="15.5" x14ac:dyDescent="0.35">
      <c r="A166" t="s">
        <v>691</v>
      </c>
      <c r="B166">
        <v>64918.14</v>
      </c>
      <c r="C166">
        <v>17.34</v>
      </c>
      <c r="D166">
        <v>28374.81</v>
      </c>
      <c r="E166">
        <v>0</v>
      </c>
      <c r="F166" s="52" t="str">
        <f>IF(unitChoice="Metric","MJ/kg","Btu/lb")</f>
        <v>Btu/lb</v>
      </c>
    </row>
    <row r="167" spans="1:6" x14ac:dyDescent="0.35">
      <c r="A167" t="s">
        <v>692</v>
      </c>
      <c r="B167">
        <v>4.22</v>
      </c>
      <c r="C167">
        <v>0</v>
      </c>
      <c r="D167">
        <v>2235.59</v>
      </c>
      <c r="E167">
        <v>0</v>
      </c>
      <c r="F167" t="str">
        <f>IF(unitChoice="Metric","kg/kg","kg/lb")</f>
        <v>kg/lb</v>
      </c>
    </row>
    <row r="169" spans="1:6" x14ac:dyDescent="0.35">
      <c r="A169" t="s">
        <v>668</v>
      </c>
      <c r="B169" t="b">
        <v>0</v>
      </c>
      <c r="C169" t="b">
        <v>0</v>
      </c>
      <c r="D169" t="b">
        <v>0</v>
      </c>
      <c r="E169" t="b">
        <v>0</v>
      </c>
    </row>
    <row r="170" spans="1:6" x14ac:dyDescent="0.35">
      <c r="A170" t="s">
        <v>680</v>
      </c>
      <c r="B170" t="b">
        <v>0</v>
      </c>
      <c r="C170" t="b">
        <v>0</v>
      </c>
      <c r="D170" t="b">
        <v>0</v>
      </c>
      <c r="E170" t="b">
        <v>0</v>
      </c>
    </row>
    <row r="171" spans="1:6" x14ac:dyDescent="0.35">
      <c r="A171" t="s">
        <v>681</v>
      </c>
      <c r="B171" t="b">
        <v>0</v>
      </c>
      <c r="C171" t="b">
        <v>0</v>
      </c>
      <c r="D171" t="b">
        <v>0</v>
      </c>
      <c r="E171" t="b">
        <v>0</v>
      </c>
    </row>
    <row r="172" spans="1:6" x14ac:dyDescent="0.35">
      <c r="A172" t="s">
        <v>685</v>
      </c>
      <c r="B172" t="b">
        <v>0</v>
      </c>
      <c r="C172" t="b">
        <v>0</v>
      </c>
      <c r="D172" t="b">
        <v>0</v>
      </c>
      <c r="E172" t="b">
        <v>0</v>
      </c>
    </row>
    <row r="173" spans="1:6" ht="15.5" x14ac:dyDescent="0.35">
      <c r="A173" t="s">
        <v>699</v>
      </c>
      <c r="B173">
        <v>0</v>
      </c>
      <c r="C173">
        <v>0</v>
      </c>
      <c r="D173">
        <v>95</v>
      </c>
      <c r="E173">
        <v>0</v>
      </c>
      <c r="F173" s="27" t="str">
        <f>IF(unitChoice="Metric","kg","lb")&amp;"/part"</f>
        <v>lb/part</v>
      </c>
    </row>
    <row r="174" spans="1:6" ht="15.5" x14ac:dyDescent="0.35">
      <c r="A174" t="s">
        <v>655</v>
      </c>
      <c r="B174">
        <v>0</v>
      </c>
      <c r="C174">
        <v>0</v>
      </c>
      <c r="D174">
        <v>0</v>
      </c>
      <c r="E174">
        <v>0</v>
      </c>
      <c r="F174" s="52" t="str">
        <f>IF(unitChoice="Metric","MJ/kg","Btu/lb")</f>
        <v>Btu/lb</v>
      </c>
    </row>
    <row r="175" spans="1:6" x14ac:dyDescent="0.35">
      <c r="A175" t="s">
        <v>669</v>
      </c>
      <c r="B175">
        <v>0</v>
      </c>
      <c r="C175">
        <v>0</v>
      </c>
      <c r="D175">
        <v>0</v>
      </c>
      <c r="E175">
        <v>0</v>
      </c>
    </row>
    <row r="176" spans="1:6" x14ac:dyDescent="0.35">
      <c r="A176" t="s">
        <v>736</v>
      </c>
      <c r="B176">
        <v>0</v>
      </c>
      <c r="C176">
        <v>0</v>
      </c>
      <c r="D176">
        <v>0</v>
      </c>
      <c r="E176">
        <v>0</v>
      </c>
    </row>
    <row r="177" spans="1:6" x14ac:dyDescent="0.35">
      <c r="A177" t="s">
        <v>677</v>
      </c>
      <c r="B177">
        <v>0</v>
      </c>
      <c r="C177">
        <v>0</v>
      </c>
      <c r="F177" t="str">
        <f>IF(unitChoice="Metric","kg/kg","kg/lb")</f>
        <v>kg/lb</v>
      </c>
    </row>
    <row r="178" spans="1:6" x14ac:dyDescent="0.35">
      <c r="A178" t="s">
        <v>672</v>
      </c>
      <c r="B178">
        <v>0</v>
      </c>
      <c r="C178">
        <v>0</v>
      </c>
      <c r="D178">
        <v>0</v>
      </c>
      <c r="E178">
        <v>0</v>
      </c>
      <c r="F178" t="str">
        <f>IF(B170,"kg/kWh",IF(unitChoice="Metric","kg/GJ","kg/MMBtu"))</f>
        <v>kg/MMBtu</v>
      </c>
    </row>
    <row r="180" spans="1:6" ht="15.5" x14ac:dyDescent="0.35">
      <c r="A180" t="s">
        <v>696</v>
      </c>
      <c r="B180">
        <v>0</v>
      </c>
      <c r="C180">
        <v>0</v>
      </c>
      <c r="D180">
        <v>0</v>
      </c>
      <c r="E180">
        <v>0</v>
      </c>
      <c r="F180" s="27" t="str">
        <f>IF(unitChoice="Metric","kg","lb")&amp;"/part"</f>
        <v>lb/part</v>
      </c>
    </row>
    <row r="181" spans="1:6" ht="15.5" x14ac:dyDescent="0.35">
      <c r="A181" t="s">
        <v>694</v>
      </c>
      <c r="B181">
        <v>0</v>
      </c>
      <c r="C181">
        <v>0</v>
      </c>
      <c r="D181">
        <v>0</v>
      </c>
      <c r="E181">
        <v>0</v>
      </c>
      <c r="F181" s="52" t="str">
        <f>IF(unitChoice="Metric","MJ/kg","Btu/lb")</f>
        <v>Btu/lb</v>
      </c>
    </row>
    <row r="182" spans="1:6" x14ac:dyDescent="0.35">
      <c r="A182" t="s">
        <v>695</v>
      </c>
      <c r="B182">
        <v>0</v>
      </c>
      <c r="C182">
        <v>0</v>
      </c>
      <c r="D182">
        <v>0</v>
      </c>
      <c r="E182">
        <v>0</v>
      </c>
      <c r="F182" t="str">
        <f>IF(unitChoice="Metric","kg/kg","kg/lb")</f>
        <v>kg/lb</v>
      </c>
    </row>
    <row r="184" spans="1:6" x14ac:dyDescent="0.35">
      <c r="A184" t="s">
        <v>682</v>
      </c>
    </row>
    <row r="185" spans="1:6" ht="15.5" x14ac:dyDescent="0.35">
      <c r="A185" t="s">
        <v>674</v>
      </c>
      <c r="B185">
        <f>-1*B162*B163</f>
        <v>-198334.79586386067</v>
      </c>
      <c r="F185" s="52" t="str">
        <f>IF(unitChoice="Metric","MJ","Btu")&amp;"/part"</f>
        <v>Btu/part</v>
      </c>
    </row>
    <row r="186" spans="1:6" x14ac:dyDescent="0.35">
      <c r="A186" t="s">
        <v>675</v>
      </c>
      <c r="B186">
        <f>-1*B162*B164</f>
        <v>-14.448204225671544</v>
      </c>
      <c r="F186" t="s">
        <v>637</v>
      </c>
    </row>
    <row r="187" spans="1:6" ht="15.5" x14ac:dyDescent="0.35">
      <c r="A187" t="s">
        <v>697</v>
      </c>
      <c r="B187">
        <f>B181*B180</f>
        <v>0</v>
      </c>
      <c r="F187" s="52" t="str">
        <f>IF(unitChoice="Metric","MJ","Btu")&amp;"/part"</f>
        <v>Btu/part</v>
      </c>
    </row>
    <row r="188" spans="1:6" x14ac:dyDescent="0.35">
      <c r="A188" t="s">
        <v>698</v>
      </c>
      <c r="B188">
        <f>B182*B180</f>
        <v>0</v>
      </c>
      <c r="F188" t="s">
        <v>637</v>
      </c>
    </row>
    <row r="189" spans="1:6" ht="15.5" x14ac:dyDescent="0.35">
      <c r="A189" t="s">
        <v>691</v>
      </c>
      <c r="B189">
        <f>I156*B166</f>
        <v>0</v>
      </c>
      <c r="F189" s="52" t="str">
        <f>IF(unitChoice="Metric","MJ","Btu")&amp;"/part"</f>
        <v>Btu/part</v>
      </c>
    </row>
    <row r="190" spans="1:6" x14ac:dyDescent="0.35">
      <c r="A190" t="s">
        <v>692</v>
      </c>
      <c r="B190">
        <f>B162*B167</f>
        <v>2.8358400000000001</v>
      </c>
      <c r="F190" t="s">
        <v>637</v>
      </c>
    </row>
    <row r="191" spans="1:6" ht="15.5" x14ac:dyDescent="0.35">
      <c r="A191" t="s">
        <v>668</v>
      </c>
      <c r="B191" s="57">
        <f>B173*B174*B175*B176*IF(B170,IF(unitChoice="Metric",1/3.6,1/3412.14),1)</f>
        <v>0</v>
      </c>
      <c r="F191" s="52" t="str">
        <f>IF(B170,"kWh",IF(unitChoice="Metric","MJ","Btu"))&amp;"/part"</f>
        <v>Btu/part</v>
      </c>
    </row>
    <row r="192" spans="1:6" ht="15.5" x14ac:dyDescent="0.35">
      <c r="A192" t="s">
        <v>683</v>
      </c>
      <c r="B192">
        <f>-1*B191*IF(B170,IF(unitChoice= "Metric", 3.6,3412.14),1)</f>
        <v>0</v>
      </c>
      <c r="F192" s="52" t="str">
        <f>IF(unitChoice="Metric","MJ","Btu")&amp;"/part"</f>
        <v>Btu/part</v>
      </c>
    </row>
    <row r="193" spans="1:6" x14ac:dyDescent="0.35">
      <c r="A193" t="s">
        <v>693</v>
      </c>
      <c r="B193">
        <f>-1*B191*B178*IF(B170,1,IF(unitChoice = "Metric", 1/1000,1/1000000))     +B177*B173</f>
        <v>0</v>
      </c>
      <c r="F193" t="s">
        <v>637</v>
      </c>
    </row>
    <row r="195" spans="1:6" x14ac:dyDescent="0.35">
      <c r="A195" t="s">
        <v>676</v>
      </c>
      <c r="B195">
        <f>SUM(B185,B187,B189,B192)</f>
        <v>-198334.79586386067</v>
      </c>
    </row>
    <row r="196" spans="1:6" x14ac:dyDescent="0.35">
      <c r="A196" t="s">
        <v>677</v>
      </c>
      <c r="B196">
        <f>SUM(B186,B188,B190,B193)</f>
        <v>-11.612364225671545</v>
      </c>
    </row>
  </sheetData>
  <sheetProtection algorithmName="SHA-512" hashValue="cKunJJG8pEIRJI49hX8EImC26HP1RR8jRAYiw7J2KCpAY5ZYBhevOgvWNpqB0suYMKpubXEI21gmEM5DTbnGBA==" saltValue="L7UFrffpFYMaZSBnhWDzCQ==" spinCount="100000"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B42"/>
  <sheetViews>
    <sheetView workbookViewId="0">
      <selection activeCell="B14" sqref="B14"/>
    </sheetView>
  </sheetViews>
  <sheetFormatPr defaultRowHeight="25.5" customHeight="1" x14ac:dyDescent="0.35"/>
  <cols>
    <col min="1" max="1" width="26.453125" customWidth="1"/>
    <col min="2" max="2" width="110.453125" customWidth="1"/>
  </cols>
  <sheetData>
    <row r="1" spans="1:2" ht="34.5" customHeight="1" thickBot="1" x14ac:dyDescent="0.4">
      <c r="A1" s="544" t="s">
        <v>313</v>
      </c>
      <c r="B1" s="545"/>
    </row>
    <row r="2" spans="1:2" ht="25.5" customHeight="1" x14ac:dyDescent="0.35">
      <c r="A2" s="31" t="s">
        <v>123</v>
      </c>
      <c r="B2" s="28" t="s">
        <v>312</v>
      </c>
    </row>
    <row r="3" spans="1:2" ht="36.75" customHeight="1" x14ac:dyDescent="0.35">
      <c r="A3" s="32" t="s">
        <v>333</v>
      </c>
      <c r="B3" s="29" t="s">
        <v>334</v>
      </c>
    </row>
    <row r="4" spans="1:2" ht="36.75" customHeight="1" x14ac:dyDescent="0.35">
      <c r="A4" s="32" t="s">
        <v>335</v>
      </c>
      <c r="B4" s="29" t="s">
        <v>314</v>
      </c>
    </row>
    <row r="5" spans="1:2" ht="36.75" customHeight="1" x14ac:dyDescent="0.35">
      <c r="A5" s="32" t="s">
        <v>336</v>
      </c>
      <c r="B5" s="29" t="s">
        <v>337</v>
      </c>
    </row>
    <row r="6" spans="1:2" ht="36.75" customHeight="1" x14ac:dyDescent="0.35">
      <c r="A6" s="32" t="s">
        <v>323</v>
      </c>
      <c r="B6" s="29" t="s">
        <v>338</v>
      </c>
    </row>
    <row r="7" spans="1:2" ht="36.75" customHeight="1" x14ac:dyDescent="0.35">
      <c r="A7" s="32" t="s">
        <v>322</v>
      </c>
      <c r="B7" s="29" t="s">
        <v>339</v>
      </c>
    </row>
    <row r="8" spans="1:2" ht="36.75" customHeight="1" x14ac:dyDescent="0.35">
      <c r="A8" s="32" t="s">
        <v>326</v>
      </c>
      <c r="B8" s="29" t="s">
        <v>340</v>
      </c>
    </row>
    <row r="9" spans="1:2" ht="36.75" customHeight="1" x14ac:dyDescent="0.35">
      <c r="A9" s="32" t="s">
        <v>341</v>
      </c>
      <c r="B9" s="29" t="s">
        <v>342</v>
      </c>
    </row>
    <row r="10" spans="1:2" ht="36.75" customHeight="1" x14ac:dyDescent="0.35">
      <c r="A10" s="32" t="s">
        <v>319</v>
      </c>
      <c r="B10" s="29" t="s">
        <v>315</v>
      </c>
    </row>
    <row r="11" spans="1:2" ht="36.75" customHeight="1" x14ac:dyDescent="0.35">
      <c r="A11" s="32" t="s">
        <v>343</v>
      </c>
      <c r="B11" s="29" t="s">
        <v>344</v>
      </c>
    </row>
    <row r="12" spans="1:2" ht="36.75" customHeight="1" x14ac:dyDescent="0.35">
      <c r="A12" s="32" t="s">
        <v>317</v>
      </c>
      <c r="B12" s="29" t="s">
        <v>345</v>
      </c>
    </row>
    <row r="13" spans="1:2" ht="36.75" customHeight="1" x14ac:dyDescent="0.35">
      <c r="A13" s="32" t="s">
        <v>346</v>
      </c>
      <c r="B13" s="29" t="s">
        <v>347</v>
      </c>
    </row>
    <row r="14" spans="1:2" ht="36.75" customHeight="1" x14ac:dyDescent="0.35">
      <c r="A14" s="32" t="s">
        <v>348</v>
      </c>
      <c r="B14" s="29" t="s">
        <v>349</v>
      </c>
    </row>
    <row r="15" spans="1:2" ht="36.75" customHeight="1" x14ac:dyDescent="0.35">
      <c r="A15" s="32" t="s">
        <v>350</v>
      </c>
      <c r="B15" s="29" t="s">
        <v>351</v>
      </c>
    </row>
    <row r="16" spans="1:2" ht="36.75" customHeight="1" x14ac:dyDescent="0.35">
      <c r="A16" s="32" t="s">
        <v>352</v>
      </c>
      <c r="B16" s="29" t="s">
        <v>353</v>
      </c>
    </row>
    <row r="17" spans="1:2" ht="36.75" customHeight="1" x14ac:dyDescent="0.35">
      <c r="A17" s="32" t="s">
        <v>354</v>
      </c>
      <c r="B17" s="29" t="s">
        <v>355</v>
      </c>
    </row>
    <row r="18" spans="1:2" ht="36.75" customHeight="1" x14ac:dyDescent="0.35">
      <c r="A18" s="32" t="s">
        <v>321</v>
      </c>
      <c r="B18" s="29" t="s">
        <v>356</v>
      </c>
    </row>
    <row r="19" spans="1:2" ht="36.75" customHeight="1" x14ac:dyDescent="0.35">
      <c r="A19" s="32" t="s">
        <v>357</v>
      </c>
      <c r="B19" s="29" t="s">
        <v>358</v>
      </c>
    </row>
    <row r="20" spans="1:2" ht="36.75" customHeight="1" x14ac:dyDescent="0.35">
      <c r="A20" s="34" t="s">
        <v>359</v>
      </c>
      <c r="B20" s="35" t="s">
        <v>360</v>
      </c>
    </row>
    <row r="21" spans="1:2" ht="36.75" customHeight="1" x14ac:dyDescent="0.35">
      <c r="A21" s="34" t="s">
        <v>324</v>
      </c>
      <c r="B21" s="35" t="s">
        <v>316</v>
      </c>
    </row>
    <row r="22" spans="1:2" ht="36.75" customHeight="1" x14ac:dyDescent="0.35">
      <c r="A22" s="34" t="s">
        <v>320</v>
      </c>
      <c r="B22" s="35" t="s">
        <v>361</v>
      </c>
    </row>
    <row r="23" spans="1:2" ht="36.75" customHeight="1" x14ac:dyDescent="0.35">
      <c r="A23" s="34" t="s">
        <v>42</v>
      </c>
      <c r="B23" s="35" t="s">
        <v>362</v>
      </c>
    </row>
    <row r="24" spans="1:2" ht="36.75" customHeight="1" x14ac:dyDescent="0.35">
      <c r="A24" s="34" t="s">
        <v>363</v>
      </c>
      <c r="B24" s="35" t="s">
        <v>364</v>
      </c>
    </row>
    <row r="25" spans="1:2" ht="36.75" customHeight="1" x14ac:dyDescent="0.35">
      <c r="A25" s="34" t="s">
        <v>318</v>
      </c>
      <c r="B25" s="35" t="s">
        <v>365</v>
      </c>
    </row>
    <row r="26" spans="1:2" ht="36.75" customHeight="1" x14ac:dyDescent="0.35">
      <c r="A26" s="34" t="s">
        <v>325</v>
      </c>
      <c r="B26" s="35" t="s">
        <v>366</v>
      </c>
    </row>
    <row r="27" spans="1:2" ht="43.5" x14ac:dyDescent="0.35">
      <c r="A27" s="34" t="s">
        <v>367</v>
      </c>
      <c r="B27" s="35" t="s">
        <v>368</v>
      </c>
    </row>
    <row r="28" spans="1:2" ht="29" x14ac:dyDescent="0.35">
      <c r="A28" s="34" t="s">
        <v>369</v>
      </c>
      <c r="B28" s="35" t="s">
        <v>370</v>
      </c>
    </row>
    <row r="29" spans="1:2" ht="36.75" customHeight="1" x14ac:dyDescent="0.35">
      <c r="A29" s="34" t="s">
        <v>371</v>
      </c>
      <c r="B29" s="35" t="s">
        <v>372</v>
      </c>
    </row>
    <row r="30" spans="1:2" ht="36.75" customHeight="1" x14ac:dyDescent="0.35">
      <c r="A30" s="34" t="s">
        <v>373</v>
      </c>
      <c r="B30" s="35" t="s">
        <v>374</v>
      </c>
    </row>
    <row r="31" spans="1:2" ht="36.75" customHeight="1" thickBot="1" x14ac:dyDescent="0.4">
      <c r="A31" s="33" t="s">
        <v>327</v>
      </c>
      <c r="B31" s="30" t="s">
        <v>375</v>
      </c>
    </row>
    <row r="32" spans="1:2" ht="25.5" customHeight="1" x14ac:dyDescent="0.35">
      <c r="A32" s="23"/>
      <c r="B32" s="23"/>
    </row>
    <row r="33" spans="1:2" ht="25.5" customHeight="1" x14ac:dyDescent="0.35">
      <c r="A33" s="23"/>
      <c r="B33" s="23"/>
    </row>
    <row r="34" spans="1:2" ht="25.5" customHeight="1" x14ac:dyDescent="0.35">
      <c r="A34" s="23"/>
      <c r="B34" s="23"/>
    </row>
    <row r="35" spans="1:2" ht="25.5" customHeight="1" x14ac:dyDescent="0.35">
      <c r="A35" s="23"/>
      <c r="B35" s="23"/>
    </row>
    <row r="36" spans="1:2" ht="25.5" customHeight="1" x14ac:dyDescent="0.35">
      <c r="A36" s="23"/>
      <c r="B36" s="23"/>
    </row>
    <row r="37" spans="1:2" ht="25.5" customHeight="1" x14ac:dyDescent="0.35">
      <c r="A37" s="23"/>
      <c r="B37" s="23"/>
    </row>
    <row r="38" spans="1:2" ht="25.5" customHeight="1" x14ac:dyDescent="0.35">
      <c r="A38" s="23"/>
      <c r="B38" s="23"/>
    </row>
    <row r="39" spans="1:2" ht="25.5" customHeight="1" x14ac:dyDescent="0.35">
      <c r="A39" s="23"/>
      <c r="B39" s="23"/>
    </row>
    <row r="40" spans="1:2" ht="25.5" customHeight="1" x14ac:dyDescent="0.35">
      <c r="A40" s="23"/>
      <c r="B40" s="23"/>
    </row>
    <row r="41" spans="1:2" ht="25.5" customHeight="1" x14ac:dyDescent="0.35">
      <c r="A41" s="23"/>
      <c r="B41" s="23"/>
    </row>
    <row r="42" spans="1:2" ht="25.5" customHeight="1" x14ac:dyDescent="0.35">
      <c r="A42" s="23"/>
      <c r="B42" s="23"/>
    </row>
  </sheetData>
  <sheetProtection algorithmName="SHA-512" hashValue="29SVUA+f39n61yOiFo+45VFnkwBLlbyl+n6LYVlmhrjuOW6hx5Cv9xm/iMQkqIkfqiZGb56BHmsjfNLl4TH94g==" saltValue="ysPyRPYhBFVs9jml5bfPnQ==" spinCount="100000" sheet="1" objects="1" scenarios="1"/>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91</vt:i4>
      </vt:variant>
    </vt:vector>
  </HeadingPairs>
  <TitlesOfParts>
    <vt:vector size="113" baseType="lpstr">
      <vt:lpstr>Disclaimer</vt:lpstr>
      <vt:lpstr>Acknowledgements</vt:lpstr>
      <vt:lpstr>Overview</vt:lpstr>
      <vt:lpstr>Intro - Start Here</vt:lpstr>
      <vt:lpstr>Product or Project Details</vt:lpstr>
      <vt:lpstr>CM Calculator (BL)</vt:lpstr>
      <vt:lpstr>AM Calculator (BL)</vt:lpstr>
      <vt:lpstr>AM Calculator (Alt)</vt:lpstr>
      <vt:lpstr>Results</vt:lpstr>
      <vt:lpstr>Databases &gt;</vt:lpstr>
      <vt:lpstr>Material EE</vt:lpstr>
      <vt:lpstr>Form EE</vt:lpstr>
      <vt:lpstr>Conventional Manuf. EE</vt:lpstr>
      <vt:lpstr>Freight or Transportation</vt:lpstr>
      <vt:lpstr>Use Phase</vt:lpstr>
      <vt:lpstr>Applications</vt:lpstr>
      <vt:lpstr>Recycling - End of Life</vt:lpstr>
      <vt:lpstr>HIDE - Lists &amp; Lookups</vt:lpstr>
      <vt:lpstr>HIDE - Post-processing</vt:lpstr>
      <vt:lpstr>HIDE - Tooling</vt:lpstr>
      <vt:lpstr>HIDE - EoL</vt:lpstr>
      <vt:lpstr>References</vt:lpstr>
      <vt:lpstr>AM_eol_1_1C</vt:lpstr>
      <vt:lpstr>AM_eol_1_1E</vt:lpstr>
      <vt:lpstr>AM_eol_1_2C</vt:lpstr>
      <vt:lpstr>AM_eol_1_2E</vt:lpstr>
      <vt:lpstr>AM_eol_2_1C</vt:lpstr>
      <vt:lpstr>AM_eol_2_1E</vt:lpstr>
      <vt:lpstr>AM_eol_2_2C</vt:lpstr>
      <vt:lpstr>AM_eol_2_2E</vt:lpstr>
      <vt:lpstr>AM_post_power_C</vt:lpstr>
      <vt:lpstr>AM_post_power_E</vt:lpstr>
      <vt:lpstr>AM_post_specific_C</vt:lpstr>
      <vt:lpstr>AM_post_specific_E</vt:lpstr>
      <vt:lpstr>AM_Tooling_C</vt:lpstr>
      <vt:lpstr>AM_Tooling_E</vt:lpstr>
      <vt:lpstr>'AM Calculator (Alt)'!AMa_eol_1_1C</vt:lpstr>
      <vt:lpstr>'AM Calculator (Alt)'!AMa_eol_1_1E</vt:lpstr>
      <vt:lpstr>'AM Calculator (Alt)'!AMa_eol_1_2C</vt:lpstr>
      <vt:lpstr>'AM Calculator (Alt)'!AMa_eol_1_2E</vt:lpstr>
      <vt:lpstr>'AM Calculator (Alt)'!AMa_eol_2_1C</vt:lpstr>
      <vt:lpstr>'AM Calculator (Alt)'!AMa_eol_2_1E</vt:lpstr>
      <vt:lpstr>'AM Calculator (Alt)'!AMa_eol_2_2C</vt:lpstr>
      <vt:lpstr>'AM Calculator (Alt)'!AMa_eol_2_2E</vt:lpstr>
      <vt:lpstr>'AM Calculator (Alt)'!AMa_post_power_C</vt:lpstr>
      <vt:lpstr>'AM Calculator (Alt)'!AMa_post_power_E</vt:lpstr>
      <vt:lpstr>AMa_post_power_E</vt:lpstr>
      <vt:lpstr>'AM Calculator (Alt)'!AMa_post_specific_C</vt:lpstr>
      <vt:lpstr>'AM Calculator (Alt)'!AMa_post_specific_E</vt:lpstr>
      <vt:lpstr>'AM Calculator (Alt)'!AMa_Tooling_C</vt:lpstr>
      <vt:lpstr>'AM Calculator (Alt)'!AMa_Tooling_E</vt:lpstr>
      <vt:lpstr>CM_Ceramic</vt:lpstr>
      <vt:lpstr>CM_EE</vt:lpstr>
      <vt:lpstr>CM_eol_1_1C</vt:lpstr>
      <vt:lpstr>CM_eol_1_1E</vt:lpstr>
      <vt:lpstr>CM_eol_1_2C</vt:lpstr>
      <vt:lpstr>CM_eol_1_2E</vt:lpstr>
      <vt:lpstr>CM_eol_2_1C</vt:lpstr>
      <vt:lpstr>CM_eol_2_1E</vt:lpstr>
      <vt:lpstr>CM_eol_2_2C</vt:lpstr>
      <vt:lpstr>CM_eol_2_2E</vt:lpstr>
      <vt:lpstr>CM_Fiber</vt:lpstr>
      <vt:lpstr>CM_Metal</vt:lpstr>
      <vt:lpstr>CM_Polymer</vt:lpstr>
      <vt:lpstr>CM_post_power_C</vt:lpstr>
      <vt:lpstr>CM_post_power_E</vt:lpstr>
      <vt:lpstr>CM_post_specific_C</vt:lpstr>
      <vt:lpstr>CM_post_specific_E</vt:lpstr>
      <vt:lpstr>CM_Select</vt:lpstr>
      <vt:lpstr>CM_Tooling_C</vt:lpstr>
      <vt:lpstr>CM_Tooling_E</vt:lpstr>
      <vt:lpstr>'HIDE - EoL'!EoLDefaults</vt:lpstr>
      <vt:lpstr>eolList</vt:lpstr>
      <vt:lpstr>Form_Ceramic</vt:lpstr>
      <vt:lpstr>Form_Fiber</vt:lpstr>
      <vt:lpstr>Form_Metal</vt:lpstr>
      <vt:lpstr>Form_None</vt:lpstr>
      <vt:lpstr>Form_Polymer</vt:lpstr>
      <vt:lpstr>Form_Select</vt:lpstr>
      <vt:lpstr>Material_Ceramic</vt:lpstr>
      <vt:lpstr>Material_Fiber</vt:lpstr>
      <vt:lpstr>Material_Form_EE</vt:lpstr>
      <vt:lpstr>Material_Metal</vt:lpstr>
      <vt:lpstr>Material_None</vt:lpstr>
      <vt:lpstr>Material_Polymer</vt:lpstr>
      <vt:lpstr>Material_Select</vt:lpstr>
      <vt:lpstr>Material_Source_EE</vt:lpstr>
      <vt:lpstr>'AM Calculator (Alt)'!Print_Area</vt:lpstr>
      <vt:lpstr>'AM Calculator (BL)'!Print_Area</vt:lpstr>
      <vt:lpstr>Results!Print_Area</vt:lpstr>
      <vt:lpstr>scenarioChoice</vt:lpstr>
      <vt:lpstr>Second_Ceramic</vt:lpstr>
      <vt:lpstr>Second_Fiber</vt:lpstr>
      <vt:lpstr>Second_Metal</vt:lpstr>
      <vt:lpstr>Second_Polymer</vt:lpstr>
      <vt:lpstr>Second_Select</vt:lpstr>
      <vt:lpstr>Tooling_EE</vt:lpstr>
      <vt:lpstr>ToolingList</vt:lpstr>
      <vt:lpstr>Transportation</vt:lpstr>
      <vt:lpstr>Transportation_2</vt:lpstr>
      <vt:lpstr>TransportationB</vt:lpstr>
      <vt:lpstr>TransportationB_2</vt:lpstr>
      <vt:lpstr>TransportationEE</vt:lpstr>
      <vt:lpstr>TransportationEE_2</vt:lpstr>
      <vt:lpstr>unitCE</vt:lpstr>
      <vt:lpstr>unitChoice</vt:lpstr>
      <vt:lpstr>unitCpart</vt:lpstr>
      <vt:lpstr>unitEE</vt:lpstr>
      <vt:lpstr>unitEpart</vt:lpstr>
      <vt:lpstr>unitMass</vt:lpstr>
      <vt:lpstr>unitMassPart</vt:lpstr>
      <vt:lpstr>unitSizeList</vt:lpstr>
      <vt:lpstr>Use_Trans</vt:lpstr>
    </vt:vector>
  </TitlesOfParts>
  <Manager>Kelly Visconti (DOE)</Manager>
  <Company>ORNL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Sachin U. Nimbalkar (ORNL)</dc:creator>
  <cp:lastModifiedBy>Armstrong, Kristina</cp:lastModifiedBy>
  <cp:lastPrinted>2014-06-18T18:12:25Z</cp:lastPrinted>
  <dcterms:created xsi:type="dcterms:W3CDTF">2013-03-08T17:02:14Z</dcterms:created>
  <dcterms:modified xsi:type="dcterms:W3CDTF">2024-07-15T18:06:40Z</dcterms:modified>
</cp:coreProperties>
</file>