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harts/chart1.xml" ContentType="application/vnd.openxmlformats-officedocument.drawingml.chart+xml"/>
  <Override PartName="/xl/charts/chart2.xml" ContentType="application/vnd.openxmlformats-officedocument.drawingml.chart+xml"/>
  <Override PartName="/xl/drawings/drawing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harts/chart3.xml" ContentType="application/vnd.openxmlformats-officedocument.drawingml.chart+xml"/>
  <Override PartName="/xl/charts/chart4.xml" ContentType="application/vnd.openxmlformats-officedocument.drawingml.chart+xml"/>
  <Override PartName="/xl/drawings/drawing8.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drawings/drawing10.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1.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1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13.xml" ContentType="application/vnd.openxmlformats-officedocument.drawing+xml"/>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comments3.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16.xml" ContentType="application/vnd.openxmlformats-officedocument.drawing+xml"/>
  <Override PartName="/xl/charts/chart6.xml" ContentType="application/vnd.openxmlformats-officedocument.drawingml.chart+xml"/>
  <Override PartName="/xl/drawings/drawing17.xml" ContentType="application/vnd.openxmlformats-officedocument.drawing+xml"/>
  <Override PartName="/xl/charts/chart7.xml" ContentType="application/vnd.openxmlformats-officedocument.drawingml.chart+xml"/>
  <Override PartName="/xl/drawings/drawing18.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drawings/drawing19.xml" ContentType="application/vnd.openxmlformats-officedocument.drawing+xml"/>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drawings/drawing20.xml" ContentType="application/vnd.openxmlformats-officedocument.drawing+xml"/>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4.xml" ContentType="application/vnd.openxmlformats-officedocument.spreadsheetml.comments+xml"/>
  <Override PartName="/xl/drawings/drawing21.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harts/chart8.xml" ContentType="application/vnd.openxmlformats-officedocument.drawingml.chart+xml"/>
  <Override PartName="/xl/drawings/drawing26.xml" ContentType="application/vnd.openxmlformats-officedocument.drawing+xml"/>
  <Override PartName="/xl/activeX/activeX156.xml" ContentType="application/vnd.ms-office.activeX+xml"/>
  <Override PartName="/xl/activeX/activeX156.bin" ContentType="application/vnd.ms-office.activeX"/>
  <Override PartName="/xl/drawings/drawing27.xml" ContentType="application/vnd.openxmlformats-officedocument.drawing+xml"/>
  <Override PartName="/xl/comments6.xml" ContentType="application/vnd.openxmlformats-officedocument.spreadsheetml.comments+xml"/>
  <Override PartName="/xl/drawings/drawing28.xml" ContentType="application/vnd.openxmlformats-officedocument.drawing+xml"/>
  <Override PartName="/xl/activeX/activeX157.xml" ContentType="application/vnd.ms-office.activeX+xml"/>
  <Override PartName="/xl/activeX/activeX157.bin" ContentType="application/vnd.ms-office.activeX"/>
  <Override PartName="/xl/drawings/drawing29.xml" ContentType="application/vnd.openxmlformats-officedocument.drawing+xml"/>
  <Override PartName="/xl/activeX/activeX158.xml" ContentType="application/vnd.ms-office.activeX+xml"/>
  <Override PartName="/xl/activeX/activeX158.bin" ContentType="application/vnd.ms-office.activeX"/>
  <Override PartName="/xl/drawings/drawing30.xml" ContentType="application/vnd.openxmlformats-officedocument.drawing+xml"/>
  <Override PartName="/xl/activeX/activeX159.xml" ContentType="application/vnd.ms-office.activeX+xml"/>
  <Override PartName="/xl/activeX/activeX159.bin" ContentType="application/vnd.ms-office.activeX"/>
  <Override PartName="/xl/drawings/drawing31.xml" ContentType="application/vnd.openxmlformats-officedocument.drawing+xml"/>
  <Override PartName="/xl/activeX/activeX160.xml" ContentType="application/vnd.ms-office.activeX+xml"/>
  <Override PartName="/xl/activeX/activeX160.bin" ContentType="application/vnd.ms-office.activeX"/>
  <Override PartName="/xl/drawings/drawing32.xml" ContentType="application/vnd.openxmlformats-officedocument.drawing+xml"/>
  <Override PartName="/xl/activeX/activeX161.xml" ContentType="application/vnd.ms-office.activeX+xml"/>
  <Override PartName="/xl/activeX/activeX161.bin" ContentType="application/vnd.ms-office.activeX"/>
  <Override PartName="/xl/drawings/drawing33.xml" ContentType="application/vnd.openxmlformats-officedocument.drawing+xml"/>
  <Override PartName="/xl/activeX/activeX162.xml" ContentType="application/vnd.ms-office.activeX+xml"/>
  <Override PartName="/xl/activeX/activeX162.bin" ContentType="application/vnd.ms-office.activeX"/>
  <Override PartName="/xl/drawings/drawing34.xml" ContentType="application/vnd.openxmlformats-officedocument.drawing+xml"/>
  <Override PartName="/xl/activeX/activeX163.xml" ContentType="application/vnd.ms-office.activeX+xml"/>
  <Override PartName="/xl/activeX/activeX163.bin" ContentType="application/vnd.ms-office.activeX"/>
  <Override PartName="/xl/drawings/drawing35.xml" ContentType="application/vnd.openxmlformats-officedocument.drawing+xml"/>
  <Override PartName="/xl/activeX/activeX164.xml" ContentType="application/vnd.ms-office.activeX+xml"/>
  <Override PartName="/xl/activeX/activeX164.bin" ContentType="application/vnd.ms-office.activeX"/>
  <Override PartName="/xl/drawings/drawing36.xml" ContentType="application/vnd.openxmlformats-officedocument.drawing+xml"/>
  <Override PartName="/xl/activeX/activeX165.xml" ContentType="application/vnd.ms-office.activeX+xml"/>
  <Override PartName="/xl/activeX/activeX165.bin" ContentType="application/vnd.ms-office.activeX"/>
  <Override PartName="/xl/drawings/drawing37.xml" ContentType="application/vnd.openxmlformats-officedocument.drawing+xml"/>
  <Override PartName="/xl/activeX/activeX166.xml" ContentType="application/vnd.ms-office.activeX+xml"/>
  <Override PartName="/xl/activeX/activeX166.bin" ContentType="application/vnd.ms-office.activeX"/>
  <Override PartName="/xl/drawings/drawing38.xml" ContentType="application/vnd.openxmlformats-officedocument.drawing+xml"/>
  <Override PartName="/xl/activeX/activeX167.xml" ContentType="application/vnd.ms-office.activeX+xml"/>
  <Override PartName="/xl/activeX/activeX167.bin" ContentType="application/vnd.ms-office.activeX"/>
  <Override PartName="/xl/drawings/drawing3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Password="872D" lockStructure="1"/>
  <bookViews>
    <workbookView showSheetTabs="0" xWindow="420" yWindow="375" windowWidth="17595" windowHeight="15735" tabRatio="818" firstSheet="4"/>
  </bookViews>
  <sheets>
    <sheet name="Control page" sheetId="1" r:id="rId1"/>
    <sheet name="Plant general info" sheetId="29845" r:id="rId2"/>
    <sheet name="Process Heating Equipment" sheetId="29847" r:id="rId3"/>
    <sheet name="PHASTEx summary report" sheetId="29848" r:id="rId4"/>
    <sheet name="Sankey Diagram" sheetId="29864" r:id="rId5"/>
    <sheet name="Energy Usage Distribution" sheetId="29850" r:id="rId6"/>
    <sheet name="Energy Usage Distribution pg2" sheetId="29862" r:id="rId7"/>
    <sheet name="Notes On Current v Modified" sheetId="29863" r:id="rId8"/>
    <sheet name="Load Charge Solid-1" sheetId="29844" r:id="rId9"/>
    <sheet name="Load Charge Liquid-1" sheetId="29831" r:id="rId10"/>
    <sheet name="Load Charge Gas-1" sheetId="29834" r:id="rId11"/>
    <sheet name="Fixture losses " sheetId="29838" r:id="rId12"/>
    <sheet name="Wall losses" sheetId="9" r:id="rId13"/>
    <sheet name="Water-Air cooling" sheetId="29839" r:id="rId14"/>
    <sheet name="Atmosphere losses" sheetId="29840" r:id="rId15"/>
    <sheet name="Cp calculationsHTcurrent" sheetId="29868" state="hidden" r:id="rId16"/>
    <sheet name="Cp calculationsHTmod" sheetId="29869" state="hidden" r:id="rId17"/>
    <sheet name="Radiation losses from opening" sheetId="11" r:id="rId18"/>
    <sheet name="8- Power- Motor driven  systems" sheetId="21" r:id="rId19"/>
    <sheet name="9- Other heat loss" sheetId="19" r:id="rId20"/>
    <sheet name="Flue gases" sheetId="29843" r:id="rId21"/>
    <sheet name="Av.Ht.Solid - current " sheetId="29866" state="hidden" r:id="rId22"/>
    <sheet name="Av.Ht.Solid - modified" sheetId="29867" state="hidden" r:id="rId23"/>
    <sheet name="Data Input &amp; RESULTS " sheetId="29865" state="hidden" r:id="rId24"/>
    <sheet name="Data-Results vol current " sheetId="29871" state="hidden" r:id="rId25"/>
    <sheet name="Calculations - vol current" sheetId="29872" state="hidden" r:id="rId26"/>
    <sheet name="Cp calculations  (2)" sheetId="29873" state="hidden" r:id="rId27"/>
    <sheet name="Data-Results vol mod " sheetId="29874" state="hidden" r:id="rId28"/>
    <sheet name="Calculations vol mod" sheetId="29875" state="hidden" r:id="rId29"/>
    <sheet name="Cp calculations  (3)" sheetId="29876" state="hidden" r:id="rId30"/>
    <sheet name="radiation_vf" sheetId="27" r:id="rId31"/>
    <sheet name="unit conversion" sheetId="29842" state="hidden" r:id="rId32"/>
    <sheet name="Help Chg Solid" sheetId="29851" r:id="rId33"/>
    <sheet name="Help Chg Liquid" sheetId="29852" r:id="rId34"/>
    <sheet name="Help Chg Gas" sheetId="29853" r:id="rId35"/>
    <sheet name="Help Fixtures" sheetId="29854" r:id="rId36"/>
    <sheet name="Help Atmos Loss" sheetId="29855" r:id="rId37"/>
    <sheet name="Help Water Cooling" sheetId="29856" r:id="rId38"/>
    <sheet name="Help Wall Losses" sheetId="29857" r:id="rId39"/>
    <sheet name="Help Opening Losses" sheetId="29858" r:id="rId40"/>
    <sheet name="Help Other Losses" sheetId="29859" r:id="rId41"/>
    <sheet name="Help Flue Gas " sheetId="29860" r:id="rId42"/>
    <sheet name="Help Power" sheetId="29861" r:id="rId43"/>
    <sheet name="Cp calculations " sheetId="23" state="hidden" r:id="rId44"/>
    <sheet name="gas atm specific heat (3)" sheetId="29841" state="hidden" r:id="rId45"/>
    <sheet name="MaterialHeatData" sheetId="29837" state="hidden" r:id="rId46"/>
    <sheet name="What is PHAST" sheetId="29809" r:id="rId47"/>
  </sheets>
  <definedNames>
    <definedName name="Air_cooling_loops">#REF!</definedName>
    <definedName name="Clinker_bed_cooling_and_other_air">#REF!</definedName>
    <definedName name="Clinker_discharge">#REF!</definedName>
    <definedName name="Exhaust___flue_gases_losses">#REF!</definedName>
    <definedName name="Fuel___energy_input">#REF!</definedName>
    <definedName name="Heat_input_to_charge_material">#REF!</definedName>
    <definedName name="Kiln_shell_wall_heat_losses">#REF!</definedName>
    <definedName name="Other_heat_loss_or_generation__unaccounted_if_known">#REF!</definedName>
    <definedName name="Other_or_waste_products_discharge">#REF!</definedName>
    <definedName name="Power__electric_motor_driven_systems">#REF!</definedName>
    <definedName name="_xlnm.Print_Area" localSheetId="18">'8- Power- Motor driven  systems'!$B$1:$E$104</definedName>
    <definedName name="_xlnm.Print_Area" localSheetId="19">'9- Other heat loss'!$C$1:$F$76</definedName>
    <definedName name="_xlnm.Print_Area" localSheetId="14">'Atmosphere losses'!$B$1:$E$60</definedName>
    <definedName name="_xlnm.Print_Area" localSheetId="11">'Fixture losses '!$B$1:$E$74</definedName>
    <definedName name="_xlnm.Print_Area" localSheetId="20">'Flue gases'!$B$1:$E$102</definedName>
    <definedName name="_xlnm.Print_Area" localSheetId="10">'Load Charge Gas-1'!$C$1:$F$114</definedName>
    <definedName name="_xlnm.Print_Area" localSheetId="9">'Load Charge Liquid-1'!$C$1:$F$128</definedName>
    <definedName name="_xlnm.Print_Area" localSheetId="8">'Load Charge Solid-1'!$C$1:$F$165</definedName>
    <definedName name="_xlnm.Print_Area" localSheetId="7">'Notes On Current v Modified'!$B$1:$G$67</definedName>
    <definedName name="_xlnm.Print_Area" localSheetId="17">'Radiation losses from opening'!$B$24:$E$168</definedName>
    <definedName name="_xlnm.Print_Area" localSheetId="4">'Sankey Diagram'!$B$4:$Q$39</definedName>
    <definedName name="_xlnm.Print_Area" localSheetId="12">'Wall losses'!$B$1:$E$138</definedName>
    <definedName name="_xlnm.Print_Area" localSheetId="13">'Water-Air cooling'!$B$1:$E$242</definedName>
    <definedName name="Radiation_Losses_from_Openings">#REF!</definedName>
    <definedName name="Water_cooling_loops">#REF!</definedName>
  </definedNames>
  <calcPr calcId="145621"/>
</workbook>
</file>

<file path=xl/calcChain.xml><?xml version="1.0" encoding="utf-8"?>
<calcChain xmlns="http://schemas.openxmlformats.org/spreadsheetml/2006/main">
  <c r="E45" i="29863" l="1"/>
  <c r="E40" i="29848" l="1"/>
  <c r="D29" i="29847" l="1"/>
  <c r="H6" i="29848" l="1"/>
  <c r="E26" i="29847" l="1"/>
  <c r="E43" i="29848" l="1"/>
  <c r="H19" i="21" l="1"/>
  <c r="D41" i="29848" l="1"/>
  <c r="D38" i="29848"/>
  <c r="D32" i="29848" l="1"/>
  <c r="D34" i="29848" l="1"/>
  <c r="F6" i="29831" l="1"/>
  <c r="E89" i="29831" l="1"/>
  <c r="E88" i="29831"/>
  <c r="E87" i="29831"/>
  <c r="E86" i="29831"/>
  <c r="K91" i="29831"/>
  <c r="K92" i="29831"/>
  <c r="K93" i="29831"/>
  <c r="K90" i="29831"/>
  <c r="E50" i="29831"/>
  <c r="E49" i="29831"/>
  <c r="E48" i="29831"/>
  <c r="E47" i="29831"/>
  <c r="K52" i="29831"/>
  <c r="K53" i="29831"/>
  <c r="K54" i="29831"/>
  <c r="K51" i="29831"/>
  <c r="E11" i="29831"/>
  <c r="E10" i="29831"/>
  <c r="E9" i="29831"/>
  <c r="E8" i="29831"/>
  <c r="K13" i="29831"/>
  <c r="K14" i="29831"/>
  <c r="K15" i="29831"/>
  <c r="K12" i="29831"/>
  <c r="K115" i="29844"/>
  <c r="K116" i="29844"/>
  <c r="K117" i="29844"/>
  <c r="K114" i="29844"/>
  <c r="K64" i="29844"/>
  <c r="K65" i="29844"/>
  <c r="K66" i="29844"/>
  <c r="K63" i="29844"/>
  <c r="K13" i="29844"/>
  <c r="K14" i="29844"/>
  <c r="K15" i="29844"/>
  <c r="K12" i="29844"/>
  <c r="E38" i="11" l="1"/>
  <c r="G30" i="19" l="1"/>
  <c r="F150" i="11"/>
  <c r="F129" i="11"/>
  <c r="F108" i="11"/>
  <c r="F87" i="11"/>
  <c r="F66" i="11"/>
  <c r="F45" i="11"/>
  <c r="D6" i="29848" l="1"/>
  <c r="O24" i="27" l="1"/>
  <c r="O15" i="27"/>
  <c r="E6" i="29843" l="1"/>
  <c r="F12" i="29843"/>
  <c r="L12" i="29840" l="1"/>
  <c r="E40" i="29840"/>
  <c r="E29" i="29840"/>
  <c r="E17" i="29840"/>
  <c r="E6" i="29840"/>
  <c r="F74" i="29834" l="1"/>
  <c r="F40" i="29834"/>
  <c r="F6" i="29834"/>
  <c r="F84" i="29831" l="1"/>
  <c r="F45" i="29831"/>
  <c r="F108" i="29844" l="1"/>
  <c r="F57" i="29844"/>
  <c r="F6" i="29844"/>
  <c r="D47" i="29848" l="1"/>
  <c r="Z10" i="29864"/>
  <c r="I44" i="29850" s="1"/>
  <c r="R11" i="29850"/>
  <c r="F10" i="29863" s="1"/>
  <c r="R10" i="29850"/>
  <c r="F38" i="9"/>
  <c r="F50" i="9"/>
  <c r="F62" i="9"/>
  <c r="F74" i="9"/>
  <c r="F86" i="9"/>
  <c r="F98" i="9"/>
  <c r="F110" i="9"/>
  <c r="F122" i="9"/>
  <c r="F26" i="9"/>
  <c r="F14" i="9"/>
  <c r="G15" i="19"/>
  <c r="F34" i="19"/>
  <c r="F37" i="19" s="1"/>
  <c r="F35" i="19"/>
  <c r="F19" i="19"/>
  <c r="F22" i="19" s="1"/>
  <c r="F17" i="19" s="1"/>
  <c r="F20" i="19"/>
  <c r="D44" i="29848"/>
  <c r="Z9" i="29864"/>
  <c r="G27" i="29848"/>
  <c r="E61" i="9"/>
  <c r="M61" i="9" s="1"/>
  <c r="E121" i="9"/>
  <c r="M121" i="9" s="1"/>
  <c r="D121" i="9"/>
  <c r="L121" i="9" s="1"/>
  <c r="E109" i="9"/>
  <c r="M109" i="9" s="1"/>
  <c r="D109" i="9"/>
  <c r="L109" i="9" s="1"/>
  <c r="E97" i="9"/>
  <c r="M97" i="9" s="1"/>
  <c r="D97" i="9"/>
  <c r="L97" i="9" s="1"/>
  <c r="E85" i="9"/>
  <c r="M85" i="9" s="1"/>
  <c r="D85" i="9"/>
  <c r="L85" i="9" s="1"/>
  <c r="E73" i="9"/>
  <c r="M73" i="9" s="1"/>
  <c r="D73" i="9"/>
  <c r="L73" i="9" s="1"/>
  <c r="D61" i="9"/>
  <c r="L61" i="9" s="1"/>
  <c r="E49" i="9"/>
  <c r="M49" i="9" s="1"/>
  <c r="D49" i="9"/>
  <c r="L49" i="9" s="1"/>
  <c r="E37" i="9"/>
  <c r="M37" i="9" s="1"/>
  <c r="D37" i="9"/>
  <c r="L37" i="9" s="1"/>
  <c r="E25" i="9"/>
  <c r="M25" i="9" s="1"/>
  <c r="D25" i="9"/>
  <c r="L25" i="9" s="1"/>
  <c r="E13" i="9"/>
  <c r="M13" i="9" s="1"/>
  <c r="F124" i="9"/>
  <c r="F112" i="9"/>
  <c r="F100" i="9"/>
  <c r="F88" i="9"/>
  <c r="F76" i="9"/>
  <c r="F64" i="9"/>
  <c r="F40" i="9"/>
  <c r="F28" i="9"/>
  <c r="F16" i="9"/>
  <c r="D13" i="9"/>
  <c r="L13" i="9" s="1"/>
  <c r="E97" i="19"/>
  <c r="F96" i="19"/>
  <c r="E96" i="19"/>
  <c r="E13" i="29848"/>
  <c r="H13" i="29848" s="1"/>
  <c r="I47" i="19"/>
  <c r="J47" i="19" s="1"/>
  <c r="S97" i="19"/>
  <c r="R97" i="19"/>
  <c r="Q97" i="19"/>
  <c r="F102" i="19"/>
  <c r="E102" i="19"/>
  <c r="F99" i="19"/>
  <c r="E99" i="19"/>
  <c r="F97" i="19"/>
  <c r="E35" i="19"/>
  <c r="E34" i="19"/>
  <c r="E37" i="19" s="1"/>
  <c r="E32" i="19" s="1"/>
  <c r="E20" i="19"/>
  <c r="E19" i="19"/>
  <c r="E22" i="19" s="1"/>
  <c r="K145" i="11"/>
  <c r="K144" i="11"/>
  <c r="J145" i="11"/>
  <c r="J144" i="11"/>
  <c r="E143" i="11"/>
  <c r="K143" i="11" s="1"/>
  <c r="D143" i="11"/>
  <c r="J143" i="11" s="1"/>
  <c r="E122" i="11"/>
  <c r="K122" i="11" s="1"/>
  <c r="D122" i="11"/>
  <c r="J122" i="11" s="1"/>
  <c r="E101" i="11"/>
  <c r="K101" i="11" s="1"/>
  <c r="D101" i="11"/>
  <c r="J101" i="11" s="1"/>
  <c r="E80" i="11"/>
  <c r="K80" i="11" s="1"/>
  <c r="D80" i="11"/>
  <c r="J80" i="11" s="1"/>
  <c r="E59" i="11"/>
  <c r="K59" i="11" s="1"/>
  <c r="D59" i="11"/>
  <c r="J59" i="11" s="1"/>
  <c r="K38" i="11"/>
  <c r="D38" i="11"/>
  <c r="J38" i="11" s="1"/>
  <c r="M34" i="9"/>
  <c r="M9" i="9"/>
  <c r="M82" i="9"/>
  <c r="M70" i="9"/>
  <c r="M58" i="9"/>
  <c r="M46" i="9"/>
  <c r="M94" i="9"/>
  <c r="M106" i="9"/>
  <c r="M118" i="9"/>
  <c r="M117" i="9"/>
  <c r="M105" i="9"/>
  <c r="M93" i="9"/>
  <c r="M81" i="9"/>
  <c r="M69" i="9"/>
  <c r="M57" i="9"/>
  <c r="M45" i="9"/>
  <c r="D25" i="29872"/>
  <c r="B4" i="29865"/>
  <c r="M9" i="29843"/>
  <c r="R7" i="29843" s="1"/>
  <c r="L9" i="29843"/>
  <c r="R5" i="29843" s="1"/>
  <c r="M5" i="29843"/>
  <c r="O7" i="29843" s="1"/>
  <c r="L5" i="29843"/>
  <c r="O5" i="29843" s="1"/>
  <c r="M119" i="9"/>
  <c r="L119" i="9"/>
  <c r="M107" i="9"/>
  <c r="L107" i="9"/>
  <c r="M95" i="9"/>
  <c r="L95" i="9"/>
  <c r="M83" i="9"/>
  <c r="L83" i="9"/>
  <c r="M71" i="9"/>
  <c r="L71" i="9"/>
  <c r="M59" i="9"/>
  <c r="L59" i="9"/>
  <c r="M47" i="9"/>
  <c r="L47" i="9"/>
  <c r="M35" i="9"/>
  <c r="L35" i="9"/>
  <c r="M23" i="9"/>
  <c r="L23" i="9"/>
  <c r="M11" i="9"/>
  <c r="L11" i="9"/>
  <c r="K127" i="11"/>
  <c r="K126" i="11"/>
  <c r="K125" i="11"/>
  <c r="K124" i="11"/>
  <c r="K123" i="11"/>
  <c r="J124" i="11"/>
  <c r="J123" i="11"/>
  <c r="K104" i="11"/>
  <c r="K103" i="11"/>
  <c r="K102" i="11"/>
  <c r="J103" i="11"/>
  <c r="J102" i="11"/>
  <c r="K82" i="11"/>
  <c r="K81" i="11"/>
  <c r="J82" i="11"/>
  <c r="J81" i="11"/>
  <c r="J61" i="11"/>
  <c r="K60" i="11"/>
  <c r="K61" i="11"/>
  <c r="J60" i="11"/>
  <c r="K40" i="11"/>
  <c r="K39" i="11"/>
  <c r="J40" i="11"/>
  <c r="J39" i="11"/>
  <c r="E207" i="29839"/>
  <c r="E208" i="29839" s="1"/>
  <c r="E210" i="29839" s="1"/>
  <c r="E216" i="29839"/>
  <c r="E213" i="29839"/>
  <c r="E183" i="29839"/>
  <c r="E184" i="29839" s="1"/>
  <c r="E182" i="29839"/>
  <c r="D183" i="29839"/>
  <c r="D184" i="29839" s="1"/>
  <c r="D182" i="29839"/>
  <c r="E168" i="29839"/>
  <c r="E169" i="29839" s="1"/>
  <c r="E171" i="29839" s="1"/>
  <c r="E145" i="29839"/>
  <c r="E146" i="29839" s="1"/>
  <c r="E144" i="29839"/>
  <c r="D145" i="29839"/>
  <c r="D146" i="29839" s="1"/>
  <c r="D144" i="29839"/>
  <c r="E130" i="29839"/>
  <c r="E131" i="29839" s="1"/>
  <c r="E133" i="29839" s="1"/>
  <c r="E107" i="29839"/>
  <c r="E108" i="29839" s="1"/>
  <c r="E106" i="29839"/>
  <c r="D106" i="29839"/>
  <c r="D107" i="29839"/>
  <c r="D108" i="29839" s="1"/>
  <c r="E94" i="29839"/>
  <c r="D100" i="29839"/>
  <c r="E100" i="29839" s="1"/>
  <c r="E69" i="29839"/>
  <c r="E70" i="29839" s="1"/>
  <c r="D69" i="29839"/>
  <c r="D70" i="29839" s="1"/>
  <c r="E68" i="29839"/>
  <c r="D68" i="29839"/>
  <c r="D62" i="29839"/>
  <c r="E62" i="29839" s="1"/>
  <c r="L30" i="29839"/>
  <c r="L29" i="29839"/>
  <c r="L28" i="29839"/>
  <c r="S65" i="29873"/>
  <c r="U61" i="29873"/>
  <c r="T61" i="29873"/>
  <c r="S61" i="29873"/>
  <c r="N67" i="29873"/>
  <c r="O66" i="29873"/>
  <c r="Q66" i="29873" s="1"/>
  <c r="O65" i="29873"/>
  <c r="P65" i="29873"/>
  <c r="E32" i="29839"/>
  <c r="E33" i="29839" s="1"/>
  <c r="E31" i="29839"/>
  <c r="D32" i="29839"/>
  <c r="D33" i="29839" s="1"/>
  <c r="D31" i="29839"/>
  <c r="Q65" i="29873"/>
  <c r="P66" i="29873"/>
  <c r="R66" i="29873" s="1"/>
  <c r="L5" i="29840"/>
  <c r="L11" i="29840"/>
  <c r="L9" i="29840"/>
  <c r="L8" i="29840"/>
  <c r="M22" i="9"/>
  <c r="M21" i="9"/>
  <c r="M33" i="9"/>
  <c r="M10" i="9"/>
  <c r="L118" i="9"/>
  <c r="L117" i="9"/>
  <c r="L106" i="9"/>
  <c r="L105" i="9"/>
  <c r="L94" i="9"/>
  <c r="L93" i="9"/>
  <c r="L82" i="9"/>
  <c r="L81" i="9"/>
  <c r="L70" i="9"/>
  <c r="L69" i="9"/>
  <c r="L58" i="9"/>
  <c r="L57" i="9"/>
  <c r="L46" i="9"/>
  <c r="L45" i="9"/>
  <c r="L34" i="9"/>
  <c r="L33" i="9"/>
  <c r="L22" i="9"/>
  <c r="L21" i="9"/>
  <c r="L10" i="9"/>
  <c r="L9" i="9"/>
  <c r="B25" i="29872"/>
  <c r="C41" i="29864"/>
  <c r="X44" i="29844"/>
  <c r="X43" i="29844"/>
  <c r="X42" i="29844"/>
  <c r="X41" i="29844"/>
  <c r="X40" i="29844"/>
  <c r="X39" i="29844"/>
  <c r="X38" i="29844"/>
  <c r="X37" i="29844"/>
  <c r="X36" i="29844"/>
  <c r="X35" i="29844"/>
  <c r="X34" i="29844"/>
  <c r="X33" i="29844"/>
  <c r="X32" i="29844"/>
  <c r="X31" i="29844"/>
  <c r="X30" i="29844"/>
  <c r="X29" i="29844"/>
  <c r="W44" i="29844"/>
  <c r="W43" i="29844"/>
  <c r="W42" i="29844"/>
  <c r="W41" i="29844"/>
  <c r="W40" i="29844"/>
  <c r="W39" i="29844"/>
  <c r="W38" i="29844"/>
  <c r="W37" i="29844"/>
  <c r="W36" i="29844"/>
  <c r="W35" i="29844"/>
  <c r="W34" i="29844"/>
  <c r="W33" i="29844"/>
  <c r="W32" i="29844"/>
  <c r="W31" i="29844"/>
  <c r="W30" i="29844"/>
  <c r="W29" i="29844"/>
  <c r="V44" i="29844"/>
  <c r="V43" i="29844"/>
  <c r="V42" i="29844"/>
  <c r="V41" i="29844"/>
  <c r="V40" i="29844"/>
  <c r="V39" i="29844"/>
  <c r="V38" i="29844"/>
  <c r="V37" i="29844"/>
  <c r="V36" i="29844"/>
  <c r="V35" i="29844"/>
  <c r="V34" i="29844"/>
  <c r="V33" i="29844"/>
  <c r="V32" i="29844"/>
  <c r="V31" i="29844"/>
  <c r="V30" i="29844"/>
  <c r="V29" i="29844"/>
  <c r="T43" i="29844"/>
  <c r="T42" i="29844"/>
  <c r="T41" i="29844"/>
  <c r="T40" i="29844"/>
  <c r="T39" i="29844"/>
  <c r="T38" i="29844"/>
  <c r="T37" i="29844"/>
  <c r="T36" i="29844"/>
  <c r="T35" i="29844"/>
  <c r="T34" i="29844"/>
  <c r="T33" i="29844"/>
  <c r="T32" i="29844"/>
  <c r="T31" i="29844"/>
  <c r="T30" i="29844"/>
  <c r="T29" i="29844"/>
  <c r="S44" i="29844"/>
  <c r="S43" i="29844"/>
  <c r="S42" i="29844"/>
  <c r="S41" i="29844"/>
  <c r="S39" i="29844"/>
  <c r="S38" i="29844"/>
  <c r="S37" i="29844"/>
  <c r="S36" i="29844"/>
  <c r="S35" i="29844"/>
  <c r="S34" i="29844"/>
  <c r="S33" i="29844"/>
  <c r="S32" i="29844"/>
  <c r="S31" i="29844"/>
  <c r="S30" i="29844"/>
  <c r="S29" i="29844"/>
  <c r="W14" i="29834"/>
  <c r="W13" i="29834"/>
  <c r="W12" i="29834"/>
  <c r="W11" i="29834"/>
  <c r="W10" i="29834"/>
  <c r="W9" i="29834"/>
  <c r="W8" i="29834"/>
  <c r="W7" i="29834"/>
  <c r="W6" i="29834"/>
  <c r="V14" i="29834"/>
  <c r="V13" i="29834"/>
  <c r="V12" i="29834"/>
  <c r="V11" i="29834"/>
  <c r="V10" i="29834"/>
  <c r="V9" i="29834"/>
  <c r="V8" i="29834"/>
  <c r="V7" i="29834"/>
  <c r="V6" i="29834"/>
  <c r="S13" i="29834"/>
  <c r="S12" i="29834"/>
  <c r="S11" i="29834"/>
  <c r="S10" i="29834"/>
  <c r="S9" i="29834"/>
  <c r="E8" i="29834" s="1"/>
  <c r="F8" i="29834" s="1"/>
  <c r="S8" i="29834"/>
  <c r="S7" i="29834"/>
  <c r="S6" i="29834"/>
  <c r="E42" i="29834" s="1"/>
  <c r="F42" i="29834" s="1"/>
  <c r="W5" i="29834"/>
  <c r="V5" i="29834"/>
  <c r="S5" i="29834"/>
  <c r="X18" i="29831"/>
  <c r="X17" i="29831"/>
  <c r="X16" i="29831"/>
  <c r="X15" i="29831"/>
  <c r="X14" i="29831"/>
  <c r="X13" i="29831"/>
  <c r="X12" i="29831"/>
  <c r="X11" i="29831"/>
  <c r="X10" i="29831"/>
  <c r="X9" i="29831"/>
  <c r="X8" i="29831"/>
  <c r="X7" i="29831"/>
  <c r="X6" i="29831"/>
  <c r="W18" i="29831"/>
  <c r="W17" i="29831"/>
  <c r="W16" i="29831"/>
  <c r="W15" i="29831"/>
  <c r="W14" i="29831"/>
  <c r="W13" i="29831"/>
  <c r="W12" i="29831"/>
  <c r="W11" i="29831"/>
  <c r="W10" i="29831"/>
  <c r="W9" i="29831"/>
  <c r="W8" i="29831"/>
  <c r="W7" i="29831"/>
  <c r="W6" i="29831"/>
  <c r="V18" i="29831"/>
  <c r="V17" i="29831"/>
  <c r="V16" i="29831"/>
  <c r="V15" i="29831"/>
  <c r="V14" i="29831"/>
  <c r="V13" i="29831"/>
  <c r="V12" i="29831"/>
  <c r="V11" i="29831"/>
  <c r="V10" i="29831"/>
  <c r="V9" i="29831"/>
  <c r="V8" i="29831"/>
  <c r="V7" i="29831"/>
  <c r="V6" i="29831"/>
  <c r="T18" i="29831"/>
  <c r="T17" i="29831"/>
  <c r="T16" i="29831"/>
  <c r="T15" i="29831"/>
  <c r="T14" i="29831"/>
  <c r="T13" i="29831"/>
  <c r="T12" i="29831"/>
  <c r="T11" i="29831"/>
  <c r="T10" i="29831"/>
  <c r="T9" i="29831"/>
  <c r="T8" i="29831"/>
  <c r="T7" i="29831"/>
  <c r="T6" i="29831"/>
  <c r="S18" i="29831"/>
  <c r="S17" i="29831"/>
  <c r="S16" i="29831"/>
  <c r="S15" i="29831"/>
  <c r="S14" i="29831"/>
  <c r="S13" i="29831"/>
  <c r="S12" i="29831"/>
  <c r="F47" i="29831"/>
  <c r="S11" i="29831"/>
  <c r="S10" i="29831"/>
  <c r="S9" i="29831"/>
  <c r="S8" i="29831"/>
  <c r="S7" i="29831"/>
  <c r="F8" i="29831"/>
  <c r="S6" i="29831"/>
  <c r="R14" i="29831"/>
  <c r="R12" i="29831"/>
  <c r="R6" i="29831"/>
  <c r="X5" i="29831"/>
  <c r="W5" i="29831"/>
  <c r="V5" i="29831"/>
  <c r="T5" i="29831"/>
  <c r="F88" i="29831" s="1"/>
  <c r="S5" i="29831"/>
  <c r="Y4" i="29834"/>
  <c r="Z4" i="29834"/>
  <c r="U4" i="29834"/>
  <c r="R4" i="29834"/>
  <c r="R5" i="29834" s="1"/>
  <c r="Y4" i="29831"/>
  <c r="Y5" i="29831" s="1"/>
  <c r="U4" i="29831"/>
  <c r="U12" i="29831" s="1"/>
  <c r="R4" i="29831"/>
  <c r="R17" i="29831"/>
  <c r="X28" i="29844"/>
  <c r="X27" i="29844"/>
  <c r="X26" i="29844"/>
  <c r="X25" i="29844"/>
  <c r="X24" i="29844"/>
  <c r="X23" i="29844"/>
  <c r="X22" i="29844"/>
  <c r="X21" i="29844"/>
  <c r="X20" i="29844"/>
  <c r="X19" i="29844"/>
  <c r="X18" i="29844"/>
  <c r="X17" i="29844"/>
  <c r="X16" i="29844"/>
  <c r="X15" i="29844"/>
  <c r="X14" i="29844"/>
  <c r="X13" i="29844"/>
  <c r="X12" i="29844"/>
  <c r="X11" i="29844"/>
  <c r="X10" i="29844"/>
  <c r="X9" i="29844"/>
  <c r="X8" i="29844"/>
  <c r="X7" i="29844"/>
  <c r="X6" i="29844"/>
  <c r="X5" i="29844"/>
  <c r="W28" i="29844"/>
  <c r="W27" i="29844"/>
  <c r="W26" i="29844"/>
  <c r="W25" i="29844"/>
  <c r="W24" i="29844"/>
  <c r="W23" i="29844"/>
  <c r="W22" i="29844"/>
  <c r="W21" i="29844"/>
  <c r="W20" i="29844"/>
  <c r="W19" i="29844"/>
  <c r="W18" i="29844"/>
  <c r="W17" i="29844"/>
  <c r="W16" i="29844"/>
  <c r="W15" i="29844"/>
  <c r="W14" i="29844"/>
  <c r="W13" i="29844"/>
  <c r="W12" i="29844"/>
  <c r="W11" i="29844"/>
  <c r="W10" i="29844"/>
  <c r="W9" i="29844"/>
  <c r="W8" i="29844"/>
  <c r="W7" i="29844"/>
  <c r="W6" i="29844"/>
  <c r="W5" i="29844"/>
  <c r="V28" i="29844"/>
  <c r="V27" i="29844"/>
  <c r="V26" i="29844"/>
  <c r="V25" i="29844"/>
  <c r="V24" i="29844"/>
  <c r="V23" i="29844"/>
  <c r="V22" i="29844"/>
  <c r="V21" i="29844"/>
  <c r="V20" i="29844"/>
  <c r="V19" i="29844"/>
  <c r="V18" i="29844"/>
  <c r="V17" i="29844"/>
  <c r="V16" i="29844"/>
  <c r="V15" i="29844"/>
  <c r="V14" i="29844"/>
  <c r="V13" i="29844"/>
  <c r="V12" i="29844"/>
  <c r="V11" i="29844"/>
  <c r="V10" i="29844"/>
  <c r="V9" i="29844"/>
  <c r="V8" i="29844"/>
  <c r="V7" i="29844"/>
  <c r="V6" i="29844"/>
  <c r="V5" i="29844"/>
  <c r="T28" i="29844"/>
  <c r="T27" i="29844"/>
  <c r="T26" i="29844"/>
  <c r="T25" i="29844"/>
  <c r="T24" i="29844"/>
  <c r="T23" i="29844"/>
  <c r="T22" i="29844"/>
  <c r="T21" i="29844"/>
  <c r="T20" i="29844"/>
  <c r="T19" i="29844"/>
  <c r="T18" i="29844"/>
  <c r="T17" i="29844"/>
  <c r="T16" i="29844"/>
  <c r="T15" i="29844"/>
  <c r="T14" i="29844"/>
  <c r="T13" i="29844"/>
  <c r="T12" i="29844"/>
  <c r="T11" i="29844"/>
  <c r="T10" i="29844"/>
  <c r="T9" i="29844"/>
  <c r="T8" i="29844"/>
  <c r="T7" i="29844"/>
  <c r="T6" i="29844"/>
  <c r="T5" i="29844"/>
  <c r="S28" i="29844"/>
  <c r="S27" i="29844"/>
  <c r="S26" i="29844"/>
  <c r="S25" i="29844"/>
  <c r="S24" i="29844"/>
  <c r="S23" i="29844"/>
  <c r="S22" i="29844"/>
  <c r="S21" i="29844"/>
  <c r="S20" i="29844"/>
  <c r="S19" i="29844"/>
  <c r="S18" i="29844"/>
  <c r="S16" i="29844"/>
  <c r="S15" i="29844"/>
  <c r="S14" i="29844"/>
  <c r="S13" i="29844"/>
  <c r="S12" i="29844"/>
  <c r="S11" i="29844"/>
  <c r="S10" i="29844"/>
  <c r="S9" i="29844"/>
  <c r="S8" i="29844"/>
  <c r="S7" i="29844"/>
  <c r="S6" i="29844"/>
  <c r="S5" i="29844"/>
  <c r="D8" i="29848"/>
  <c r="D7" i="29848"/>
  <c r="B9" i="29874"/>
  <c r="G25" i="29875" s="1"/>
  <c r="B10" i="29874"/>
  <c r="G26" i="29875" s="1"/>
  <c r="B11" i="29874"/>
  <c r="G27" i="29875" s="1"/>
  <c r="B12" i="29874"/>
  <c r="G28" i="29875" s="1"/>
  <c r="B13" i="29874"/>
  <c r="G29" i="29875" s="1"/>
  <c r="B14" i="29874"/>
  <c r="G30" i="29875" s="1"/>
  <c r="B15" i="29874"/>
  <c r="G31" i="29875" s="1"/>
  <c r="B16" i="29874"/>
  <c r="G32" i="29875" s="1"/>
  <c r="B17" i="29874"/>
  <c r="G33" i="29875" s="1"/>
  <c r="B18" i="29874"/>
  <c r="G34" i="29875" s="1"/>
  <c r="B19" i="29874"/>
  <c r="G35" i="29875" s="1"/>
  <c r="C25" i="29874"/>
  <c r="C52" i="29875" s="1"/>
  <c r="C6" i="29865"/>
  <c r="C68" i="29866" s="1"/>
  <c r="L68" i="29866" s="1"/>
  <c r="C7" i="29865"/>
  <c r="C69" i="29866" s="1"/>
  <c r="L69" i="29866" s="1"/>
  <c r="C8" i="29865"/>
  <c r="C70" i="29867" s="1"/>
  <c r="C9" i="29865"/>
  <c r="C71" i="29866" s="1"/>
  <c r="L71" i="29866" s="1"/>
  <c r="C10" i="29865"/>
  <c r="C72" i="29867" s="1"/>
  <c r="I72" i="29867" s="1"/>
  <c r="J72" i="29867" s="1"/>
  <c r="P72" i="29867" s="1"/>
  <c r="C11" i="29865"/>
  <c r="C73" i="29866" s="1"/>
  <c r="C12" i="29865"/>
  <c r="C74" i="29867" s="1"/>
  <c r="D20" i="29865"/>
  <c r="C87" i="29867" s="1"/>
  <c r="D21" i="29865"/>
  <c r="C78" i="29867" s="1"/>
  <c r="D23" i="29865"/>
  <c r="D22" i="29865"/>
  <c r="B9" i="29871"/>
  <c r="G25" i="29872" s="1"/>
  <c r="B10" i="29871"/>
  <c r="G26" i="29872" s="1"/>
  <c r="B11" i="29871"/>
  <c r="G27" i="29872" s="1"/>
  <c r="B12" i="29871"/>
  <c r="G28" i="29872" s="1"/>
  <c r="B13" i="29871"/>
  <c r="G29" i="29872" s="1"/>
  <c r="B14" i="29871"/>
  <c r="G30" i="29872" s="1"/>
  <c r="B15" i="29871"/>
  <c r="G31" i="29872" s="1"/>
  <c r="B16" i="29871"/>
  <c r="G32" i="29872" s="1"/>
  <c r="B17" i="29871"/>
  <c r="G33" i="29872" s="1"/>
  <c r="B18" i="29871"/>
  <c r="G34" i="29872" s="1"/>
  <c r="B19" i="29871"/>
  <c r="G35" i="29872" s="1"/>
  <c r="C25" i="29871"/>
  <c r="C52" i="29872" s="1"/>
  <c r="C20" i="29865"/>
  <c r="C87" i="29866" s="1"/>
  <c r="C21" i="29865"/>
  <c r="C78" i="29866" s="1"/>
  <c r="C23" i="29865"/>
  <c r="C22" i="29865"/>
  <c r="B6" i="29874"/>
  <c r="B6" i="29871"/>
  <c r="E89" i="29843"/>
  <c r="C27" i="29874" s="1"/>
  <c r="C55" i="29875" s="1"/>
  <c r="C3" i="29876" s="1"/>
  <c r="C45" i="29876" s="1"/>
  <c r="D89" i="29843"/>
  <c r="C27" i="29871" s="1"/>
  <c r="C55" i="29872" s="1"/>
  <c r="C3" i="29873" s="1"/>
  <c r="C45" i="29873" s="1"/>
  <c r="E88" i="29843"/>
  <c r="C26" i="29874" s="1"/>
  <c r="C53" i="29875" s="1"/>
  <c r="E83" i="29876" s="1"/>
  <c r="D88" i="29843"/>
  <c r="C26" i="29871" s="1"/>
  <c r="C53" i="29872" s="1"/>
  <c r="P52" i="29873" s="1"/>
  <c r="B3" i="29875"/>
  <c r="H3" i="29875"/>
  <c r="B25" i="29875"/>
  <c r="D25" i="29875"/>
  <c r="E25" i="29875"/>
  <c r="D26" i="29875"/>
  <c r="E26" i="29875"/>
  <c r="AB27" i="29875"/>
  <c r="E28" i="29875"/>
  <c r="AB28" i="29875"/>
  <c r="D29" i="29875"/>
  <c r="E29" i="29875"/>
  <c r="AB29" i="29875"/>
  <c r="D30" i="29875"/>
  <c r="E30" i="29875"/>
  <c r="AB30" i="29875"/>
  <c r="E31" i="29875"/>
  <c r="AB31" i="29875"/>
  <c r="D32" i="29875"/>
  <c r="AB32" i="29875"/>
  <c r="D33" i="29875"/>
  <c r="AB33" i="29875"/>
  <c r="AB35" i="29875"/>
  <c r="B53" i="29875"/>
  <c r="B55" i="29875"/>
  <c r="L76" i="29875"/>
  <c r="AA90" i="29875"/>
  <c r="C8" i="29876"/>
  <c r="C11" i="29876"/>
  <c r="H8" i="29876"/>
  <c r="I8" i="29876"/>
  <c r="H9" i="29876"/>
  <c r="I9" i="29876" s="1"/>
  <c r="J9" i="29876" s="1"/>
  <c r="H11" i="29876"/>
  <c r="I11" i="29876" s="1"/>
  <c r="J11" i="29876" s="1"/>
  <c r="H12" i="29876"/>
  <c r="I12" i="29876"/>
  <c r="J12" i="29876" s="1"/>
  <c r="H14" i="29876"/>
  <c r="I14" i="29876"/>
  <c r="J14" i="29876"/>
  <c r="H15" i="29876"/>
  <c r="I15" i="29876"/>
  <c r="J15" i="29876"/>
  <c r="H17" i="29876"/>
  <c r="I17" i="29876" s="1"/>
  <c r="J17" i="29876" s="1"/>
  <c r="H18" i="29876"/>
  <c r="I18" i="29876" s="1"/>
  <c r="J18" i="29876" s="1"/>
  <c r="C20" i="29876"/>
  <c r="H20" i="29876"/>
  <c r="AA27" i="29875"/>
  <c r="H21" i="29876"/>
  <c r="I21" i="29876" s="1"/>
  <c r="J21" i="29876" s="1"/>
  <c r="H23" i="29876"/>
  <c r="H24" i="29876"/>
  <c r="I24" i="29876" s="1"/>
  <c r="J24" i="29876"/>
  <c r="H26" i="29876"/>
  <c r="I26" i="29876" s="1"/>
  <c r="J26" i="29876" s="1"/>
  <c r="H27" i="29876"/>
  <c r="I27" i="29876"/>
  <c r="J27" i="29876" s="1"/>
  <c r="H29" i="29876"/>
  <c r="I29" i="29876"/>
  <c r="J29" i="29876"/>
  <c r="H30" i="29876"/>
  <c r="I30" i="29876" s="1"/>
  <c r="J30" i="29876"/>
  <c r="H32" i="29876"/>
  <c r="I32" i="29876" s="1"/>
  <c r="J32" i="29876" s="1"/>
  <c r="H33" i="29876"/>
  <c r="I33" i="29876"/>
  <c r="J33" i="29876" s="1"/>
  <c r="H35" i="29876"/>
  <c r="G36" i="29876"/>
  <c r="K36" i="29876"/>
  <c r="H36" i="29876"/>
  <c r="I36" i="29876"/>
  <c r="J36" i="29876"/>
  <c r="H38" i="29876"/>
  <c r="I38" i="29876" s="1"/>
  <c r="J38" i="29876" s="1"/>
  <c r="K38" i="29876"/>
  <c r="G39" i="29876"/>
  <c r="K39" i="29876" s="1"/>
  <c r="H39" i="29876"/>
  <c r="I39" i="29876"/>
  <c r="J39" i="29876"/>
  <c r="H41" i="29876"/>
  <c r="G42" i="29876"/>
  <c r="H42" i="29876"/>
  <c r="C44" i="29876"/>
  <c r="N54" i="29876"/>
  <c r="C57" i="29876"/>
  <c r="E67" i="29876"/>
  <c r="E68" i="29876"/>
  <c r="E69" i="29876" s="1"/>
  <c r="E70" i="29876"/>
  <c r="E71" i="29876" s="1"/>
  <c r="E72" i="29876" s="1"/>
  <c r="E73" i="29876" s="1"/>
  <c r="E74" i="29876" s="1"/>
  <c r="E75" i="29876" s="1"/>
  <c r="E76" i="29876" s="1"/>
  <c r="E77" i="29876" s="1"/>
  <c r="E78" i="29876" s="1"/>
  <c r="E79" i="29876" s="1"/>
  <c r="E80" i="29876" s="1"/>
  <c r="E81" i="29876" s="1"/>
  <c r="C82" i="29843"/>
  <c r="C83" i="29843" s="1"/>
  <c r="B3" i="29872"/>
  <c r="E25" i="29872"/>
  <c r="D26" i="29872"/>
  <c r="E26" i="29872"/>
  <c r="AB27" i="29872"/>
  <c r="E28" i="29872"/>
  <c r="AB28" i="29872"/>
  <c r="D29" i="29872"/>
  <c r="E29" i="29872"/>
  <c r="AB29" i="29872"/>
  <c r="D30" i="29872"/>
  <c r="E30" i="29872"/>
  <c r="AB30" i="29872"/>
  <c r="E31" i="29872"/>
  <c r="AB31" i="29872"/>
  <c r="D32" i="29872"/>
  <c r="AB32" i="29872"/>
  <c r="D33" i="29872"/>
  <c r="AB33" i="29872"/>
  <c r="AB35" i="29872"/>
  <c r="B53" i="29872"/>
  <c r="B55" i="29872"/>
  <c r="L76" i="29872"/>
  <c r="AA90" i="29872"/>
  <c r="C8" i="29873"/>
  <c r="H8" i="29873"/>
  <c r="AD27" i="29872"/>
  <c r="H9" i="29873"/>
  <c r="I9" i="29873"/>
  <c r="J9" i="29873" s="1"/>
  <c r="H11" i="29873"/>
  <c r="AC31" i="29872" s="1"/>
  <c r="H12" i="29873"/>
  <c r="I12" i="29873"/>
  <c r="J12" i="29873" s="1"/>
  <c r="H14" i="29873"/>
  <c r="I14" i="29873"/>
  <c r="J14" i="29873"/>
  <c r="H15" i="29873"/>
  <c r="I15" i="29873" s="1"/>
  <c r="J15" i="29873"/>
  <c r="H17" i="29873"/>
  <c r="I17" i="29873"/>
  <c r="J17" i="29873" s="1"/>
  <c r="H18" i="29873"/>
  <c r="I18" i="29873"/>
  <c r="J18" i="29873"/>
  <c r="C20" i="29873"/>
  <c r="D20" i="29873"/>
  <c r="E20" i="29873"/>
  <c r="G20" i="29873"/>
  <c r="H20" i="29873"/>
  <c r="AA32" i="29872" s="1"/>
  <c r="H21" i="29873"/>
  <c r="I21" i="29873" s="1"/>
  <c r="J21" i="29873"/>
  <c r="H23" i="29873"/>
  <c r="Z27" i="29872" s="1"/>
  <c r="H24" i="29873"/>
  <c r="I24" i="29873"/>
  <c r="J24" i="29873"/>
  <c r="H26" i="29873"/>
  <c r="I26" i="29873" s="1"/>
  <c r="H27" i="29873"/>
  <c r="I27" i="29873"/>
  <c r="J27" i="29873"/>
  <c r="H29" i="29873"/>
  <c r="I29" i="29873"/>
  <c r="H30" i="29873"/>
  <c r="I30" i="29873"/>
  <c r="J30" i="29873" s="1"/>
  <c r="H32" i="29873"/>
  <c r="I32" i="29873"/>
  <c r="H33" i="29873"/>
  <c r="I33" i="29873" s="1"/>
  <c r="J33" i="29873"/>
  <c r="H35" i="29873"/>
  <c r="I35" i="29873" s="1"/>
  <c r="K35" i="29873"/>
  <c r="J35" i="29873"/>
  <c r="G36" i="29873"/>
  <c r="K36" i="29873" s="1"/>
  <c r="L35" i="29873" s="1"/>
  <c r="H36" i="29873"/>
  <c r="H38" i="29873"/>
  <c r="K38" i="29873" s="1"/>
  <c r="G39" i="29873"/>
  <c r="K39" i="29873"/>
  <c r="H39" i="29873"/>
  <c r="H41" i="29873"/>
  <c r="G42" i="29873"/>
  <c r="H42" i="29873"/>
  <c r="AB26" i="29872" s="1"/>
  <c r="C44" i="29873"/>
  <c r="N54" i="29873"/>
  <c r="C57" i="29873"/>
  <c r="E67" i="29873"/>
  <c r="E68" i="29873" s="1"/>
  <c r="E69" i="29873" s="1"/>
  <c r="E70" i="29873"/>
  <c r="E71" i="29873"/>
  <c r="E72" i="29873" s="1"/>
  <c r="E73" i="29873" s="1"/>
  <c r="E74" i="29873" s="1"/>
  <c r="E75" i="29873" s="1"/>
  <c r="E76" i="29873" s="1"/>
  <c r="E77" i="29873" s="1"/>
  <c r="E78" i="29873" s="1"/>
  <c r="E79" i="29873" s="1"/>
  <c r="E80" i="29873" s="1"/>
  <c r="E81" i="29873" s="1"/>
  <c r="L59" i="19"/>
  <c r="L32" i="19"/>
  <c r="L17" i="19"/>
  <c r="F30" i="29844"/>
  <c r="F81" i="29844"/>
  <c r="F87" i="29844" s="1"/>
  <c r="F132" i="29844"/>
  <c r="F138" i="29844" s="1"/>
  <c r="F65" i="29831"/>
  <c r="F66" i="29831" s="1"/>
  <c r="F76" i="29831"/>
  <c r="F104" i="29831"/>
  <c r="F105" i="29831" s="1"/>
  <c r="F86" i="29831"/>
  <c r="E104" i="29831"/>
  <c r="E105" i="29831" s="1"/>
  <c r="F59" i="29834"/>
  <c r="F60" i="29834" s="1"/>
  <c r="F93" i="29834"/>
  <c r="F94" i="29834" s="1"/>
  <c r="E76" i="29834"/>
  <c r="F76" i="29834" s="1"/>
  <c r="F98" i="29834"/>
  <c r="E8" i="29838"/>
  <c r="E13" i="29838" s="1"/>
  <c r="E18" i="29838"/>
  <c r="E23" i="29838" s="1"/>
  <c r="E28" i="29838"/>
  <c r="E33" i="29838" s="1"/>
  <c r="E38" i="29838"/>
  <c r="E43" i="29838" s="1"/>
  <c r="E48" i="29838"/>
  <c r="E53" i="29838" s="1"/>
  <c r="E58" i="29838"/>
  <c r="E63" i="29838" s="1"/>
  <c r="E26" i="29839"/>
  <c r="E76" i="29839"/>
  <c r="E54" i="29839"/>
  <c r="E55" i="29839" s="1"/>
  <c r="E57" i="29839" s="1"/>
  <c r="E74" i="29839"/>
  <c r="E114" i="29839"/>
  <c r="E98" i="29839"/>
  <c r="E101" i="29839"/>
  <c r="E112" i="29839"/>
  <c r="E152" i="29839"/>
  <c r="E136" i="29839"/>
  <c r="E139" i="29839"/>
  <c r="E150" i="29839"/>
  <c r="E190" i="29839"/>
  <c r="E174" i="29839"/>
  <c r="E177" i="29839"/>
  <c r="E188" i="29839"/>
  <c r="E229" i="29839"/>
  <c r="E221" i="29839"/>
  <c r="E222" i="29839"/>
  <c r="E223" i="29839" s="1"/>
  <c r="F115" i="29831"/>
  <c r="F64" i="29834"/>
  <c r="E30" i="29844"/>
  <c r="E31" i="29844" s="1"/>
  <c r="E81" i="29844"/>
  <c r="E82" i="29844" s="1"/>
  <c r="E83" i="29844" s="1"/>
  <c r="E90" i="29844" s="1"/>
  <c r="E132" i="29844"/>
  <c r="E133" i="29844" s="1"/>
  <c r="E134" i="29844" s="1"/>
  <c r="E65" i="29831"/>
  <c r="E66" i="29831" s="1"/>
  <c r="E76" i="29831"/>
  <c r="E59" i="29834"/>
  <c r="E63" i="29834" s="1"/>
  <c r="E93" i="29834"/>
  <c r="E97" i="29834" s="1"/>
  <c r="E98" i="29834"/>
  <c r="D8" i="29838"/>
  <c r="D13" i="29838" s="1"/>
  <c r="D18" i="29838"/>
  <c r="D23" i="29838" s="1"/>
  <c r="D28" i="29838"/>
  <c r="D33" i="29838" s="1"/>
  <c r="D38" i="29838"/>
  <c r="D43" i="29838" s="1"/>
  <c r="D48" i="29838"/>
  <c r="D53" i="29838" s="1"/>
  <c r="D58" i="29838"/>
  <c r="D63" i="29838" s="1"/>
  <c r="D26" i="29839"/>
  <c r="D76" i="29839"/>
  <c r="D54" i="29839"/>
  <c r="D55" i="29839" s="1"/>
  <c r="D57" i="29839" s="1"/>
  <c r="D74" i="29839"/>
  <c r="D114" i="29839"/>
  <c r="D98" i="29839"/>
  <c r="D101" i="29839"/>
  <c r="D112" i="29839"/>
  <c r="D152" i="29839"/>
  <c r="D136" i="29839"/>
  <c r="D137" i="29839" s="1"/>
  <c r="D139" i="29839"/>
  <c r="D150" i="29839"/>
  <c r="D190" i="29839"/>
  <c r="D174" i="29839"/>
  <c r="D177" i="29839"/>
  <c r="D188" i="29839"/>
  <c r="D229" i="29839"/>
  <c r="D221" i="29839"/>
  <c r="D222" i="29839"/>
  <c r="D223" i="29839" s="1"/>
  <c r="E115" i="29831"/>
  <c r="E64" i="29834"/>
  <c r="G13" i="29848"/>
  <c r="D52" i="29843"/>
  <c r="C19" i="29865" s="1"/>
  <c r="C88" i="29866" s="1"/>
  <c r="C9" i="29868" s="1"/>
  <c r="C12" i="29868" s="1"/>
  <c r="E52" i="29843"/>
  <c r="D19" i="29865" s="1"/>
  <c r="C88" i="29867" s="1"/>
  <c r="C9" i="29869" s="1"/>
  <c r="E51" i="29843"/>
  <c r="D18" i="29865" s="1"/>
  <c r="C86" i="29867" s="1"/>
  <c r="E68" i="29869" s="1"/>
  <c r="D51" i="29843"/>
  <c r="C18" i="29865" s="1"/>
  <c r="C86" i="29866" s="1"/>
  <c r="E68" i="29868" s="1"/>
  <c r="F11" i="29866"/>
  <c r="F12" i="29866" s="1"/>
  <c r="G15" i="29866"/>
  <c r="G16" i="29866"/>
  <c r="F17" i="29866"/>
  <c r="G19" i="29866"/>
  <c r="F22" i="29866"/>
  <c r="G27" i="29866"/>
  <c r="G30" i="29866"/>
  <c r="G31" i="29866"/>
  <c r="F35" i="29866"/>
  <c r="F21" i="29866" s="1"/>
  <c r="D63" i="29866"/>
  <c r="E63" i="29866"/>
  <c r="J71" i="29866" s="1"/>
  <c r="K71" i="29866" s="1"/>
  <c r="D64" i="29866"/>
  <c r="E64" i="29866"/>
  <c r="N72" i="29866"/>
  <c r="P74" i="29866"/>
  <c r="L93" i="29866"/>
  <c r="P95" i="29866"/>
  <c r="R95" i="29866"/>
  <c r="S95" i="29866" s="1"/>
  <c r="P96" i="29866"/>
  <c r="R96" i="29866"/>
  <c r="S96" i="29866"/>
  <c r="P97" i="29866"/>
  <c r="R97" i="29866"/>
  <c r="S97" i="29866"/>
  <c r="C154" i="29866"/>
  <c r="C157" i="29866"/>
  <c r="C160" i="29866"/>
  <c r="C164" i="29866"/>
  <c r="C167" i="29866"/>
  <c r="C170" i="29866"/>
  <c r="C173" i="29866"/>
  <c r="H206" i="29866"/>
  <c r="E220" i="29866"/>
  <c r="E222" i="29866"/>
  <c r="E223" i="29866"/>
  <c r="E224" i="29866"/>
  <c r="F11" i="29867"/>
  <c r="G15" i="29867"/>
  <c r="G16" i="29867"/>
  <c r="F17" i="29867"/>
  <c r="G19" i="29867"/>
  <c r="F22" i="29867"/>
  <c r="G27" i="29867"/>
  <c r="G30" i="29867"/>
  <c r="G31" i="29867"/>
  <c r="F35" i="29867"/>
  <c r="F21" i="29867"/>
  <c r="D63" i="29867"/>
  <c r="E63" i="29867"/>
  <c r="J71" i="29867" s="1"/>
  <c r="K71" i="29867" s="1"/>
  <c r="D64" i="29867"/>
  <c r="E64" i="29867" s="1"/>
  <c r="N72" i="29867"/>
  <c r="P74" i="29867"/>
  <c r="L93" i="29867"/>
  <c r="P95" i="29867"/>
  <c r="R95" i="29867" s="1"/>
  <c r="S95" i="29867" s="1"/>
  <c r="P96" i="29867"/>
  <c r="R96" i="29867"/>
  <c r="S96" i="29867" s="1"/>
  <c r="P97" i="29867"/>
  <c r="R97" i="29867"/>
  <c r="S97" i="29867"/>
  <c r="C154" i="29867"/>
  <c r="C157" i="29867"/>
  <c r="C160" i="29867"/>
  <c r="C164" i="29867"/>
  <c r="C167" i="29867"/>
  <c r="C170" i="29867"/>
  <c r="C173" i="29867"/>
  <c r="H206" i="29867"/>
  <c r="E220" i="29867"/>
  <c r="E222" i="29867"/>
  <c r="E223" i="29867"/>
  <c r="E224" i="29867"/>
  <c r="C8" i="29868"/>
  <c r="C11" i="29868"/>
  <c r="H8" i="29868"/>
  <c r="I8" i="29868" s="1"/>
  <c r="J8" i="29868" s="1"/>
  <c r="H9" i="29868"/>
  <c r="I9" i="29868"/>
  <c r="J9" i="29868" s="1"/>
  <c r="H11" i="29868"/>
  <c r="I11" i="29868"/>
  <c r="J11" i="29868"/>
  <c r="H12" i="29868"/>
  <c r="I12" i="29868" s="1"/>
  <c r="J12" i="29868" s="1"/>
  <c r="H14" i="29868"/>
  <c r="I14" i="29868"/>
  <c r="J14" i="29868" s="1"/>
  <c r="H15" i="29868"/>
  <c r="I15" i="29868"/>
  <c r="J15" i="29868" s="1"/>
  <c r="H17" i="29868"/>
  <c r="I17" i="29868"/>
  <c r="J17" i="29868"/>
  <c r="H18" i="29868"/>
  <c r="I18" i="29868" s="1"/>
  <c r="J18" i="29868" s="1"/>
  <c r="H20" i="29868"/>
  <c r="I20" i="29868"/>
  <c r="J20" i="29868" s="1"/>
  <c r="H21" i="29868"/>
  <c r="I21" i="29868"/>
  <c r="J21" i="29868"/>
  <c r="H23" i="29868"/>
  <c r="I23" i="29868"/>
  <c r="J23" i="29868"/>
  <c r="H24" i="29868"/>
  <c r="I24" i="29868" s="1"/>
  <c r="J24" i="29868" s="1"/>
  <c r="H26" i="29868"/>
  <c r="I26" i="29868" s="1"/>
  <c r="J26" i="29868" s="1"/>
  <c r="H27" i="29868"/>
  <c r="I27" i="29868"/>
  <c r="J27" i="29868"/>
  <c r="H29" i="29868"/>
  <c r="I29" i="29868"/>
  <c r="J29" i="29868"/>
  <c r="H30" i="29868"/>
  <c r="I30" i="29868" s="1"/>
  <c r="J30" i="29868" s="1"/>
  <c r="H32" i="29868"/>
  <c r="I32" i="29868" s="1"/>
  <c r="J32" i="29868" s="1"/>
  <c r="H33" i="29868"/>
  <c r="I33" i="29868"/>
  <c r="J33" i="29868" s="1"/>
  <c r="C44" i="29868"/>
  <c r="E54" i="29868"/>
  <c r="E55" i="29868"/>
  <c r="E56" i="29868" s="1"/>
  <c r="E57" i="29868" s="1"/>
  <c r="E58" i="29868" s="1"/>
  <c r="E59" i="29868" s="1"/>
  <c r="E60" i="29868" s="1"/>
  <c r="E61" i="29868" s="1"/>
  <c r="E62" i="29868" s="1"/>
  <c r="E63" i="29868" s="1"/>
  <c r="E64" i="29868" s="1"/>
  <c r="E65" i="29868" s="1"/>
  <c r="E66" i="29868" s="1"/>
  <c r="E67" i="29868" s="1"/>
  <c r="E70" i="29868" s="1"/>
  <c r="D73" i="29868"/>
  <c r="E73" i="29868"/>
  <c r="H73" i="29868"/>
  <c r="I73" i="29868"/>
  <c r="J73" i="29868" s="1"/>
  <c r="C74" i="29868"/>
  <c r="F74" i="29868"/>
  <c r="H74" i="29868" s="1"/>
  <c r="I74" i="29868" s="1"/>
  <c r="J74" i="29868" s="1"/>
  <c r="E100" i="29868"/>
  <c r="F100" i="29868"/>
  <c r="E101" i="29868"/>
  <c r="F101" i="29868"/>
  <c r="E102" i="29868"/>
  <c r="F102" i="29868"/>
  <c r="E103" i="29868"/>
  <c r="F103" i="29868"/>
  <c r="E104" i="29868"/>
  <c r="F104" i="29868"/>
  <c r="E105" i="29868"/>
  <c r="F105" i="29868"/>
  <c r="E106" i="29868"/>
  <c r="F106" i="29868"/>
  <c r="E107" i="29868"/>
  <c r="F107" i="29868"/>
  <c r="E108" i="29868"/>
  <c r="F108" i="29868"/>
  <c r="E109" i="29868"/>
  <c r="F109" i="29868"/>
  <c r="E110" i="29868"/>
  <c r="F110" i="29868"/>
  <c r="E111" i="29868"/>
  <c r="F111" i="29868"/>
  <c r="E112" i="29868"/>
  <c r="F112" i="29868"/>
  <c r="E113" i="29868"/>
  <c r="F113" i="29868"/>
  <c r="E114" i="29868"/>
  <c r="F114" i="29868"/>
  <c r="E115" i="29868"/>
  <c r="F115" i="29868"/>
  <c r="E116" i="29868"/>
  <c r="F116" i="29868"/>
  <c r="E117" i="29868"/>
  <c r="F117" i="29868"/>
  <c r="E118" i="29868"/>
  <c r="F118" i="29868"/>
  <c r="E119" i="29868"/>
  <c r="F119" i="29868"/>
  <c r="E120" i="29868"/>
  <c r="F120" i="29868"/>
  <c r="B142" i="29868"/>
  <c r="B141" i="29868"/>
  <c r="C141" i="29868"/>
  <c r="E141" i="29868"/>
  <c r="C143" i="29868"/>
  <c r="D143" i="29868"/>
  <c r="C144" i="29868"/>
  <c r="D144" i="29868"/>
  <c r="C145" i="29868"/>
  <c r="D145" i="29868"/>
  <c r="C146" i="29868"/>
  <c r="C147" i="29868"/>
  <c r="D147" i="29868" s="1"/>
  <c r="C148" i="29868"/>
  <c r="E148" i="29868"/>
  <c r="D148" i="29868"/>
  <c r="C149" i="29868"/>
  <c r="D149" i="29868"/>
  <c r="C150" i="29868"/>
  <c r="D150" i="29868" s="1"/>
  <c r="E150" i="29868"/>
  <c r="C8" i="29869"/>
  <c r="D8" i="29869"/>
  <c r="E8" i="29869"/>
  <c r="G8" i="29869" s="1"/>
  <c r="H8" i="29869"/>
  <c r="I8" i="29869"/>
  <c r="J8" i="29869" s="1"/>
  <c r="H9" i="29869"/>
  <c r="I9" i="29869"/>
  <c r="J9" i="29869"/>
  <c r="H11" i="29869"/>
  <c r="I11" i="29869" s="1"/>
  <c r="J11" i="29869" s="1"/>
  <c r="H12" i="29869"/>
  <c r="I12" i="29869"/>
  <c r="J12" i="29869" s="1"/>
  <c r="H14" i="29869"/>
  <c r="I14" i="29869"/>
  <c r="J14" i="29869"/>
  <c r="H15" i="29869"/>
  <c r="I15" i="29869"/>
  <c r="J15" i="29869"/>
  <c r="H17" i="29869"/>
  <c r="I17" i="29869" s="1"/>
  <c r="J17" i="29869" s="1"/>
  <c r="H18" i="29869"/>
  <c r="I18" i="29869"/>
  <c r="J18" i="29869" s="1"/>
  <c r="H20" i="29869"/>
  <c r="I20" i="29869"/>
  <c r="J20" i="29869"/>
  <c r="H21" i="29869"/>
  <c r="I21" i="29869"/>
  <c r="J21" i="29869"/>
  <c r="H23" i="29869"/>
  <c r="I23" i="29869" s="1"/>
  <c r="J23" i="29869" s="1"/>
  <c r="H24" i="29869"/>
  <c r="I24" i="29869" s="1"/>
  <c r="J24" i="29869" s="1"/>
  <c r="H26" i="29869"/>
  <c r="I26" i="29869"/>
  <c r="J26" i="29869" s="1"/>
  <c r="H27" i="29869"/>
  <c r="I27" i="29869"/>
  <c r="J27" i="29869"/>
  <c r="H29" i="29869"/>
  <c r="I29" i="29869" s="1"/>
  <c r="J29" i="29869" s="1"/>
  <c r="H30" i="29869"/>
  <c r="I30" i="29869"/>
  <c r="J30" i="29869" s="1"/>
  <c r="H32" i="29869"/>
  <c r="I32" i="29869"/>
  <c r="J32" i="29869" s="1"/>
  <c r="H33" i="29869"/>
  <c r="I33" i="29869"/>
  <c r="J33" i="29869"/>
  <c r="C44" i="29869"/>
  <c r="E54" i="29869"/>
  <c r="E55" i="29869"/>
  <c r="E56" i="29869"/>
  <c r="E57" i="29869" s="1"/>
  <c r="E58" i="29869" s="1"/>
  <c r="E59" i="29869" s="1"/>
  <c r="E60" i="29869" s="1"/>
  <c r="E61" i="29869" s="1"/>
  <c r="E62" i="29869" s="1"/>
  <c r="E63" i="29869" s="1"/>
  <c r="E64" i="29869" s="1"/>
  <c r="E65" i="29869" s="1"/>
  <c r="E66" i="29869" s="1"/>
  <c r="E67" i="29869" s="1"/>
  <c r="E70" i="29869" s="1"/>
  <c r="D73" i="29869"/>
  <c r="E73" i="29869" s="1"/>
  <c r="G73" i="29869" s="1"/>
  <c r="H73" i="29869"/>
  <c r="I73" i="29869"/>
  <c r="J73" i="29869"/>
  <c r="C74" i="29869"/>
  <c r="C75" i="29869"/>
  <c r="C76" i="29869"/>
  <c r="D76" i="29869"/>
  <c r="F74" i="29869"/>
  <c r="H74" i="29869"/>
  <c r="I74" i="29869"/>
  <c r="E100" i="29869"/>
  <c r="F100" i="29869" s="1"/>
  <c r="E101" i="29869"/>
  <c r="F101" i="29869"/>
  <c r="E102" i="29869"/>
  <c r="F102" i="29869" s="1"/>
  <c r="E103" i="29869"/>
  <c r="F103" i="29869"/>
  <c r="E104" i="29869"/>
  <c r="F104" i="29869" s="1"/>
  <c r="E105" i="29869"/>
  <c r="F105" i="29869"/>
  <c r="E106" i="29869"/>
  <c r="F106" i="29869" s="1"/>
  <c r="E107" i="29869"/>
  <c r="F107" i="29869"/>
  <c r="E108" i="29869"/>
  <c r="F108" i="29869" s="1"/>
  <c r="E109" i="29869"/>
  <c r="F109" i="29869"/>
  <c r="E110" i="29869"/>
  <c r="F110" i="29869" s="1"/>
  <c r="E111" i="29869"/>
  <c r="F111" i="29869"/>
  <c r="E112" i="29869"/>
  <c r="F112" i="29869" s="1"/>
  <c r="E113" i="29869"/>
  <c r="F113" i="29869"/>
  <c r="E114" i="29869"/>
  <c r="F114" i="29869" s="1"/>
  <c r="E115" i="29869"/>
  <c r="F115" i="29869"/>
  <c r="E116" i="29869"/>
  <c r="F116" i="29869" s="1"/>
  <c r="E117" i="29869"/>
  <c r="F117" i="29869"/>
  <c r="E118" i="29869"/>
  <c r="F118" i="29869" s="1"/>
  <c r="E119" i="29869"/>
  <c r="F119" i="29869"/>
  <c r="E120" i="29869"/>
  <c r="F120" i="29869" s="1"/>
  <c r="B142" i="29869"/>
  <c r="C142" i="29869"/>
  <c r="E142" i="29869"/>
  <c r="C143" i="29869"/>
  <c r="E143" i="29869"/>
  <c r="C144" i="29869"/>
  <c r="E144" i="29869"/>
  <c r="C145" i="29869"/>
  <c r="C146" i="29869"/>
  <c r="D146" i="29869"/>
  <c r="C147" i="29869"/>
  <c r="C148" i="29869"/>
  <c r="E148" i="29869"/>
  <c r="C149" i="29869"/>
  <c r="D149" i="29869" s="1"/>
  <c r="C150" i="29869"/>
  <c r="J49" i="19"/>
  <c r="I49" i="19"/>
  <c r="S85" i="19"/>
  <c r="R85" i="19"/>
  <c r="Q81" i="19"/>
  <c r="L24" i="29844"/>
  <c r="I13" i="29844" s="1"/>
  <c r="L75" i="29844"/>
  <c r="L126" i="29844"/>
  <c r="J115" i="29844" s="1"/>
  <c r="L21" i="29831"/>
  <c r="J13" i="29831" s="1"/>
  <c r="L60" i="29831"/>
  <c r="J52" i="29831" s="1"/>
  <c r="L99" i="29831"/>
  <c r="J91" i="29831" s="1"/>
  <c r="L19" i="29834"/>
  <c r="I10" i="29834" s="1"/>
  <c r="L53" i="29834"/>
  <c r="I44" i="29834" s="1"/>
  <c r="L87" i="29834"/>
  <c r="I78" i="29834" s="1"/>
  <c r="C2" i="29838"/>
  <c r="J31" i="29838" s="1"/>
  <c r="C5" i="9"/>
  <c r="O52" i="9" s="1"/>
  <c r="C3" i="29839"/>
  <c r="L50" i="29839" s="1"/>
  <c r="I45" i="29840"/>
  <c r="I34" i="29840"/>
  <c r="I22" i="29840"/>
  <c r="I11" i="29840"/>
  <c r="C31" i="11"/>
  <c r="L66" i="11" s="1"/>
  <c r="K63" i="11"/>
  <c r="K62" i="11"/>
  <c r="K64" i="11"/>
  <c r="K84" i="11"/>
  <c r="K83" i="11"/>
  <c r="K85" i="11"/>
  <c r="K105" i="11"/>
  <c r="K106" i="11"/>
  <c r="J147" i="11"/>
  <c r="J146" i="11"/>
  <c r="J148" i="11"/>
  <c r="K147" i="11"/>
  <c r="K146" i="11"/>
  <c r="K148" i="11"/>
  <c r="J63" i="11"/>
  <c r="J62" i="11"/>
  <c r="J64" i="11"/>
  <c r="J84" i="11"/>
  <c r="J83" i="11"/>
  <c r="J85" i="11"/>
  <c r="J105" i="11"/>
  <c r="J104" i="11"/>
  <c r="J106" i="11"/>
  <c r="J126" i="11"/>
  <c r="J125" i="11"/>
  <c r="J127" i="11"/>
  <c r="K5" i="29809"/>
  <c r="A43" i="29809"/>
  <c r="A96" i="29809"/>
  <c r="A139" i="29809"/>
  <c r="E2" i="29837"/>
  <c r="H2" i="29837"/>
  <c r="L2" i="29837"/>
  <c r="M2" i="29837" s="1"/>
  <c r="C7" i="29841"/>
  <c r="D7" i="29841"/>
  <c r="I7" i="29841"/>
  <c r="D8" i="29841"/>
  <c r="D9" i="29841"/>
  <c r="C10" i="29841"/>
  <c r="D10" i="29841"/>
  <c r="D11" i="29841"/>
  <c r="D12" i="29841"/>
  <c r="D8" i="23"/>
  <c r="E8" i="23"/>
  <c r="G8" i="23" s="1"/>
  <c r="N8" i="23" s="1"/>
  <c r="H8" i="23"/>
  <c r="I8" i="23"/>
  <c r="J8" i="23"/>
  <c r="Q8" i="23"/>
  <c r="P13" i="23"/>
  <c r="C9" i="23"/>
  <c r="H9" i="23"/>
  <c r="I9" i="23" s="1"/>
  <c r="M9" i="23" s="1"/>
  <c r="C11" i="23"/>
  <c r="D11" i="23" s="1"/>
  <c r="H11" i="23"/>
  <c r="I11" i="23" s="1"/>
  <c r="H12" i="23"/>
  <c r="I12" i="23"/>
  <c r="H14" i="23"/>
  <c r="I14" i="23"/>
  <c r="M14" i="23" s="1"/>
  <c r="H15" i="23"/>
  <c r="I15" i="23"/>
  <c r="H17" i="23"/>
  <c r="I17" i="23" s="1"/>
  <c r="H18" i="23"/>
  <c r="I18" i="23"/>
  <c r="H20" i="23"/>
  <c r="I20" i="23"/>
  <c r="J20" i="23"/>
  <c r="H21" i="23"/>
  <c r="I21" i="23" s="1"/>
  <c r="H23" i="23"/>
  <c r="I23" i="23" s="1"/>
  <c r="H24" i="23"/>
  <c r="I24" i="23"/>
  <c r="J24" i="23" s="1"/>
  <c r="H26" i="23"/>
  <c r="I26" i="23"/>
  <c r="M26" i="23"/>
  <c r="H27" i="23"/>
  <c r="I27" i="23"/>
  <c r="H29" i="23"/>
  <c r="I29" i="23"/>
  <c r="J29" i="23" s="1"/>
  <c r="H30" i="23"/>
  <c r="I30" i="23"/>
  <c r="J30" i="23" s="1"/>
  <c r="H32" i="23"/>
  <c r="I32" i="23"/>
  <c r="M32" i="23" s="1"/>
  <c r="H33" i="23"/>
  <c r="I33" i="23"/>
  <c r="J33" i="23"/>
  <c r="K41" i="23"/>
  <c r="K43" i="23"/>
  <c r="C44" i="23"/>
  <c r="G49" i="23"/>
  <c r="H52" i="23"/>
  <c r="H53" i="23"/>
  <c r="E54" i="23"/>
  <c r="D2" i="29842"/>
  <c r="E2" i="29842"/>
  <c r="G2" i="29842"/>
  <c r="H2" i="29842"/>
  <c r="I2" i="29842"/>
  <c r="N2" i="29842"/>
  <c r="C4" i="29842"/>
  <c r="C2" i="29842"/>
  <c r="F4" i="29842"/>
  <c r="F2" i="29842" s="1"/>
  <c r="J4" i="29842"/>
  <c r="K4" i="29842"/>
  <c r="L70" i="19"/>
  <c r="L71" i="19"/>
  <c r="L72" i="19"/>
  <c r="L73" i="19"/>
  <c r="L74" i="19"/>
  <c r="C3" i="21"/>
  <c r="M73" i="21" s="1"/>
  <c r="B5" i="21"/>
  <c r="N5" i="21"/>
  <c r="M12" i="21"/>
  <c r="N12" i="21"/>
  <c r="S17" i="21"/>
  <c r="U55" i="21" s="1"/>
  <c r="M27" i="21"/>
  <c r="N27" i="21"/>
  <c r="M43" i="21"/>
  <c r="N43" i="21"/>
  <c r="N58" i="21"/>
  <c r="N78" i="21"/>
  <c r="M58" i="21"/>
  <c r="M78" i="21"/>
  <c r="L87" i="21"/>
  <c r="L88" i="21"/>
  <c r="L89" i="21"/>
  <c r="L90" i="21"/>
  <c r="L91" i="21"/>
  <c r="C101" i="21"/>
  <c r="D101" i="21"/>
  <c r="M109" i="21"/>
  <c r="M110" i="21"/>
  <c r="M111" i="21"/>
  <c r="M112" i="21"/>
  <c r="M113" i="21"/>
  <c r="M114" i="21"/>
  <c r="M115" i="21"/>
  <c r="M116" i="21"/>
  <c r="M117" i="21"/>
  <c r="M118" i="21"/>
  <c r="M119" i="21"/>
  <c r="M120" i="21"/>
  <c r="M121" i="21"/>
  <c r="M124" i="21"/>
  <c r="M125" i="21"/>
  <c r="M126" i="21"/>
  <c r="M127" i="21"/>
  <c r="M128" i="21"/>
  <c r="M129" i="21"/>
  <c r="M130" i="21"/>
  <c r="M138" i="21"/>
  <c r="M142" i="21"/>
  <c r="M143" i="21"/>
  <c r="H9" i="11"/>
  <c r="B18" i="11"/>
  <c r="C18" i="11"/>
  <c r="D18" i="11"/>
  <c r="B19" i="11"/>
  <c r="C19" i="11"/>
  <c r="D19" i="11"/>
  <c r="B20" i="11"/>
  <c r="C20" i="11"/>
  <c r="D20" i="11"/>
  <c r="B21" i="11"/>
  <c r="C21" i="11"/>
  <c r="D21" i="11"/>
  <c r="B22" i="11"/>
  <c r="C22" i="11"/>
  <c r="D22" i="11"/>
  <c r="B23" i="11"/>
  <c r="C23" i="11"/>
  <c r="D23" i="11"/>
  <c r="B24" i="11"/>
  <c r="C24" i="11"/>
  <c r="D24" i="11"/>
  <c r="B25" i="11"/>
  <c r="C25" i="11"/>
  <c r="D25" i="11"/>
  <c r="B26" i="11"/>
  <c r="C26" i="11"/>
  <c r="D26" i="11"/>
  <c r="B27" i="11"/>
  <c r="C27" i="11"/>
  <c r="D27" i="11"/>
  <c r="B28" i="11"/>
  <c r="C28" i="11"/>
  <c r="D28" i="11"/>
  <c r="D31" i="11"/>
  <c r="Q34" i="11"/>
  <c r="B42" i="11"/>
  <c r="B43" i="11"/>
  <c r="H44" i="11"/>
  <c r="J44" i="11"/>
  <c r="K44" i="11"/>
  <c r="J45" i="11"/>
  <c r="K45" i="11"/>
  <c r="J46" i="11"/>
  <c r="K46" i="11"/>
  <c r="D49" i="11"/>
  <c r="E49" i="11"/>
  <c r="D50" i="11"/>
  <c r="E50" i="11"/>
  <c r="Q59" i="11"/>
  <c r="B63" i="11"/>
  <c r="B64" i="11"/>
  <c r="H65" i="11"/>
  <c r="D70" i="11"/>
  <c r="E70" i="11"/>
  <c r="D71" i="11"/>
  <c r="E71" i="11"/>
  <c r="B84" i="11"/>
  <c r="B85" i="11"/>
  <c r="H86" i="11"/>
  <c r="D91" i="11"/>
  <c r="E91" i="11"/>
  <c r="D92" i="11"/>
  <c r="E92" i="11"/>
  <c r="B105" i="11"/>
  <c r="B106" i="11"/>
  <c r="H107" i="11"/>
  <c r="D112" i="11"/>
  <c r="E112" i="11"/>
  <c r="D113" i="11"/>
  <c r="E113" i="11"/>
  <c r="B126" i="11"/>
  <c r="B127" i="11"/>
  <c r="H128" i="11"/>
  <c r="D133" i="11"/>
  <c r="E133" i="11"/>
  <c r="D134" i="11"/>
  <c r="E134" i="11"/>
  <c r="Q143" i="11"/>
  <c r="B147" i="11"/>
  <c r="B148" i="11"/>
  <c r="H149" i="11"/>
  <c r="D154" i="11"/>
  <c r="E154" i="11"/>
  <c r="D155" i="11"/>
  <c r="E155" i="11"/>
  <c r="I164" i="11"/>
  <c r="I165" i="11"/>
  <c r="I166" i="11"/>
  <c r="I167" i="11"/>
  <c r="I168" i="11"/>
  <c r="L7" i="29843"/>
  <c r="L8" i="29843" s="1"/>
  <c r="M7" i="29843"/>
  <c r="M8" i="29843" s="1"/>
  <c r="B10" i="29843"/>
  <c r="L14" i="29843"/>
  <c r="L15" i="29843" s="1"/>
  <c r="L16" i="29843" s="1"/>
  <c r="L17" i="29843" s="1"/>
  <c r="M14" i="29843"/>
  <c r="M15" i="29843" s="1"/>
  <c r="M16" i="29843" s="1"/>
  <c r="I18" i="29843"/>
  <c r="I19" i="29843"/>
  <c r="I20" i="29843"/>
  <c r="I21" i="29843"/>
  <c r="I22" i="29843"/>
  <c r="L22" i="29843"/>
  <c r="L23" i="29843" s="1"/>
  <c r="L24" i="29843" s="1"/>
  <c r="M22" i="29843"/>
  <c r="M23" i="29843" s="1"/>
  <c r="M24" i="29843" s="1"/>
  <c r="M26" i="29843" s="1"/>
  <c r="C2" i="29840"/>
  <c r="K7" i="29840"/>
  <c r="L7" i="29840" s="1"/>
  <c r="H8" i="29840"/>
  <c r="H9" i="29840"/>
  <c r="H10" i="29840"/>
  <c r="K10" i="29840"/>
  <c r="L10" i="29840" s="1"/>
  <c r="H19" i="29840"/>
  <c r="H20" i="29840"/>
  <c r="H21" i="29840"/>
  <c r="H31" i="29840"/>
  <c r="H32" i="29840"/>
  <c r="H33" i="29840"/>
  <c r="H42" i="29840"/>
  <c r="H43" i="29840"/>
  <c r="H44" i="29840"/>
  <c r="I55" i="29840"/>
  <c r="I56" i="29840"/>
  <c r="I60" i="29840" s="1"/>
  <c r="I57" i="29840"/>
  <c r="I58" i="29840"/>
  <c r="I59" i="29840"/>
  <c r="B10" i="29839"/>
  <c r="C10" i="29839" s="1"/>
  <c r="B12" i="29839"/>
  <c r="D17" i="29839"/>
  <c r="D18" i="29839" s="1"/>
  <c r="D20" i="29839" s="1"/>
  <c r="E17" i="29839"/>
  <c r="E18" i="29839" s="1"/>
  <c r="E20" i="29839" s="1"/>
  <c r="J19" i="29839"/>
  <c r="J20" i="29839" s="1"/>
  <c r="J21" i="29839" s="1"/>
  <c r="J22" i="29839" s="1"/>
  <c r="J23" i="29839" s="1"/>
  <c r="J24" i="29839" s="1"/>
  <c r="J25" i="29839" s="1"/>
  <c r="D23" i="29839"/>
  <c r="E23" i="29839"/>
  <c r="D60" i="29839"/>
  <c r="D63" i="29839"/>
  <c r="D37" i="29839"/>
  <c r="E37" i="29839"/>
  <c r="D39" i="29839"/>
  <c r="E39" i="29839"/>
  <c r="B47" i="29839"/>
  <c r="C46" i="29839" s="1"/>
  <c r="B49" i="29839"/>
  <c r="E60" i="29839"/>
  <c r="E63" i="29839"/>
  <c r="B85" i="29839"/>
  <c r="B87" i="29839"/>
  <c r="D92" i="29839"/>
  <c r="D93" i="29839" s="1"/>
  <c r="D95" i="29839" s="1"/>
  <c r="E92" i="29839"/>
  <c r="E93" i="29839" s="1"/>
  <c r="B123" i="29839"/>
  <c r="C123" i="29839" s="1"/>
  <c r="B125" i="29839"/>
  <c r="D130" i="29839"/>
  <c r="D131" i="29839" s="1"/>
  <c r="D133" i="29839" s="1"/>
  <c r="B161" i="29839"/>
  <c r="C160" i="29839" s="1"/>
  <c r="B163" i="29839"/>
  <c r="D168" i="29839"/>
  <c r="D169" i="29839" s="1"/>
  <c r="D171" i="29839" s="1"/>
  <c r="B199" i="29839"/>
  <c r="C198" i="29839" s="1"/>
  <c r="B201" i="29839"/>
  <c r="D207" i="29839"/>
  <c r="D208" i="29839" s="1"/>
  <c r="D210" i="29839" s="1"/>
  <c r="D227" i="29839"/>
  <c r="D213" i="29839"/>
  <c r="D216" i="29839"/>
  <c r="E227" i="29839"/>
  <c r="B2" i="9"/>
  <c r="J133" i="9"/>
  <c r="J134" i="9"/>
  <c r="J135" i="9"/>
  <c r="J136" i="9"/>
  <c r="J137" i="9"/>
  <c r="I69" i="29838"/>
  <c r="I70" i="29838"/>
  <c r="I71" i="29838"/>
  <c r="I72" i="29838"/>
  <c r="I73" i="29838"/>
  <c r="E25" i="29834"/>
  <c r="E26" i="29834" s="1"/>
  <c r="F25" i="29834"/>
  <c r="E30" i="29834"/>
  <c r="F30" i="29834"/>
  <c r="I109" i="29834"/>
  <c r="I110" i="29834"/>
  <c r="I111" i="29834"/>
  <c r="I112" i="29834"/>
  <c r="I113" i="29834"/>
  <c r="D2" i="29831"/>
  <c r="I23" i="29831"/>
  <c r="E26" i="29831"/>
  <c r="E27" i="29831" s="1"/>
  <c r="F26" i="29831"/>
  <c r="F27" i="29831" s="1"/>
  <c r="E37" i="29831"/>
  <c r="F37" i="29831"/>
  <c r="I124" i="29831"/>
  <c r="I125" i="29831"/>
  <c r="I126" i="29831"/>
  <c r="I127" i="29831"/>
  <c r="I128" i="29831"/>
  <c r="D2" i="29844"/>
  <c r="R4" i="29844"/>
  <c r="U4" i="29844"/>
  <c r="U13" i="29844" s="1"/>
  <c r="Y4" i="29844"/>
  <c r="Y22" i="29844" s="1"/>
  <c r="L5" i="29844"/>
  <c r="L7" i="29844"/>
  <c r="L6" i="29844"/>
  <c r="L8" i="29844"/>
  <c r="L9" i="29844"/>
  <c r="L10" i="29844"/>
  <c r="L11" i="29844"/>
  <c r="I160" i="29844"/>
  <c r="I161" i="29844"/>
  <c r="I162" i="29844"/>
  <c r="I163" i="29844"/>
  <c r="I164" i="29844"/>
  <c r="D19" i="29847"/>
  <c r="E19" i="29847"/>
  <c r="F19" i="29847"/>
  <c r="G19" i="29847"/>
  <c r="H19" i="29847"/>
  <c r="E20" i="29847"/>
  <c r="F20" i="29847"/>
  <c r="G20" i="29847"/>
  <c r="H20" i="29847"/>
  <c r="D26" i="29847"/>
  <c r="E45" i="29848"/>
  <c r="K10" i="29863"/>
  <c r="C10" i="29863" s="1"/>
  <c r="K11" i="29863"/>
  <c r="C11" i="29863" s="1"/>
  <c r="K12" i="29863"/>
  <c r="C12" i="29863" s="1"/>
  <c r="K13" i="29863"/>
  <c r="C13" i="29863" s="1"/>
  <c r="K14" i="29863"/>
  <c r="C14" i="29863" s="1"/>
  <c r="K15" i="29863"/>
  <c r="C15" i="29863" s="1"/>
  <c r="K16" i="29863"/>
  <c r="C16" i="29863" s="1"/>
  <c r="K17" i="29863"/>
  <c r="C17" i="29863" s="1"/>
  <c r="K18" i="29863"/>
  <c r="C18" i="29863" s="1"/>
  <c r="K19" i="29863"/>
  <c r="C19" i="29863" s="1"/>
  <c r="K20" i="29863"/>
  <c r="C20" i="29863" s="1"/>
  <c r="K21" i="29863"/>
  <c r="C21" i="29863" s="1"/>
  <c r="K22" i="29863"/>
  <c r="C22" i="29863"/>
  <c r="K23" i="29863"/>
  <c r="C23" i="29863" s="1"/>
  <c r="K24" i="29863"/>
  <c r="C24" i="29863" s="1"/>
  <c r="K25" i="29863"/>
  <c r="C25" i="29863" s="1"/>
  <c r="K26" i="29863"/>
  <c r="C26" i="29863" s="1"/>
  <c r="K27" i="29863"/>
  <c r="C27" i="29863" s="1"/>
  <c r="K28" i="29863"/>
  <c r="C28" i="29863" s="1"/>
  <c r="K29" i="29863"/>
  <c r="C29" i="29863" s="1"/>
  <c r="K30" i="29863"/>
  <c r="C30" i="29863" s="1"/>
  <c r="K31" i="29863"/>
  <c r="C31" i="29863" s="1"/>
  <c r="K32" i="29863"/>
  <c r="C32" i="29863" s="1"/>
  <c r="K33" i="29863"/>
  <c r="C33" i="29863" s="1"/>
  <c r="K34" i="29863"/>
  <c r="C34" i="29863" s="1"/>
  <c r="K35" i="29863"/>
  <c r="C35" i="29863" s="1"/>
  <c r="K36" i="29863"/>
  <c r="C36" i="29863" s="1"/>
  <c r="K37" i="29863"/>
  <c r="C37" i="29863" s="1"/>
  <c r="K38" i="29863"/>
  <c r="C38" i="29863"/>
  <c r="K39" i="29863"/>
  <c r="C39" i="29863" s="1"/>
  <c r="K40" i="29863"/>
  <c r="C40" i="29863" s="1"/>
  <c r="K41" i="29863"/>
  <c r="C41" i="29863" s="1"/>
  <c r="K42" i="29863"/>
  <c r="C42" i="29863" s="1"/>
  <c r="K43" i="29863"/>
  <c r="C43" i="29863" s="1"/>
  <c r="K44" i="29863"/>
  <c r="C44" i="29863" s="1"/>
  <c r="K45" i="29863"/>
  <c r="C45" i="29863" s="1"/>
  <c r="K46" i="29863"/>
  <c r="C46" i="29863" s="1"/>
  <c r="K47" i="29863"/>
  <c r="C47" i="29863" s="1"/>
  <c r="K48" i="29863"/>
  <c r="C48" i="29863" s="1"/>
  <c r="K49" i="29863"/>
  <c r="C49" i="29863" s="1"/>
  <c r="K50" i="29863"/>
  <c r="C50" i="29863" s="1"/>
  <c r="K51" i="29863"/>
  <c r="C51" i="29863" s="1"/>
  <c r="K52" i="29863"/>
  <c r="C52" i="29863" s="1"/>
  <c r="K53" i="29863"/>
  <c r="C53" i="29863" s="1"/>
  <c r="K54" i="29863"/>
  <c r="C54" i="29863"/>
  <c r="K55" i="29863"/>
  <c r="C55" i="29863" s="1"/>
  <c r="K56" i="29863"/>
  <c r="C56" i="29863" s="1"/>
  <c r="K57" i="29863"/>
  <c r="C57" i="29863" s="1"/>
  <c r="K58" i="29863"/>
  <c r="C58" i="29863" s="1"/>
  <c r="K59" i="29863"/>
  <c r="C59" i="29863" s="1"/>
  <c r="K60" i="29863"/>
  <c r="C60" i="29863" s="1"/>
  <c r="K61" i="29863"/>
  <c r="C61" i="29863" s="1"/>
  <c r="K62" i="29863"/>
  <c r="C62" i="29863" s="1"/>
  <c r="K63" i="29863"/>
  <c r="C63" i="29863" s="1"/>
  <c r="K64" i="29863"/>
  <c r="C64" i="29863" s="1"/>
  <c r="U7" i="29864"/>
  <c r="B15" i="29848"/>
  <c r="B16" i="29848" s="1"/>
  <c r="B17" i="29848" s="1"/>
  <c r="B18" i="29848" s="1"/>
  <c r="B19" i="29848" s="1"/>
  <c r="B20" i="29848" s="1"/>
  <c r="B21" i="29848" s="1"/>
  <c r="B22" i="29848" s="1"/>
  <c r="B23" i="29848" s="1"/>
  <c r="K1" i="1"/>
  <c r="B5" i="1"/>
  <c r="B7" i="1"/>
  <c r="P22" i="23"/>
  <c r="P71" i="29866"/>
  <c r="F75" i="29868"/>
  <c r="F76" i="29868" s="1"/>
  <c r="F77" i="29868" s="1"/>
  <c r="E55" i="23"/>
  <c r="H54" i="23"/>
  <c r="E145" i="29868"/>
  <c r="P19" i="23"/>
  <c r="P31" i="23"/>
  <c r="P10" i="23"/>
  <c r="G106" i="29867"/>
  <c r="C11" i="29869"/>
  <c r="E144" i="29868"/>
  <c r="D148" i="29869"/>
  <c r="B141" i="29869"/>
  <c r="C141" i="29869" s="1"/>
  <c r="D141" i="29869" s="1"/>
  <c r="N73" i="29868"/>
  <c r="G73" i="29868"/>
  <c r="K73" i="29868" s="1"/>
  <c r="L4" i="29842"/>
  <c r="L2" i="29842" s="1"/>
  <c r="D74" i="29869"/>
  <c r="E74" i="29869" s="1"/>
  <c r="G74" i="29869"/>
  <c r="K74" i="29869"/>
  <c r="F106" i="29866"/>
  <c r="F14" i="29866"/>
  <c r="G106" i="29866"/>
  <c r="F13" i="29866"/>
  <c r="D8" i="29868"/>
  <c r="E8" i="29868"/>
  <c r="G8" i="29868"/>
  <c r="K8" i="29868"/>
  <c r="F39" i="29868" s="1"/>
  <c r="J14" i="23"/>
  <c r="F225" i="29866"/>
  <c r="E149" i="29869"/>
  <c r="D143" i="29869"/>
  <c r="I39" i="29873"/>
  <c r="J39" i="29873" s="1"/>
  <c r="I38" i="29873"/>
  <c r="J38" i="29873" s="1"/>
  <c r="I23" i="29873"/>
  <c r="J23" i="29873"/>
  <c r="I8" i="29873"/>
  <c r="I52" i="29873" s="1"/>
  <c r="AC34" i="29872"/>
  <c r="AD33" i="29872"/>
  <c r="I54" i="29876"/>
  <c r="I11" i="29873"/>
  <c r="J11" i="29873"/>
  <c r="Z35" i="29872"/>
  <c r="AD31" i="29872"/>
  <c r="Z31" i="29872"/>
  <c r="AD34" i="29872"/>
  <c r="Z34" i="29872"/>
  <c r="Z28" i="29872"/>
  <c r="Z27" i="29875"/>
  <c r="Z28" i="29875"/>
  <c r="Z34" i="29875"/>
  <c r="AD27" i="29875"/>
  <c r="AD31" i="29875"/>
  <c r="AD33" i="29875"/>
  <c r="AD34" i="29875"/>
  <c r="AA34" i="29875"/>
  <c r="AA33" i="29875"/>
  <c r="AC33" i="29875"/>
  <c r="AA32" i="29875"/>
  <c r="B7" i="29875"/>
  <c r="G3" i="29875"/>
  <c r="G4" i="29875"/>
  <c r="E150" i="29869"/>
  <c r="D150" i="29869"/>
  <c r="E29" i="29834"/>
  <c r="D11" i="29868"/>
  <c r="E11" i="29868"/>
  <c r="G11" i="29868" s="1"/>
  <c r="K11" i="29868" s="1"/>
  <c r="F41" i="29868" s="1"/>
  <c r="C14" i="29868"/>
  <c r="AA27" i="29872"/>
  <c r="K2" i="29842"/>
  <c r="C23" i="29876"/>
  <c r="D20" i="29876"/>
  <c r="E20" i="29876"/>
  <c r="G20" i="29876" s="1"/>
  <c r="K20" i="29876" s="1"/>
  <c r="F55" i="29876" s="1"/>
  <c r="P16" i="23"/>
  <c r="E143" i="29868"/>
  <c r="AC33" i="29872"/>
  <c r="P28" i="23"/>
  <c r="P25" i="23"/>
  <c r="K35" i="29876"/>
  <c r="L35" i="29876"/>
  <c r="I35" i="29876"/>
  <c r="J35" i="29876" s="1"/>
  <c r="F3" i="29875"/>
  <c r="L3" i="29875"/>
  <c r="M3" i="29875" s="1"/>
  <c r="C23" i="29873"/>
  <c r="I20" i="29876"/>
  <c r="AC34" i="29875"/>
  <c r="AA35" i="29875"/>
  <c r="D8" i="29876"/>
  <c r="E8" i="29876" s="1"/>
  <c r="G8" i="29876" s="1"/>
  <c r="K8" i="29876" s="1"/>
  <c r="F52" i="29876" s="1"/>
  <c r="AC31" i="29875"/>
  <c r="J74" i="29869"/>
  <c r="I54" i="29873"/>
  <c r="E147" i="29868"/>
  <c r="B140" i="29868"/>
  <c r="C140" i="29868"/>
  <c r="D140" i="29868" s="1"/>
  <c r="E140" i="29868"/>
  <c r="D144" i="29869"/>
  <c r="C14" i="23"/>
  <c r="D14" i="23" s="1"/>
  <c r="E14" i="23" s="1"/>
  <c r="G14" i="23" s="1"/>
  <c r="C17" i="23"/>
  <c r="E11" i="23"/>
  <c r="G11" i="23" s="1"/>
  <c r="I36" i="29873"/>
  <c r="J36" i="29873" s="1"/>
  <c r="I41" i="29873"/>
  <c r="J41" i="29873"/>
  <c r="D141" i="29868"/>
  <c r="M33" i="23"/>
  <c r="M20" i="23"/>
  <c r="K8" i="29869"/>
  <c r="F39" i="29869"/>
  <c r="C75" i="29868"/>
  <c r="D74" i="29868"/>
  <c r="E74" i="29868" s="1"/>
  <c r="F75" i="29869"/>
  <c r="AB25" i="29872"/>
  <c r="K41" i="29873"/>
  <c r="N74" i="29869"/>
  <c r="G148" i="29868"/>
  <c r="K42" i="29876"/>
  <c r="B7" i="29872"/>
  <c r="J27" i="23"/>
  <c r="M27" i="23"/>
  <c r="K8" i="23"/>
  <c r="F39" i="23"/>
  <c r="D75" i="29869"/>
  <c r="E75" i="29869" s="1"/>
  <c r="G75" i="29869" s="1"/>
  <c r="N75" i="29869"/>
  <c r="K73" i="29869"/>
  <c r="N73" i="29869"/>
  <c r="C26" i="29876"/>
  <c r="C29" i="29876" s="1"/>
  <c r="D29" i="29876" s="1"/>
  <c r="E29" i="29876" s="1"/>
  <c r="G29" i="29876" s="1"/>
  <c r="D23" i="29876"/>
  <c r="E23" i="29876" s="1"/>
  <c r="G23" i="29876" s="1"/>
  <c r="K23" i="29876" s="1"/>
  <c r="F53" i="29876" s="1"/>
  <c r="F58" i="29876" s="1"/>
  <c r="B140" i="29869"/>
  <c r="B139" i="29869" s="1"/>
  <c r="C139" i="29869"/>
  <c r="E139" i="29869" s="1"/>
  <c r="D139" i="29869"/>
  <c r="D23" i="29873"/>
  <c r="E23" i="29873" s="1"/>
  <c r="G23" i="29873" s="1"/>
  <c r="K23" i="29873" s="1"/>
  <c r="C26" i="29873"/>
  <c r="D9" i="23"/>
  <c r="E9" i="23"/>
  <c r="G9" i="23"/>
  <c r="C12" i="23"/>
  <c r="M29" i="23"/>
  <c r="E145" i="29869"/>
  <c r="D145" i="29869"/>
  <c r="E149" i="29868"/>
  <c r="H3" i="29872"/>
  <c r="C77" i="29869"/>
  <c r="E76" i="29869"/>
  <c r="N76" i="29869"/>
  <c r="C140" i="29869"/>
  <c r="D140" i="29869" s="1"/>
  <c r="E140" i="29869"/>
  <c r="D12" i="23"/>
  <c r="E12" i="23" s="1"/>
  <c r="G12" i="23"/>
  <c r="K12" i="23" s="1"/>
  <c r="P12" i="23" s="1"/>
  <c r="N12" i="23"/>
  <c r="C15" i="23"/>
  <c r="G149" i="29868"/>
  <c r="E141" i="29869"/>
  <c r="D26" i="29876"/>
  <c r="E26" i="29876" s="1"/>
  <c r="G26" i="29876"/>
  <c r="K26" i="29876" s="1"/>
  <c r="P8" i="23"/>
  <c r="M8" i="23"/>
  <c r="B138" i="29869"/>
  <c r="C138" i="29869" s="1"/>
  <c r="D138" i="29869" s="1"/>
  <c r="E138" i="29869"/>
  <c r="K29" i="29876"/>
  <c r="C32" i="29876"/>
  <c r="G138" i="29869"/>
  <c r="G139" i="29869"/>
  <c r="G141" i="29869"/>
  <c r="H76" i="29868"/>
  <c r="I76" i="29868" s="1"/>
  <c r="J76" i="29868" s="1"/>
  <c r="G145" i="29868"/>
  <c r="U8" i="29831"/>
  <c r="Y8" i="29831"/>
  <c r="Y16" i="29831"/>
  <c r="Y13" i="29831"/>
  <c r="Z4" i="29831"/>
  <c r="Z17" i="29831" s="1"/>
  <c r="Y10" i="29831"/>
  <c r="Y18" i="29831"/>
  <c r="Y7" i="29831"/>
  <c r="Z18" i="29831"/>
  <c r="Z6" i="29831"/>
  <c r="Z13" i="29831"/>
  <c r="Z12" i="29831"/>
  <c r="Z15" i="29831"/>
  <c r="B137" i="29869"/>
  <c r="B139" i="29868"/>
  <c r="G143" i="29869"/>
  <c r="G146" i="29869"/>
  <c r="G145" i="29869"/>
  <c r="G150" i="29869"/>
  <c r="G143" i="29868"/>
  <c r="G150" i="29868"/>
  <c r="G147" i="29868"/>
  <c r="G141" i="29868"/>
  <c r="D11" i="29869"/>
  <c r="E11" i="29869" s="1"/>
  <c r="G11" i="29869" s="1"/>
  <c r="K11" i="29869" s="1"/>
  <c r="C14" i="29869"/>
  <c r="R42" i="29844"/>
  <c r="R40" i="29844"/>
  <c r="R38" i="29844"/>
  <c r="R36" i="29844"/>
  <c r="R34" i="29844"/>
  <c r="R32" i="29844"/>
  <c r="R30" i="29844"/>
  <c r="R28" i="29844"/>
  <c r="R26" i="29844"/>
  <c r="R24" i="29844"/>
  <c r="R22" i="29844"/>
  <c r="R20" i="29844"/>
  <c r="R18" i="29844"/>
  <c r="R16" i="29844"/>
  <c r="R14" i="29844"/>
  <c r="R12" i="29844"/>
  <c r="R10" i="29844"/>
  <c r="R8" i="29844"/>
  <c r="R6" i="29844"/>
  <c r="R39" i="29844"/>
  <c r="R35" i="29844"/>
  <c r="R31" i="29844"/>
  <c r="R25" i="29844"/>
  <c r="R21" i="29844"/>
  <c r="R13" i="29844"/>
  <c r="R9" i="29844"/>
  <c r="R5" i="29844"/>
  <c r="R41" i="29844"/>
  <c r="R33" i="29844"/>
  <c r="R15" i="29844"/>
  <c r="R7" i="29844"/>
  <c r="R29" i="29844"/>
  <c r="R27" i="29844"/>
  <c r="R11" i="29844"/>
  <c r="R37" i="29844"/>
  <c r="R19" i="29844"/>
  <c r="H75" i="29869"/>
  <c r="I75" i="29869" s="1"/>
  <c r="J75" i="29869" s="1"/>
  <c r="F76" i="29869"/>
  <c r="J26" i="23"/>
  <c r="P71" i="29867"/>
  <c r="M24" i="23"/>
  <c r="D142" i="29869"/>
  <c r="C142" i="29868"/>
  <c r="J32" i="23"/>
  <c r="J20" i="29876"/>
  <c r="I55" i="29876"/>
  <c r="J9" i="23"/>
  <c r="AA33" i="29872"/>
  <c r="J2" i="29842"/>
  <c r="E146" i="29869"/>
  <c r="E56" i="23"/>
  <c r="E57" i="23" s="1"/>
  <c r="H57" i="23" s="1"/>
  <c r="H55" i="23"/>
  <c r="F225" i="29867"/>
  <c r="C11" i="29873"/>
  <c r="D8" i="29873"/>
  <c r="E8" i="29873"/>
  <c r="G8" i="29873"/>
  <c r="I42" i="29876"/>
  <c r="J42" i="29876"/>
  <c r="AB26" i="29875"/>
  <c r="I23" i="29876"/>
  <c r="J23" i="29876" s="1"/>
  <c r="Z35" i="29875"/>
  <c r="Z31" i="29875"/>
  <c r="J8" i="29876"/>
  <c r="I52" i="29876"/>
  <c r="C14" i="29876"/>
  <c r="D11" i="29876"/>
  <c r="E11" i="29876"/>
  <c r="G11" i="29876"/>
  <c r="K11" i="29876" s="1"/>
  <c r="F54" i="29876" s="1"/>
  <c r="U40" i="21"/>
  <c r="M15" i="23"/>
  <c r="J15" i="23"/>
  <c r="I20" i="29873"/>
  <c r="AA35" i="29872"/>
  <c r="AA34" i="29872"/>
  <c r="R5" i="29831"/>
  <c r="R7" i="29831"/>
  <c r="R9" i="29831"/>
  <c r="R11" i="29831"/>
  <c r="R13" i="29831"/>
  <c r="R15" i="29831"/>
  <c r="U9" i="29831"/>
  <c r="D11" i="29873"/>
  <c r="E11" i="29873"/>
  <c r="G11" i="29873"/>
  <c r="C14" i="29873"/>
  <c r="I55" i="29873"/>
  <c r="J20" i="29873"/>
  <c r="C17" i="29876"/>
  <c r="D17" i="29876" s="1"/>
  <c r="E17" i="29876" s="1"/>
  <c r="G17" i="29876" s="1"/>
  <c r="K17" i="29876" s="1"/>
  <c r="D14" i="29876"/>
  <c r="E14" i="29876" s="1"/>
  <c r="G14" i="29876" s="1"/>
  <c r="K14" i="29876" s="1"/>
  <c r="G76" i="29869"/>
  <c r="G41" i="23"/>
  <c r="G142" i="29869"/>
  <c r="C139" i="29868"/>
  <c r="B138" i="29868"/>
  <c r="B137" i="29868"/>
  <c r="C138" i="29868"/>
  <c r="E138" i="29868" s="1"/>
  <c r="E58" i="23"/>
  <c r="C17" i="29873"/>
  <c r="D17" i="29873"/>
  <c r="E17" i="29873"/>
  <c r="G17" i="29873" s="1"/>
  <c r="K17" i="29873" s="1"/>
  <c r="D14" i="29873"/>
  <c r="E14" i="29873"/>
  <c r="G14" i="29873" s="1"/>
  <c r="K14" i="29873" s="1"/>
  <c r="D138" i="29868"/>
  <c r="C137" i="29868"/>
  <c r="E137" i="29868" s="1"/>
  <c r="B136" i="29868"/>
  <c r="C136" i="29868" s="1"/>
  <c r="D136" i="29868" s="1"/>
  <c r="B135" i="29868"/>
  <c r="B134" i="29868" s="1"/>
  <c r="B133" i="29868" s="1"/>
  <c r="D137" i="29868"/>
  <c r="G138" i="29868"/>
  <c r="E136" i="29868"/>
  <c r="C135" i="29868"/>
  <c r="C134" i="29868"/>
  <c r="G136" i="29868"/>
  <c r="K11" i="29873"/>
  <c r="J32" i="29873"/>
  <c r="L38" i="29873"/>
  <c r="J26" i="29873"/>
  <c r="J29" i="29873"/>
  <c r="I42" i="29873"/>
  <c r="J42" i="29873" s="1"/>
  <c r="K42" i="29873"/>
  <c r="L41" i="29873"/>
  <c r="P100" i="19"/>
  <c r="Q100" i="19" s="1"/>
  <c r="R100" i="19" s="1"/>
  <c r="O112" i="9" l="1"/>
  <c r="U24" i="21"/>
  <c r="U17" i="21"/>
  <c r="E44" i="29848"/>
  <c r="I23" i="29843"/>
  <c r="E23" i="19"/>
  <c r="E24" i="19" s="1"/>
  <c r="E17" i="19"/>
  <c r="L14" i="9"/>
  <c r="L15" i="9" s="1"/>
  <c r="L16" i="9" s="1"/>
  <c r="D17" i="9" s="1"/>
  <c r="F38" i="19"/>
  <c r="F39" i="19" s="1"/>
  <c r="F32" i="19"/>
  <c r="L74" i="9"/>
  <c r="L75" i="9" s="1"/>
  <c r="L76" i="9" s="1"/>
  <c r="D77" i="9" s="1"/>
  <c r="L98" i="9"/>
  <c r="L99" i="9" s="1"/>
  <c r="L100" i="9" s="1"/>
  <c r="D101" i="9" s="1"/>
  <c r="L122" i="9"/>
  <c r="L123" i="9" s="1"/>
  <c r="L124" i="9" s="1"/>
  <c r="D125" i="9" s="1"/>
  <c r="L26" i="29843"/>
  <c r="Q5" i="29843" s="1"/>
  <c r="L26" i="9"/>
  <c r="L27" i="9" s="1"/>
  <c r="L28" i="9" s="1"/>
  <c r="D29" i="9" s="1"/>
  <c r="L50" i="9"/>
  <c r="L51" i="9" s="1"/>
  <c r="L52" i="9" s="1"/>
  <c r="D53" i="9" s="1"/>
  <c r="M26" i="9"/>
  <c r="M27" i="9" s="1"/>
  <c r="M28" i="9" s="1"/>
  <c r="E29" i="9" s="1"/>
  <c r="E59" i="29844"/>
  <c r="F59" i="29844" s="1"/>
  <c r="M62" i="9"/>
  <c r="M63" i="9" s="1"/>
  <c r="M64" i="9" s="1"/>
  <c r="E65" i="9" s="1"/>
  <c r="M38" i="9"/>
  <c r="M39" i="9" s="1"/>
  <c r="M40" i="9" s="1"/>
  <c r="E41" i="9" s="1"/>
  <c r="E62" i="29844"/>
  <c r="E60" i="29844"/>
  <c r="F60" i="29844" s="1"/>
  <c r="E98" i="19"/>
  <c r="E100" i="19" s="1"/>
  <c r="L38" i="9"/>
  <c r="L39" i="9" s="1"/>
  <c r="L40" i="9" s="1"/>
  <c r="D41" i="9" s="1"/>
  <c r="L62" i="9"/>
  <c r="L63" i="9" s="1"/>
  <c r="L64" i="9" s="1"/>
  <c r="D65" i="9" s="1"/>
  <c r="L86" i="9"/>
  <c r="L87" i="9" s="1"/>
  <c r="L88" i="9" s="1"/>
  <c r="D89" i="9" s="1"/>
  <c r="L110" i="9"/>
  <c r="L111" i="9" s="1"/>
  <c r="L112" i="9" s="1"/>
  <c r="D113" i="9" s="1"/>
  <c r="M110" i="9"/>
  <c r="M111" i="9" s="1"/>
  <c r="M112" i="9" s="1"/>
  <c r="E113" i="9" s="1"/>
  <c r="M74" i="9"/>
  <c r="M75" i="9" s="1"/>
  <c r="M76" i="9" s="1"/>
  <c r="E77" i="9" s="1"/>
  <c r="M122" i="9"/>
  <c r="M123" i="9" s="1"/>
  <c r="M124" i="9" s="1"/>
  <c r="E125" i="9" s="1"/>
  <c r="M86" i="9"/>
  <c r="M87" i="9" s="1"/>
  <c r="M88" i="9" s="1"/>
  <c r="E89" i="9" s="1"/>
  <c r="M50" i="9"/>
  <c r="M51" i="9" s="1"/>
  <c r="M52" i="9" s="1"/>
  <c r="E53" i="9" s="1"/>
  <c r="M98" i="9"/>
  <c r="M99" i="9" s="1"/>
  <c r="M100" i="9" s="1"/>
  <c r="E101" i="9" s="1"/>
  <c r="I74" i="29838"/>
  <c r="M14" i="9"/>
  <c r="M15" i="9" s="1"/>
  <c r="M16" i="9" s="1"/>
  <c r="E17" i="9" s="1"/>
  <c r="E111" i="29844"/>
  <c r="F111" i="29844" s="1"/>
  <c r="E9" i="29844"/>
  <c r="F9" i="29844" s="1"/>
  <c r="E113" i="29844"/>
  <c r="E11" i="29844"/>
  <c r="E8" i="29844"/>
  <c r="F8" i="29844" s="1"/>
  <c r="E110" i="29844"/>
  <c r="F110" i="29844" s="1"/>
  <c r="F87" i="29831"/>
  <c r="F109" i="29831" s="1"/>
  <c r="F48" i="29831"/>
  <c r="G54" i="29831" s="1"/>
  <c r="D42" i="29840"/>
  <c r="D47" i="29840" s="1"/>
  <c r="M65" i="21"/>
  <c r="J42" i="29862"/>
  <c r="J41" i="29838"/>
  <c r="J11" i="29838"/>
  <c r="J21" i="29838"/>
  <c r="J61" i="29838"/>
  <c r="M50" i="21"/>
  <c r="M34" i="21"/>
  <c r="L87" i="11"/>
  <c r="L161" i="29839"/>
  <c r="J51" i="29838"/>
  <c r="L84" i="29839"/>
  <c r="L108" i="29839"/>
  <c r="L134" i="29839"/>
  <c r="L13" i="29839"/>
  <c r="K37" i="29831"/>
  <c r="J64" i="29834"/>
  <c r="J44" i="29834"/>
  <c r="F98" i="19"/>
  <c r="F100" i="19" s="1"/>
  <c r="F101" i="19" s="1"/>
  <c r="L75" i="19"/>
  <c r="D20" i="29847"/>
  <c r="E37" i="29848" s="1"/>
  <c r="E38" i="29848" s="1"/>
  <c r="F30" i="29863"/>
  <c r="F35" i="29863"/>
  <c r="F25" i="29863"/>
  <c r="M12" i="29843"/>
  <c r="L18" i="29843"/>
  <c r="L19" i="29843" s="1"/>
  <c r="L20" i="29843" s="1"/>
  <c r="D10" i="29843" s="1"/>
  <c r="L12" i="29843"/>
  <c r="M17" i="29843"/>
  <c r="M18" i="29843" s="1"/>
  <c r="M19" i="29843" s="1"/>
  <c r="M20" i="29843" s="1"/>
  <c r="E10" i="29843" s="1"/>
  <c r="C73" i="29867"/>
  <c r="L73" i="29867" s="1"/>
  <c r="J47" i="11"/>
  <c r="J48" i="11" s="1"/>
  <c r="D8" i="29840"/>
  <c r="E8" i="29840" s="1"/>
  <c r="E13" i="29840" s="1"/>
  <c r="D113" i="29839"/>
  <c r="I114" i="29834"/>
  <c r="F65" i="29863"/>
  <c r="F15" i="29863"/>
  <c r="F45" i="29863"/>
  <c r="F60" i="29863"/>
  <c r="F20" i="29863"/>
  <c r="F50" i="29863"/>
  <c r="F40" i="29863"/>
  <c r="F31" i="29844"/>
  <c r="F47" i="29844" s="1"/>
  <c r="L47" i="29844" s="1"/>
  <c r="F36" i="29844"/>
  <c r="U13" i="29831"/>
  <c r="Z11" i="29831"/>
  <c r="Z16" i="29831"/>
  <c r="Z14" i="29831"/>
  <c r="U11" i="29831"/>
  <c r="Y6" i="29831"/>
  <c r="Y9" i="29831"/>
  <c r="Y15" i="29831"/>
  <c r="Z8" i="29831"/>
  <c r="Y11" i="29831"/>
  <c r="Y14" i="29831"/>
  <c r="Y17" i="29831"/>
  <c r="Y12" i="29831"/>
  <c r="C94" i="29868"/>
  <c r="D94" i="29868" s="1"/>
  <c r="E94" i="29868" s="1"/>
  <c r="D31" i="29840"/>
  <c r="E31" i="29840" s="1"/>
  <c r="E36" i="29840" s="1"/>
  <c r="I165" i="29844"/>
  <c r="P103" i="19"/>
  <c r="Q103" i="19" s="1"/>
  <c r="R103" i="19" s="1"/>
  <c r="F23" i="19"/>
  <c r="F24" i="19" s="1"/>
  <c r="E123" i="29867"/>
  <c r="C68" i="29867"/>
  <c r="L68" i="29867" s="1"/>
  <c r="C9" i="29839"/>
  <c r="C161" i="29839"/>
  <c r="U24" i="29844"/>
  <c r="F82" i="29844"/>
  <c r="J30" i="29834"/>
  <c r="J98" i="29834"/>
  <c r="K64" i="29834"/>
  <c r="J78" i="29834"/>
  <c r="K98" i="29834"/>
  <c r="K30" i="29834"/>
  <c r="J10" i="29834"/>
  <c r="I52" i="29831"/>
  <c r="I91" i="29831"/>
  <c r="L115" i="29831"/>
  <c r="K115" i="29831"/>
  <c r="K76" i="29831"/>
  <c r="L76" i="29831"/>
  <c r="U17" i="29844"/>
  <c r="U14" i="29844"/>
  <c r="U6" i="29844"/>
  <c r="U26" i="29844"/>
  <c r="J13" i="29844"/>
  <c r="I115" i="29844"/>
  <c r="U42" i="29844"/>
  <c r="U37" i="29844"/>
  <c r="U9" i="29844"/>
  <c r="U15" i="29844"/>
  <c r="U20" i="29844"/>
  <c r="E88" i="29844"/>
  <c r="C74" i="29866"/>
  <c r="D19" i="29840"/>
  <c r="C122" i="29839"/>
  <c r="D189" i="29839"/>
  <c r="D151" i="29839"/>
  <c r="F65" i="29834"/>
  <c r="E36" i="29831"/>
  <c r="E38" i="29831" s="1"/>
  <c r="F97" i="29834"/>
  <c r="F63" i="29834"/>
  <c r="J120" i="29831"/>
  <c r="Y34" i="29844"/>
  <c r="Y17" i="29844"/>
  <c r="F133" i="29844"/>
  <c r="E138" i="29844"/>
  <c r="U35" i="29844"/>
  <c r="U16" i="29844"/>
  <c r="U11" i="29844"/>
  <c r="U40" i="29844"/>
  <c r="U8" i="29844"/>
  <c r="U28" i="29844"/>
  <c r="U31" i="29844"/>
  <c r="E36" i="29844"/>
  <c r="U43" i="29844"/>
  <c r="U23" i="29844"/>
  <c r="U29" i="29844"/>
  <c r="U22" i="29844"/>
  <c r="U7" i="29844"/>
  <c r="U38" i="29844"/>
  <c r="U30" i="29844"/>
  <c r="U19" i="29844"/>
  <c r="U41" i="29844"/>
  <c r="U32" i="29844"/>
  <c r="U36" i="29844"/>
  <c r="U34" i="29844"/>
  <c r="U12" i="29844"/>
  <c r="U39" i="29844"/>
  <c r="U27" i="29844"/>
  <c r="U10" i="29844"/>
  <c r="U5" i="29844"/>
  <c r="U18" i="29844"/>
  <c r="U33" i="29844"/>
  <c r="U25" i="29844"/>
  <c r="U21" i="29844"/>
  <c r="U44" i="29844"/>
  <c r="Y39" i="29844"/>
  <c r="Y28" i="29844"/>
  <c r="Z4" i="29844"/>
  <c r="Z36" i="29844" s="1"/>
  <c r="Y8" i="29844"/>
  <c r="Y23" i="29844"/>
  <c r="Y30" i="29844"/>
  <c r="Y42" i="29844"/>
  <c r="Y32" i="29844"/>
  <c r="Y24" i="29844"/>
  <c r="L45" i="11"/>
  <c r="E84" i="29844"/>
  <c r="E87" i="29844"/>
  <c r="E89" i="29844"/>
  <c r="E98" i="29844"/>
  <c r="K98" i="29844" s="1"/>
  <c r="E32" i="29844"/>
  <c r="E38" i="29844" s="1"/>
  <c r="E47" i="29844"/>
  <c r="K47" i="29844" s="1"/>
  <c r="Y14" i="29844"/>
  <c r="Y41" i="29844"/>
  <c r="Y9" i="29844"/>
  <c r="Y29" i="29844"/>
  <c r="Y27" i="29844"/>
  <c r="Y38" i="29844"/>
  <c r="Y11" i="29844"/>
  <c r="Y18" i="29844"/>
  <c r="Y10" i="29844"/>
  <c r="Y12" i="29844"/>
  <c r="Y35" i="29844"/>
  <c r="Y7" i="29844"/>
  <c r="Y36" i="29844"/>
  <c r="Y16" i="29844"/>
  <c r="Y40" i="29844"/>
  <c r="Y20" i="29844"/>
  <c r="Y37" i="29844"/>
  <c r="Y19" i="29844"/>
  <c r="Y33" i="29844"/>
  <c r="Y5" i="29844"/>
  <c r="Y15" i="29844"/>
  <c r="Y6" i="29844"/>
  <c r="Y13" i="29844"/>
  <c r="Y21" i="29844"/>
  <c r="Y25" i="29844"/>
  <c r="Y26" i="29844"/>
  <c r="Y31" i="29844"/>
  <c r="Y43" i="29844"/>
  <c r="E139" i="29844"/>
  <c r="E141" i="29844"/>
  <c r="E140" i="29844"/>
  <c r="E135" i="29844"/>
  <c r="E149" i="29844"/>
  <c r="K149" i="29844" s="1"/>
  <c r="F36" i="29831"/>
  <c r="F38" i="29831" s="1"/>
  <c r="E108" i="29831"/>
  <c r="F75" i="29831"/>
  <c r="F77" i="29831" s="1"/>
  <c r="E114" i="29831"/>
  <c r="E116" i="29831" s="1"/>
  <c r="E75" i="29831"/>
  <c r="E77" i="29831" s="1"/>
  <c r="F114" i="29831"/>
  <c r="F116" i="29831" s="1"/>
  <c r="E69" i="29831"/>
  <c r="E109" i="29831"/>
  <c r="E31" i="29834"/>
  <c r="E32" i="29834" s="1"/>
  <c r="E35" i="29834" s="1"/>
  <c r="E19" i="29834" s="1"/>
  <c r="F99" i="29834"/>
  <c r="E94" i="29834"/>
  <c r="E99" i="29834" s="1"/>
  <c r="E100" i="29834" s="1"/>
  <c r="E103" i="29834" s="1"/>
  <c r="E87" i="29834" s="1"/>
  <c r="E60" i="29834"/>
  <c r="E65" i="29834" s="1"/>
  <c r="E66" i="29834" s="1"/>
  <c r="E69" i="29834" s="1"/>
  <c r="E53" i="29834" s="1"/>
  <c r="E189" i="29839"/>
  <c r="E148" i="29839"/>
  <c r="D225" i="29839"/>
  <c r="D72" i="29839"/>
  <c r="E225" i="29839"/>
  <c r="D110" i="29839"/>
  <c r="E72" i="29839"/>
  <c r="C199" i="29839"/>
  <c r="E186" i="29839"/>
  <c r="E191" i="29839" s="1"/>
  <c r="E164" i="29839" s="1"/>
  <c r="E110" i="29839"/>
  <c r="D35" i="29839"/>
  <c r="E95" i="29839"/>
  <c r="E113" i="29839" s="1"/>
  <c r="D140" i="29839"/>
  <c r="E35" i="29839"/>
  <c r="D186" i="29839"/>
  <c r="C47" i="29839"/>
  <c r="C46" i="29876"/>
  <c r="C94" i="29869"/>
  <c r="D94" i="29869" s="1"/>
  <c r="E94" i="29869" s="1"/>
  <c r="P52" i="29876"/>
  <c r="P54" i="29876" s="1"/>
  <c r="Q54" i="29876" s="1"/>
  <c r="C71" i="29867"/>
  <c r="L71" i="29867" s="1"/>
  <c r="K47" i="11"/>
  <c r="K48" i="11" s="1"/>
  <c r="C46" i="29873"/>
  <c r="C70" i="29866"/>
  <c r="L70" i="29866" s="1"/>
  <c r="B20" i="29874"/>
  <c r="B21" i="29874" s="1"/>
  <c r="C9" i="29873"/>
  <c r="E123" i="29866"/>
  <c r="C13" i="29865"/>
  <c r="C46" i="29843" s="1"/>
  <c r="E124" i="29867"/>
  <c r="H11" i="29840"/>
  <c r="H13" i="29840" s="1"/>
  <c r="H34" i="29840"/>
  <c r="H36" i="29840" s="1"/>
  <c r="H45" i="29840"/>
  <c r="H47" i="29840" s="1"/>
  <c r="H22" i="29840"/>
  <c r="H24" i="29840" s="1"/>
  <c r="K65" i="11"/>
  <c r="E72" i="11" s="1"/>
  <c r="E73" i="11" s="1"/>
  <c r="J107" i="11"/>
  <c r="J108" i="11" s="1"/>
  <c r="J86" i="11"/>
  <c r="J128" i="11"/>
  <c r="J129" i="11" s="1"/>
  <c r="K149" i="11"/>
  <c r="K150" i="11" s="1"/>
  <c r="J149" i="11"/>
  <c r="J150" i="11" s="1"/>
  <c r="J65" i="11"/>
  <c r="D72" i="11" s="1"/>
  <c r="D73" i="11" s="1"/>
  <c r="K86" i="11"/>
  <c r="K87" i="11" s="1"/>
  <c r="K107" i="11"/>
  <c r="K108" i="11" s="1"/>
  <c r="K128" i="11"/>
  <c r="K129" i="11" s="1"/>
  <c r="E38" i="19"/>
  <c r="E39" i="19" s="1"/>
  <c r="G36" i="29875"/>
  <c r="G37" i="29875" s="1"/>
  <c r="H28" i="29875" s="1"/>
  <c r="B20" i="29871"/>
  <c r="B21" i="29871" s="1"/>
  <c r="C9" i="29876"/>
  <c r="E83" i="29873"/>
  <c r="L70" i="29867"/>
  <c r="C69" i="29867"/>
  <c r="E124" i="29866"/>
  <c r="L72" i="29867"/>
  <c r="C72" i="29866"/>
  <c r="D17" i="23"/>
  <c r="E17" i="23" s="1"/>
  <c r="G17" i="23" s="1"/>
  <c r="C20" i="23"/>
  <c r="D12" i="29868"/>
  <c r="E12" i="29868" s="1"/>
  <c r="G12" i="29868" s="1"/>
  <c r="K12" i="29868" s="1"/>
  <c r="C15" i="29868"/>
  <c r="E59" i="23"/>
  <c r="H58" i="23"/>
  <c r="F26" i="29834"/>
  <c r="F31" i="29834" s="1"/>
  <c r="F29" i="29834"/>
  <c r="I169" i="11"/>
  <c r="L92" i="21"/>
  <c r="J21" i="23"/>
  <c r="M21" i="23"/>
  <c r="M18" i="23"/>
  <c r="J18" i="23"/>
  <c r="O40" i="9"/>
  <c r="O88" i="9"/>
  <c r="O124" i="9"/>
  <c r="O64" i="9"/>
  <c r="O28" i="9"/>
  <c r="O76" i="9"/>
  <c r="O100" i="9"/>
  <c r="S81" i="19"/>
  <c r="R81" i="19"/>
  <c r="AB25" i="29875"/>
  <c r="K41" i="29876"/>
  <c r="L41" i="29876" s="1"/>
  <c r="I41" i="29876"/>
  <c r="J41" i="29876" s="1"/>
  <c r="Q7" i="29843"/>
  <c r="P7" i="29843"/>
  <c r="L73" i="29866"/>
  <c r="E118" i="29866"/>
  <c r="F41" i="29869"/>
  <c r="B136" i="29869"/>
  <c r="C137" i="29869"/>
  <c r="D9" i="29868"/>
  <c r="E9" i="29868" s="1"/>
  <c r="G9" i="29868" s="1"/>
  <c r="K9" i="29868" s="1"/>
  <c r="Q52" i="29873"/>
  <c r="P54" i="29873"/>
  <c r="Q54" i="29873" s="1"/>
  <c r="H56" i="23"/>
  <c r="N3" i="29875"/>
  <c r="M23" i="23"/>
  <c r="J23" i="23"/>
  <c r="M12" i="23"/>
  <c r="J12" i="23"/>
  <c r="C12" i="29869"/>
  <c r="D9" i="29869"/>
  <c r="E9" i="29869" s="1"/>
  <c r="G9" i="29869" s="1"/>
  <c r="K9" i="29869" s="1"/>
  <c r="E214" i="29839"/>
  <c r="E217" i="29839" s="1"/>
  <c r="E228" i="29839" s="1"/>
  <c r="E175" i="29839"/>
  <c r="E178" i="29839" s="1"/>
  <c r="D99" i="29839"/>
  <c r="D102" i="29839" s="1"/>
  <c r="D175" i="29839"/>
  <c r="D178" i="29839" s="1"/>
  <c r="E137" i="29839"/>
  <c r="E140" i="29839" s="1"/>
  <c r="E61" i="29839"/>
  <c r="E64" i="29839" s="1"/>
  <c r="E75" i="29839" s="1"/>
  <c r="D214" i="29839"/>
  <c r="D217" i="29839" s="1"/>
  <c r="D228" i="29839" s="1"/>
  <c r="D24" i="29839"/>
  <c r="D27" i="29839" s="1"/>
  <c r="D38" i="29839" s="1"/>
  <c r="D61" i="29839"/>
  <c r="D64" i="29839" s="1"/>
  <c r="D75" i="29839" s="1"/>
  <c r="E24" i="29839"/>
  <c r="E27" i="29839" s="1"/>
  <c r="E38" i="29839" s="1"/>
  <c r="E99" i="29839"/>
  <c r="E102" i="29839" s="1"/>
  <c r="D134" i="29868"/>
  <c r="E134" i="29868"/>
  <c r="E142" i="29868"/>
  <c r="D142" i="29868"/>
  <c r="F53" i="29873"/>
  <c r="E117" i="29866"/>
  <c r="F54" i="29873"/>
  <c r="E135" i="29868"/>
  <c r="D135" i="29868"/>
  <c r="K76" i="29869"/>
  <c r="I58" i="29876"/>
  <c r="J54" i="29876" s="1"/>
  <c r="J52" i="29876"/>
  <c r="J55" i="29876"/>
  <c r="F77" i="29869"/>
  <c r="H76" i="29869"/>
  <c r="I76" i="29869" s="1"/>
  <c r="J76" i="29869" s="1"/>
  <c r="D15" i="23"/>
  <c r="E15" i="23" s="1"/>
  <c r="G15" i="23" s="1"/>
  <c r="C18" i="23"/>
  <c r="D77" i="29869"/>
  <c r="E77" i="29869" s="1"/>
  <c r="C78" i="29869"/>
  <c r="K14" i="23"/>
  <c r="N14" i="23"/>
  <c r="K8" i="29873"/>
  <c r="K72" i="29867"/>
  <c r="G36" i="29872"/>
  <c r="G37" i="29872" s="1"/>
  <c r="B132" i="29868"/>
  <c r="C133" i="29868"/>
  <c r="D139" i="29868"/>
  <c r="E139" i="29868"/>
  <c r="K9" i="23"/>
  <c r="N9" i="23"/>
  <c r="K75" i="29869"/>
  <c r="G74" i="29868"/>
  <c r="K74" i="29868" s="1"/>
  <c r="N74" i="29868"/>
  <c r="I105" i="29834"/>
  <c r="J3" i="29875"/>
  <c r="F4" i="29875"/>
  <c r="H77" i="29868"/>
  <c r="I77" i="29868" s="1"/>
  <c r="J77" i="29868" s="1"/>
  <c r="F78" i="29868"/>
  <c r="G137" i="29868"/>
  <c r="D14" i="29869"/>
  <c r="E14" i="29869" s="1"/>
  <c r="G14" i="29869" s="1"/>
  <c r="K14" i="29869" s="1"/>
  <c r="C17" i="29869"/>
  <c r="D32" i="29876"/>
  <c r="E32" i="29876" s="1"/>
  <c r="G32" i="29876" s="1"/>
  <c r="K32" i="29876" s="1"/>
  <c r="C35" i="29876"/>
  <c r="D75" i="29868"/>
  <c r="E75" i="29868" s="1"/>
  <c r="C76" i="29868"/>
  <c r="N11" i="23"/>
  <c r="O12" i="23" s="1"/>
  <c r="O11" i="23" s="1"/>
  <c r="K11" i="23"/>
  <c r="I58" i="29873"/>
  <c r="G148" i="29869"/>
  <c r="O67" i="29873"/>
  <c r="N68" i="29873"/>
  <c r="Z10" i="29831"/>
  <c r="Z9" i="29831"/>
  <c r="AJ5" i="29831"/>
  <c r="Z5" i="29831" s="1"/>
  <c r="Z7" i="29831"/>
  <c r="D26" i="29873"/>
  <c r="E26" i="29873" s="1"/>
  <c r="G26" i="29873" s="1"/>
  <c r="K26" i="29873" s="1"/>
  <c r="C29" i="29873"/>
  <c r="G149" i="29869"/>
  <c r="G144" i="29869"/>
  <c r="G140" i="29869"/>
  <c r="L8" i="23"/>
  <c r="E39" i="23" s="1"/>
  <c r="D14" i="29868"/>
  <c r="E14" i="29868" s="1"/>
  <c r="G14" i="29868" s="1"/>
  <c r="K14" i="29868" s="1"/>
  <c r="C17" i="29868"/>
  <c r="D148" i="29839"/>
  <c r="G140" i="29868"/>
  <c r="G144" i="29868"/>
  <c r="L150" i="11"/>
  <c r="L129" i="11"/>
  <c r="L108" i="11"/>
  <c r="J64" i="29844"/>
  <c r="I64" i="29844"/>
  <c r="E147" i="29869"/>
  <c r="D147" i="29869"/>
  <c r="L38" i="29876"/>
  <c r="U14" i="29831"/>
  <c r="U15" i="29831"/>
  <c r="U18" i="29831"/>
  <c r="U17" i="29831"/>
  <c r="U10" i="29831"/>
  <c r="U5" i="29831"/>
  <c r="U16" i="29831"/>
  <c r="U7" i="29831"/>
  <c r="F10" i="29831"/>
  <c r="U6" i="29831"/>
  <c r="I13" i="29831"/>
  <c r="L37" i="29831"/>
  <c r="E146" i="29868"/>
  <c r="D146" i="29868"/>
  <c r="F14" i="29867"/>
  <c r="F106" i="29867"/>
  <c r="F13" i="29867"/>
  <c r="F12" i="29867"/>
  <c r="I129" i="29831"/>
  <c r="M17" i="23"/>
  <c r="J17" i="23"/>
  <c r="G3" i="29872"/>
  <c r="G4" i="29872" s="1"/>
  <c r="L3" i="29872"/>
  <c r="F3" i="29872"/>
  <c r="J8" i="29873"/>
  <c r="H75" i="29868"/>
  <c r="I75" i="29868" s="1"/>
  <c r="J75" i="29868" s="1"/>
  <c r="M30" i="23"/>
  <c r="R65" i="29873"/>
  <c r="T65" i="29873" s="1"/>
  <c r="E151" i="29839"/>
  <c r="J138" i="9"/>
  <c r="C85" i="29839"/>
  <c r="C84" i="29839"/>
  <c r="J11" i="23"/>
  <c r="M11" i="23"/>
  <c r="K20" i="29873"/>
  <c r="R16" i="29831"/>
  <c r="R8" i="29831"/>
  <c r="R18" i="29831"/>
  <c r="R10" i="29831"/>
  <c r="S67" i="29873"/>
  <c r="S66" i="29873"/>
  <c r="T66" i="29873" s="1"/>
  <c r="P5" i="29843" l="1"/>
  <c r="L11" i="29843" s="1"/>
  <c r="D11" i="29843" s="1"/>
  <c r="F52" i="9"/>
  <c r="E61" i="29844"/>
  <c r="D115" i="29839"/>
  <c r="D88" i="29839" s="1"/>
  <c r="E115" i="29839"/>
  <c r="E88" i="29839" s="1"/>
  <c r="G93" i="29831"/>
  <c r="E10" i="29844"/>
  <c r="E112" i="29844"/>
  <c r="F112" i="29844" s="1"/>
  <c r="F69" i="29831"/>
  <c r="F108" i="29831"/>
  <c r="F9" i="29831"/>
  <c r="F30" i="29831" s="1"/>
  <c r="F113" i="29844"/>
  <c r="G121" i="29844" s="1"/>
  <c r="E42" i="29840"/>
  <c r="E47" i="29840" s="1"/>
  <c r="F103" i="19"/>
  <c r="F105" i="19" s="1"/>
  <c r="D83" i="21"/>
  <c r="D93" i="11"/>
  <c r="D94" i="11" s="1"/>
  <c r="E65" i="29838"/>
  <c r="G15" i="29848" s="1"/>
  <c r="L36" i="29850" s="1"/>
  <c r="D65" i="29838"/>
  <c r="D15" i="29848" s="1"/>
  <c r="L34" i="29862" s="1"/>
  <c r="E83" i="21"/>
  <c r="F35" i="29848" s="1"/>
  <c r="E118" i="29867"/>
  <c r="M11" i="29843"/>
  <c r="E11" i="29843" s="1"/>
  <c r="E90" i="29843"/>
  <c r="C28" i="29874" s="1"/>
  <c r="C57" i="29875" s="1"/>
  <c r="E50" i="29843"/>
  <c r="D17" i="29865" s="1"/>
  <c r="C83" i="29867" s="1"/>
  <c r="C91" i="29867" s="1"/>
  <c r="D90" i="29843"/>
  <c r="C28" i="29871" s="1"/>
  <c r="C57" i="29872" s="1"/>
  <c r="D50" i="29843"/>
  <c r="C17" i="29865" s="1"/>
  <c r="C83" i="29866" s="1"/>
  <c r="C91" i="29866" s="1"/>
  <c r="E117" i="29867"/>
  <c r="D51" i="11"/>
  <c r="D52" i="11" s="1"/>
  <c r="D13" i="29840"/>
  <c r="E19" i="29840"/>
  <c r="E24" i="29840" s="1"/>
  <c r="E40" i="29839"/>
  <c r="E13" i="29839" s="1"/>
  <c r="E153" i="29839"/>
  <c r="E126" i="29839" s="1"/>
  <c r="D153" i="29839"/>
  <c r="D126" i="29839" s="1"/>
  <c r="D36" i="29840"/>
  <c r="D191" i="29839"/>
  <c r="D164" i="29839" s="1"/>
  <c r="E95" i="29844"/>
  <c r="F62" i="29844"/>
  <c r="F97" i="29844" s="1"/>
  <c r="F11" i="29844"/>
  <c r="G19" i="29844" s="1"/>
  <c r="E145" i="29844"/>
  <c r="E148" i="29844"/>
  <c r="F32" i="29844"/>
  <c r="F33" i="29844" s="1"/>
  <c r="E30" i="29831"/>
  <c r="F149" i="29844"/>
  <c r="L149" i="29844" s="1"/>
  <c r="F98" i="29844"/>
  <c r="L98" i="29844" s="1"/>
  <c r="F95" i="29844"/>
  <c r="J156" i="29844"/>
  <c r="E230" i="29839"/>
  <c r="E202" i="29839" s="1"/>
  <c r="D230" i="29839"/>
  <c r="D202" i="29839" s="1"/>
  <c r="E77" i="29839"/>
  <c r="E50" i="29839" s="1"/>
  <c r="D77" i="29839"/>
  <c r="D50" i="29839" s="1"/>
  <c r="D40" i="29839"/>
  <c r="D13" i="29839" s="1"/>
  <c r="F83" i="29844"/>
  <c r="E43" i="29844"/>
  <c r="E94" i="29844"/>
  <c r="E46" i="29844"/>
  <c r="E97" i="29844"/>
  <c r="L120" i="29831"/>
  <c r="K105" i="29834"/>
  <c r="L105" i="29834"/>
  <c r="J105" i="29834"/>
  <c r="I120" i="29831"/>
  <c r="K120" i="29831"/>
  <c r="I156" i="29844"/>
  <c r="Z17" i="29844"/>
  <c r="C82" i="29866"/>
  <c r="D70" i="29866" s="1"/>
  <c r="I70" i="29866" s="1"/>
  <c r="C82" i="29867"/>
  <c r="D70" i="29867" s="1"/>
  <c r="D24" i="29840"/>
  <c r="F66" i="29834"/>
  <c r="F69" i="29834" s="1"/>
  <c r="F53" i="29834" s="1"/>
  <c r="F100" i="29834"/>
  <c r="F103" i="29834" s="1"/>
  <c r="F87" i="29834" s="1"/>
  <c r="Z28" i="29844"/>
  <c r="Z23" i="29844"/>
  <c r="Z43" i="29844"/>
  <c r="F134" i="29844"/>
  <c r="Z39" i="29844"/>
  <c r="Z11" i="29844"/>
  <c r="Z18" i="29844"/>
  <c r="Z27" i="29844"/>
  <c r="Z32" i="29844"/>
  <c r="Z26" i="29844"/>
  <c r="Z41" i="29844"/>
  <c r="Z20" i="29844"/>
  <c r="Z15" i="29844"/>
  <c r="Z8" i="29844"/>
  <c r="Z35" i="29844"/>
  <c r="Z16" i="29844"/>
  <c r="Z33" i="29844"/>
  <c r="Z30" i="29844"/>
  <c r="Z19" i="29844"/>
  <c r="Z5" i="29844"/>
  <c r="Z6" i="29844"/>
  <c r="Z29" i="29844"/>
  <c r="Z34" i="29844"/>
  <c r="Z9" i="29844"/>
  <c r="Z44" i="29844"/>
  <c r="Z38" i="29844"/>
  <c r="Z40" i="29844"/>
  <c r="Z25" i="29844"/>
  <c r="Z12" i="29844"/>
  <c r="E33" i="29844"/>
  <c r="Z14" i="29844"/>
  <c r="Z31" i="29844"/>
  <c r="Z21" i="29844"/>
  <c r="Z7" i="29844"/>
  <c r="Z37" i="29844"/>
  <c r="Z24" i="29844"/>
  <c r="Z42" i="29844"/>
  <c r="Z13" i="29844"/>
  <c r="Z22" i="29844"/>
  <c r="Z10" i="29844"/>
  <c r="E39" i="29844"/>
  <c r="K156" i="29844"/>
  <c r="E91" i="29844"/>
  <c r="E37" i="29844"/>
  <c r="E142" i="29844"/>
  <c r="E105" i="29834"/>
  <c r="F32" i="29834"/>
  <c r="F35" i="29834" s="1"/>
  <c r="F19" i="29834" s="1"/>
  <c r="E51" i="11"/>
  <c r="E52" i="11" s="1"/>
  <c r="K66" i="11"/>
  <c r="H27" i="29875"/>
  <c r="J27" i="29875" s="1"/>
  <c r="Q52" i="29876"/>
  <c r="Q55" i="29876" s="1"/>
  <c r="H32" i="29875"/>
  <c r="J32" i="29875" s="1"/>
  <c r="H34" i="29875"/>
  <c r="O34" i="29875" s="1"/>
  <c r="H26" i="29875"/>
  <c r="O26" i="29875" s="1"/>
  <c r="H25" i="29875"/>
  <c r="O25" i="29875" s="1"/>
  <c r="H30" i="29875"/>
  <c r="J30" i="29875" s="1"/>
  <c r="H33" i="29875"/>
  <c r="O33" i="29875" s="1"/>
  <c r="H35" i="29875"/>
  <c r="D114" i="11"/>
  <c r="D115" i="11" s="1"/>
  <c r="C12" i="29873"/>
  <c r="D9" i="29873"/>
  <c r="E9" i="29873" s="1"/>
  <c r="G9" i="29873" s="1"/>
  <c r="H29" i="29875"/>
  <c r="J29" i="29875" s="1"/>
  <c r="E93" i="11"/>
  <c r="E94" i="11" s="1"/>
  <c r="J87" i="11"/>
  <c r="D135" i="11"/>
  <c r="D136" i="11" s="1"/>
  <c r="J66" i="11"/>
  <c r="D9" i="29876"/>
  <c r="E9" i="29876" s="1"/>
  <c r="G9" i="29876" s="1"/>
  <c r="C12" i="29876"/>
  <c r="H31" i="29875"/>
  <c r="O28" i="29875"/>
  <c r="J28" i="29875"/>
  <c r="I72" i="29866"/>
  <c r="L72" i="29866"/>
  <c r="L85" i="29866" s="1"/>
  <c r="L105" i="29866" s="1"/>
  <c r="E119" i="29866" s="1"/>
  <c r="L69" i="29867"/>
  <c r="P11" i="23"/>
  <c r="L11" i="23"/>
  <c r="E41" i="23" s="1"/>
  <c r="F41" i="23"/>
  <c r="G39" i="23"/>
  <c r="P9" i="23"/>
  <c r="C132" i="29868"/>
  <c r="B131" i="29868"/>
  <c r="G142" i="29868"/>
  <c r="B135" i="29869"/>
  <c r="C136" i="29869"/>
  <c r="N17" i="23"/>
  <c r="K17" i="23"/>
  <c r="M3" i="29872"/>
  <c r="G147" i="29869"/>
  <c r="G146" i="29868"/>
  <c r="D17" i="29868"/>
  <c r="E17" i="29868" s="1"/>
  <c r="G17" i="29868" s="1"/>
  <c r="K17" i="29868" s="1"/>
  <c r="C20" i="29868"/>
  <c r="O68" i="29873"/>
  <c r="N69" i="29873"/>
  <c r="S68" i="29873"/>
  <c r="J55" i="29873"/>
  <c r="J52" i="29873"/>
  <c r="D76" i="29868"/>
  <c r="E76" i="29868" s="1"/>
  <c r="C77" i="29868"/>
  <c r="D17" i="29869"/>
  <c r="E17" i="29869" s="1"/>
  <c r="G17" i="29869" s="1"/>
  <c r="K17" i="29869" s="1"/>
  <c r="C20" i="29869"/>
  <c r="F79" i="29868"/>
  <c r="H78" i="29868"/>
  <c r="I78" i="29868" s="1"/>
  <c r="J78" i="29868" s="1"/>
  <c r="G139" i="29868"/>
  <c r="F52" i="29873"/>
  <c r="F58" i="29873" s="1"/>
  <c r="P14" i="23"/>
  <c r="N15" i="23"/>
  <c r="K15" i="23"/>
  <c r="P15" i="23" s="1"/>
  <c r="M52" i="29876"/>
  <c r="M54" i="29876"/>
  <c r="G44" i="29876"/>
  <c r="G135" i="29868"/>
  <c r="L8" i="29869"/>
  <c r="E39" i="29869" s="1"/>
  <c r="G39" i="29869"/>
  <c r="E135" i="11"/>
  <c r="E136" i="11" s="1"/>
  <c r="H59" i="23"/>
  <c r="E60" i="23"/>
  <c r="G41" i="29868"/>
  <c r="L11" i="29868"/>
  <c r="E41" i="29868" s="1"/>
  <c r="E101" i="19"/>
  <c r="E103" i="19"/>
  <c r="D156" i="11"/>
  <c r="D157" i="11" s="1"/>
  <c r="E156" i="11"/>
  <c r="E157" i="11" s="1"/>
  <c r="D29" i="29873"/>
  <c r="E29" i="29873" s="1"/>
  <c r="G29" i="29873" s="1"/>
  <c r="K29" i="29873" s="1"/>
  <c r="C32" i="29873"/>
  <c r="D35" i="29876"/>
  <c r="C38" i="29876"/>
  <c r="G77" i="29869"/>
  <c r="K77" i="29869" s="1"/>
  <c r="N77" i="29869"/>
  <c r="F78" i="29869"/>
  <c r="H77" i="29869"/>
  <c r="I77" i="29869" s="1"/>
  <c r="J77" i="29869" s="1"/>
  <c r="L129" i="9"/>
  <c r="D129" i="9" s="1"/>
  <c r="M129" i="9"/>
  <c r="E129" i="9" s="1"/>
  <c r="G16" i="29848" s="1"/>
  <c r="D20" i="23"/>
  <c r="E20" i="23" s="1"/>
  <c r="G20" i="23" s="1"/>
  <c r="C23" i="23"/>
  <c r="F55" i="29873"/>
  <c r="J3" i="29872"/>
  <c r="F4" i="29872"/>
  <c r="D18" i="23"/>
  <c r="E18" i="23" s="1"/>
  <c r="G18" i="23" s="1"/>
  <c r="C21" i="23"/>
  <c r="Q55" i="29873"/>
  <c r="D15" i="29868"/>
  <c r="E15" i="29868" s="1"/>
  <c r="G15" i="29868" s="1"/>
  <c r="K15" i="29868" s="1"/>
  <c r="L14" i="29868" s="1"/>
  <c r="C18" i="29868"/>
  <c r="F44" i="29844"/>
  <c r="E44" i="29844"/>
  <c r="F146" i="29844"/>
  <c r="E146" i="29844"/>
  <c r="E31" i="29831"/>
  <c r="E70" i="29831"/>
  <c r="F49" i="29831"/>
  <c r="F70" i="29831" s="1"/>
  <c r="F89" i="29831"/>
  <c r="F110" i="29831" s="1"/>
  <c r="E110" i="29831"/>
  <c r="E111" i="29831" s="1"/>
  <c r="E118" i="29831" s="1"/>
  <c r="E99" i="29831" s="1"/>
  <c r="P67" i="29873"/>
  <c r="R67" i="29873" s="1"/>
  <c r="T67" i="29873" s="1"/>
  <c r="Q67" i="29873"/>
  <c r="J54" i="29873"/>
  <c r="G75" i="29868"/>
  <c r="K75" i="29868" s="1"/>
  <c r="N75" i="29868"/>
  <c r="O9" i="23"/>
  <c r="O8" i="23" s="1"/>
  <c r="N39" i="23"/>
  <c r="D133" i="29868"/>
  <c r="E133" i="29868"/>
  <c r="H26" i="29872"/>
  <c r="H25" i="29872"/>
  <c r="H34" i="29872"/>
  <c r="H30" i="29872"/>
  <c r="H32" i="29872"/>
  <c r="H27" i="29872"/>
  <c r="H31" i="29872"/>
  <c r="H29" i="29872"/>
  <c r="H33" i="29872"/>
  <c r="H35" i="29872"/>
  <c r="H28" i="29872"/>
  <c r="C79" i="29869"/>
  <c r="D78" i="29869"/>
  <c r="E78" i="29869" s="1"/>
  <c r="L54" i="29876"/>
  <c r="G134" i="29868"/>
  <c r="C15" i="29869"/>
  <c r="D12" i="29869"/>
  <c r="E12" i="29869" s="1"/>
  <c r="G12" i="29869" s="1"/>
  <c r="K12" i="29869" s="1"/>
  <c r="L8" i="29868"/>
  <c r="E39" i="29868" s="1"/>
  <c r="G39" i="29868"/>
  <c r="D137" i="29869"/>
  <c r="E137" i="29869"/>
  <c r="E114" i="11"/>
  <c r="E115" i="11" s="1"/>
  <c r="E35" i="29848" l="1"/>
  <c r="E39" i="29848" s="1"/>
  <c r="M55" i="29863"/>
  <c r="E55" i="29863" s="1"/>
  <c r="E66" i="29863" s="1"/>
  <c r="F92" i="19"/>
  <c r="F51" i="19" s="1"/>
  <c r="F59" i="19" s="1"/>
  <c r="F111" i="29831"/>
  <c r="F118" i="29831" s="1"/>
  <c r="F99" i="29831" s="1"/>
  <c r="F31" i="29831"/>
  <c r="G15" i="29831"/>
  <c r="G70" i="29844"/>
  <c r="E50" i="29840"/>
  <c r="G18" i="29848" s="1"/>
  <c r="V44" i="29864" s="1"/>
  <c r="W44" i="29864" s="1"/>
  <c r="N85" i="29867"/>
  <c r="V41" i="29864"/>
  <c r="W41" i="29864" s="1"/>
  <c r="H15" i="29848"/>
  <c r="V10" i="29864"/>
  <c r="W10" i="29864" s="1"/>
  <c r="K36" i="29850"/>
  <c r="M34" i="29862"/>
  <c r="E15" i="29848"/>
  <c r="N85" i="29866"/>
  <c r="N87" i="29866" s="1"/>
  <c r="N91" i="29866" s="1"/>
  <c r="O39" i="29872"/>
  <c r="B4" i="29872"/>
  <c r="I4" i="29872" s="1"/>
  <c r="H4" i="29872" s="1"/>
  <c r="J4" i="29872" s="1"/>
  <c r="O39" i="29875"/>
  <c r="B4" i="29875"/>
  <c r="I4" i="29875" s="1"/>
  <c r="D72" i="29866"/>
  <c r="D74" i="29866"/>
  <c r="H70" i="29866"/>
  <c r="H85" i="29866" s="1"/>
  <c r="D69" i="29866"/>
  <c r="M69" i="29866" s="1"/>
  <c r="D50" i="29840"/>
  <c r="D18" i="29848" s="1"/>
  <c r="L37" i="29862" s="1"/>
  <c r="D72" i="29867"/>
  <c r="D71" i="29866"/>
  <c r="D73" i="29866"/>
  <c r="G73" i="29866" s="1"/>
  <c r="P73" i="29866" s="1"/>
  <c r="D68" i="29866"/>
  <c r="M68" i="29866" s="1"/>
  <c r="F148" i="29844"/>
  <c r="F43" i="29844"/>
  <c r="E147" i="29844"/>
  <c r="E152" i="29844" s="1"/>
  <c r="E154" i="29844" s="1"/>
  <c r="E126" i="29844" s="1"/>
  <c r="F145" i="29844"/>
  <c r="F147" i="29844"/>
  <c r="F94" i="29844"/>
  <c r="F46" i="29844"/>
  <c r="E96" i="29844"/>
  <c r="E101" i="29844" s="1"/>
  <c r="E103" i="29844" s="1"/>
  <c r="E75" i="29844" s="1"/>
  <c r="F61" i="29844"/>
  <c r="F96" i="29844" s="1"/>
  <c r="E45" i="29844"/>
  <c r="E50" i="29844" s="1"/>
  <c r="F10" i="29844"/>
  <c r="F45" i="29844" s="1"/>
  <c r="F39" i="29844"/>
  <c r="F38" i="29844"/>
  <c r="F37" i="29844"/>
  <c r="F141" i="29844"/>
  <c r="F139" i="29844"/>
  <c r="F140" i="29844"/>
  <c r="F84" i="29844"/>
  <c r="F90" i="29844"/>
  <c r="F89" i="29844"/>
  <c r="F88" i="29844"/>
  <c r="L156" i="29844"/>
  <c r="G24" i="29848" s="1"/>
  <c r="V50" i="29864" s="1"/>
  <c r="W50" i="29864" s="1"/>
  <c r="D73" i="29867"/>
  <c r="G73" i="29867" s="1"/>
  <c r="P73" i="29867" s="1"/>
  <c r="D74" i="29867"/>
  <c r="D69" i="29867"/>
  <c r="G69" i="29867" s="1"/>
  <c r="D71" i="29867"/>
  <c r="F28" i="29848"/>
  <c r="D24" i="29848"/>
  <c r="E24" i="29848" s="1"/>
  <c r="E233" i="29839"/>
  <c r="G17" i="29848" s="1"/>
  <c r="L38" i="29850" s="1"/>
  <c r="D233" i="29839"/>
  <c r="D17" i="29848" s="1"/>
  <c r="L36" i="29862" s="1"/>
  <c r="E28" i="29848"/>
  <c r="F135" i="29844"/>
  <c r="J26" i="29875"/>
  <c r="O27" i="29875"/>
  <c r="D68" i="29867"/>
  <c r="I68" i="29867" s="1"/>
  <c r="F105" i="29834"/>
  <c r="E40" i="29844"/>
  <c r="L75" i="29866"/>
  <c r="O32" i="29875"/>
  <c r="J34" i="29875"/>
  <c r="J33" i="29875"/>
  <c r="O30" i="29875"/>
  <c r="J25" i="29875"/>
  <c r="O35" i="29875"/>
  <c r="J35" i="29875"/>
  <c r="O29" i="29875"/>
  <c r="K9" i="29873"/>
  <c r="N9" i="29873"/>
  <c r="O52" i="29873"/>
  <c r="D12" i="29873"/>
  <c r="E12" i="29873" s="1"/>
  <c r="G12" i="29873" s="1"/>
  <c r="G45" i="29873" s="1"/>
  <c r="C15" i="29873"/>
  <c r="H70" i="29867"/>
  <c r="I70" i="29867"/>
  <c r="J70" i="29867" s="1"/>
  <c r="D160" i="11"/>
  <c r="D19" i="29848" s="1"/>
  <c r="E160" i="11"/>
  <c r="G19" i="29848" s="1"/>
  <c r="L40" i="29850" s="1"/>
  <c r="O31" i="29875"/>
  <c r="R31" i="29875" s="1"/>
  <c r="AA31" i="29875" s="1"/>
  <c r="J31" i="29875"/>
  <c r="H36" i="29875"/>
  <c r="H37" i="29875" s="1"/>
  <c r="C15" i="29876"/>
  <c r="D12" i="29876"/>
  <c r="E12" i="29876" s="1"/>
  <c r="G12" i="29876" s="1"/>
  <c r="O52" i="29876"/>
  <c r="N9" i="29876"/>
  <c r="K9" i="29876"/>
  <c r="L85" i="29867"/>
  <c r="L105" i="29867" s="1"/>
  <c r="E119" i="29867" s="1"/>
  <c r="L75" i="29867"/>
  <c r="J72" i="29866"/>
  <c r="P72" i="29866" s="1"/>
  <c r="M43" i="23"/>
  <c r="M41" i="23"/>
  <c r="D15" i="29869"/>
  <c r="E15" i="29869" s="1"/>
  <c r="G15" i="29869" s="1"/>
  <c r="K15" i="29869" s="1"/>
  <c r="L14" i="29869" s="1"/>
  <c r="C18" i="29869"/>
  <c r="O35" i="29872"/>
  <c r="J35" i="29872"/>
  <c r="J27" i="29872"/>
  <c r="O27" i="29872"/>
  <c r="C21" i="29868"/>
  <c r="D18" i="29868"/>
  <c r="E18" i="29868" s="1"/>
  <c r="G18" i="29868" s="1"/>
  <c r="K18" i="29868" s="1"/>
  <c r="L17" i="29868" s="1"/>
  <c r="K18" i="23"/>
  <c r="P18" i="23" s="1"/>
  <c r="N18" i="23"/>
  <c r="F11" i="29831"/>
  <c r="F32" i="29831" s="1"/>
  <c r="E32" i="29831"/>
  <c r="E33" i="29831" s="1"/>
  <c r="E40" i="29831" s="1"/>
  <c r="E21" i="29831" s="1"/>
  <c r="D23" i="23"/>
  <c r="E23" i="23" s="1"/>
  <c r="G23" i="23" s="1"/>
  <c r="C26" i="23"/>
  <c r="J70" i="29866"/>
  <c r="M54" i="29873"/>
  <c r="M52" i="29873"/>
  <c r="M58" i="29873" s="1"/>
  <c r="G44" i="29873"/>
  <c r="P17" i="23"/>
  <c r="L17" i="23"/>
  <c r="B130" i="29868"/>
  <c r="C131" i="29868"/>
  <c r="N78" i="29869"/>
  <c r="G78" i="29869"/>
  <c r="J32" i="29872"/>
  <c r="O32" i="29872"/>
  <c r="O26" i="29872"/>
  <c r="J26" i="29872"/>
  <c r="F50" i="29831"/>
  <c r="F71" i="29831" s="1"/>
  <c r="F72" i="29831" s="1"/>
  <c r="F79" i="29831" s="1"/>
  <c r="F60" i="29831" s="1"/>
  <c r="E71" i="29831"/>
  <c r="E72" i="29831" s="1"/>
  <c r="E79" i="29831" s="1"/>
  <c r="E60" i="29831" s="1"/>
  <c r="K20" i="23"/>
  <c r="N20" i="23"/>
  <c r="H60" i="23"/>
  <c r="E61" i="23"/>
  <c r="O15" i="23"/>
  <c r="O14" i="23" s="1"/>
  <c r="C80" i="29869"/>
  <c r="D79" i="29869"/>
  <c r="E79" i="29869" s="1"/>
  <c r="J30" i="29872"/>
  <c r="O30" i="29872"/>
  <c r="L54" i="29873"/>
  <c r="G41" i="29869"/>
  <c r="L11" i="29869"/>
  <c r="E41" i="29869" s="1"/>
  <c r="J28" i="29872"/>
  <c r="O28" i="29872"/>
  <c r="J31" i="29872"/>
  <c r="O31" i="29872"/>
  <c r="J34" i="29872"/>
  <c r="O34" i="29872"/>
  <c r="G133" i="29868"/>
  <c r="C24" i="23"/>
  <c r="D21" i="23"/>
  <c r="E21" i="23" s="1"/>
  <c r="G21" i="23" s="1"/>
  <c r="D32" i="29873"/>
  <c r="E32" i="29873" s="1"/>
  <c r="G32" i="29873" s="1"/>
  <c r="K32" i="29873" s="1"/>
  <c r="C35" i="29873"/>
  <c r="M58" i="29876"/>
  <c r="F80" i="29868"/>
  <c r="H79" i="29868"/>
  <c r="I79" i="29868" s="1"/>
  <c r="J79" i="29868" s="1"/>
  <c r="N76" i="29868"/>
  <c r="G76" i="29868"/>
  <c r="K76" i="29868" s="1"/>
  <c r="S69" i="29873"/>
  <c r="O69" i="29873"/>
  <c r="N70" i="29873"/>
  <c r="N3" i="29872"/>
  <c r="B134" i="29869"/>
  <c r="C135" i="29869"/>
  <c r="G137" i="29869"/>
  <c r="J25" i="29872"/>
  <c r="H36" i="29872"/>
  <c r="H37" i="29872" s="1"/>
  <c r="O25" i="29872"/>
  <c r="M35" i="29862"/>
  <c r="L37" i="29850"/>
  <c r="H16" i="29848"/>
  <c r="V42" i="29864"/>
  <c r="W42" i="29864" s="1"/>
  <c r="D20" i="29869"/>
  <c r="E20" i="29869" s="1"/>
  <c r="G20" i="29869" s="1"/>
  <c r="K20" i="29869" s="1"/>
  <c r="C23" i="29869"/>
  <c r="Q68" i="29873"/>
  <c r="P68" i="29873"/>
  <c r="R68" i="29873" s="1"/>
  <c r="T68" i="29873" s="1"/>
  <c r="J33" i="29872"/>
  <c r="O33" i="29872"/>
  <c r="D16" i="29848"/>
  <c r="D38" i="29876"/>
  <c r="C41" i="29876"/>
  <c r="D41" i="29876" s="1"/>
  <c r="E92" i="19"/>
  <c r="E51" i="19" s="1"/>
  <c r="E59" i="19" s="1"/>
  <c r="E105" i="19"/>
  <c r="D20" i="29868"/>
  <c r="E20" i="29868" s="1"/>
  <c r="G20" i="29868" s="1"/>
  <c r="K20" i="29868" s="1"/>
  <c r="C23" i="29868"/>
  <c r="D132" i="29868"/>
  <c r="E132" i="29868"/>
  <c r="J29" i="29872"/>
  <c r="O29" i="29872"/>
  <c r="F79" i="29869"/>
  <c r="H78" i="29869"/>
  <c r="I78" i="29869" s="1"/>
  <c r="J78" i="29869" s="1"/>
  <c r="L14" i="23"/>
  <c r="C78" i="29868"/>
  <c r="D77" i="29868"/>
  <c r="E77" i="29868" s="1"/>
  <c r="D136" i="29869"/>
  <c r="E136" i="29869"/>
  <c r="E46" i="29848" l="1"/>
  <c r="E47" i="29848" s="1"/>
  <c r="E41" i="29848"/>
  <c r="F93" i="19"/>
  <c r="G20" i="29848"/>
  <c r="F33" i="29831"/>
  <c r="F40" i="29831" s="1"/>
  <c r="F21" i="29831" s="1"/>
  <c r="F120" i="29831" s="1"/>
  <c r="H18" i="29848"/>
  <c r="M37" i="29862"/>
  <c r="L39" i="29850"/>
  <c r="K39" i="29850"/>
  <c r="F101" i="29844"/>
  <c r="L4" i="29872"/>
  <c r="M4" i="29872" s="1"/>
  <c r="Y39" i="29872"/>
  <c r="M96" i="29872"/>
  <c r="M99" i="29872" s="1"/>
  <c r="L4" i="29875"/>
  <c r="M4" i="29875" s="1"/>
  <c r="H4" i="29875"/>
  <c r="J4" i="29875" s="1"/>
  <c r="M96" i="29875"/>
  <c r="M99" i="29875" s="1"/>
  <c r="Y39" i="29875"/>
  <c r="G69" i="29866"/>
  <c r="G75" i="29866" s="1"/>
  <c r="Q68" i="29867"/>
  <c r="P70" i="29866"/>
  <c r="I69" i="29867"/>
  <c r="J69" i="29867" s="1"/>
  <c r="L58" i="29867" s="1"/>
  <c r="H75" i="29866"/>
  <c r="H79" i="29866" s="1"/>
  <c r="H99" i="29866" s="1"/>
  <c r="H102" i="29866" s="1"/>
  <c r="I69" i="29866"/>
  <c r="J69" i="29866" s="1"/>
  <c r="D82" i="29866"/>
  <c r="M69" i="29867"/>
  <c r="E18" i="29848"/>
  <c r="V13" i="29864"/>
  <c r="W13" i="29864" s="1"/>
  <c r="F68" i="29866"/>
  <c r="F75" i="29866" s="1"/>
  <c r="F79" i="29866" s="1"/>
  <c r="Q68" i="29866"/>
  <c r="I68" i="29866"/>
  <c r="F152" i="29844"/>
  <c r="F50" i="29844"/>
  <c r="F40" i="29844"/>
  <c r="V19" i="29864"/>
  <c r="W19" i="29864" s="1"/>
  <c r="F91" i="29844"/>
  <c r="M36" i="29862"/>
  <c r="H17" i="29848"/>
  <c r="V43" i="29864"/>
  <c r="W43" i="29864" s="1"/>
  <c r="E17" i="29848"/>
  <c r="K38" i="29850"/>
  <c r="V12" i="29864"/>
  <c r="W12" i="29864" s="1"/>
  <c r="F142" i="29844"/>
  <c r="H24" i="29848"/>
  <c r="F68" i="29867"/>
  <c r="F75" i="29867" s="1"/>
  <c r="F79" i="29867" s="1"/>
  <c r="F99" i="29867" s="1"/>
  <c r="M68" i="29867"/>
  <c r="D82" i="29867"/>
  <c r="E52" i="29844"/>
  <c r="E24" i="29844" s="1"/>
  <c r="E156" i="29844" s="1"/>
  <c r="E120" i="29831"/>
  <c r="J36" i="29875"/>
  <c r="C48" i="29875" s="1"/>
  <c r="O36" i="29875"/>
  <c r="P32" i="29875" s="1"/>
  <c r="L32" i="29875" s="1"/>
  <c r="P70" i="29867"/>
  <c r="O54" i="29873"/>
  <c r="O55" i="29873" s="1"/>
  <c r="N12" i="29873"/>
  <c r="K12" i="29873"/>
  <c r="C18" i="29873"/>
  <c r="D15" i="29873"/>
  <c r="E15" i="29873" s="1"/>
  <c r="G15" i="29873" s="1"/>
  <c r="G52" i="29873"/>
  <c r="L8" i="29873"/>
  <c r="E52" i="29873" s="1"/>
  <c r="M85" i="29866"/>
  <c r="K70" i="29867"/>
  <c r="N87" i="29867"/>
  <c r="N91" i="29867" s="1"/>
  <c r="H75" i="29867"/>
  <c r="H79" i="29867" s="1"/>
  <c r="H99" i="29867" s="1"/>
  <c r="H102" i="29867" s="1"/>
  <c r="H85" i="29867"/>
  <c r="V45" i="29864"/>
  <c r="W45" i="29864" s="1"/>
  <c r="M38" i="29862"/>
  <c r="H19" i="29848"/>
  <c r="L8" i="29876"/>
  <c r="E52" i="29876" s="1"/>
  <c r="G52" i="29876"/>
  <c r="D15" i="29876"/>
  <c r="E15" i="29876" s="1"/>
  <c r="G15" i="29876" s="1"/>
  <c r="C18" i="29876"/>
  <c r="O54" i="29876"/>
  <c r="O55" i="29876" s="1"/>
  <c r="N12" i="29876"/>
  <c r="K12" i="29876"/>
  <c r="G45" i="29876"/>
  <c r="J68" i="29867"/>
  <c r="G75" i="29867"/>
  <c r="G85" i="29867"/>
  <c r="K72" i="29866"/>
  <c r="G77" i="29868"/>
  <c r="K77" i="29868" s="1"/>
  <c r="N77" i="29868"/>
  <c r="G132" i="29868"/>
  <c r="C38" i="29873"/>
  <c r="D35" i="29873"/>
  <c r="C27" i="23"/>
  <c r="D24" i="23"/>
  <c r="E24" i="23" s="1"/>
  <c r="G24" i="23" s="1"/>
  <c r="G79" i="29869"/>
  <c r="N79" i="29869"/>
  <c r="D131" i="29868"/>
  <c r="E131" i="29868"/>
  <c r="C29" i="23"/>
  <c r="D26" i="23"/>
  <c r="E26" i="23" s="1"/>
  <c r="G26" i="23" s="1"/>
  <c r="E93" i="19"/>
  <c r="J36" i="29872"/>
  <c r="C48" i="29872" s="1"/>
  <c r="N71" i="29873"/>
  <c r="O70" i="29873"/>
  <c r="S70" i="29873"/>
  <c r="D80" i="29869"/>
  <c r="E80" i="29869" s="1"/>
  <c r="C81" i="29869"/>
  <c r="C130" i="29868"/>
  <c r="B129" i="29868"/>
  <c r="N23" i="23"/>
  <c r="K23" i="23"/>
  <c r="G136" i="29869"/>
  <c r="C26" i="29868"/>
  <c r="D23" i="29868"/>
  <c r="E23" i="29868" s="1"/>
  <c r="G23" i="29868" s="1"/>
  <c r="K23" i="29868" s="1"/>
  <c r="L35" i="29862"/>
  <c r="K37" i="29850"/>
  <c r="V11" i="29864"/>
  <c r="W11" i="29864" s="1"/>
  <c r="E16" i="29848"/>
  <c r="F42" i="29869"/>
  <c r="O36" i="29872"/>
  <c r="P26" i="29872" s="1"/>
  <c r="H80" i="29868"/>
  <c r="I80" i="29868" s="1"/>
  <c r="J80" i="29868" s="1"/>
  <c r="F81" i="29868"/>
  <c r="K21" i="23"/>
  <c r="N21" i="23"/>
  <c r="E62" i="23"/>
  <c r="H61" i="23"/>
  <c r="H79" i="29869"/>
  <c r="I79" i="29869" s="1"/>
  <c r="J79" i="29869" s="1"/>
  <c r="F80" i="29869"/>
  <c r="F42" i="29868"/>
  <c r="C79" i="29868"/>
  <c r="D78" i="29868"/>
  <c r="E78" i="29868" s="1"/>
  <c r="D135" i="29869"/>
  <c r="E135" i="29869"/>
  <c r="D21" i="29868"/>
  <c r="E21" i="29868" s="1"/>
  <c r="G21" i="29868" s="1"/>
  <c r="K21" i="29868" s="1"/>
  <c r="G42" i="29868" s="1"/>
  <c r="C24" i="29868"/>
  <c r="E19" i="29848"/>
  <c r="K40" i="29850"/>
  <c r="L38" i="29862"/>
  <c r="V14" i="29864"/>
  <c r="W14" i="29864" s="1"/>
  <c r="D23" i="29869"/>
  <c r="E23" i="29869" s="1"/>
  <c r="G23" i="29869" s="1"/>
  <c r="K23" i="29869" s="1"/>
  <c r="C26" i="29869"/>
  <c r="B133" i="29869"/>
  <c r="C134" i="29869"/>
  <c r="Q69" i="29873"/>
  <c r="P69" i="29873"/>
  <c r="R69" i="29873" s="1"/>
  <c r="T69" i="29873" s="1"/>
  <c r="R31" i="29872"/>
  <c r="AA31" i="29872" s="1"/>
  <c r="L20" i="23"/>
  <c r="E42" i="23" s="1"/>
  <c r="F42" i="23"/>
  <c r="P20" i="23"/>
  <c r="K78" i="29869"/>
  <c r="K70" i="29866"/>
  <c r="O18" i="23"/>
  <c r="O17" i="23"/>
  <c r="D18" i="29869"/>
  <c r="E18" i="29869" s="1"/>
  <c r="G18" i="29869" s="1"/>
  <c r="K18" i="29869" s="1"/>
  <c r="L17" i="29869" s="1"/>
  <c r="C21" i="29869"/>
  <c r="I75" i="29866" l="1"/>
  <c r="G85" i="29866"/>
  <c r="K69" i="29867"/>
  <c r="E96" i="29843"/>
  <c r="E95" i="29843"/>
  <c r="L41" i="29850"/>
  <c r="M39" i="29862"/>
  <c r="V46" i="29864"/>
  <c r="W46" i="29864" s="1"/>
  <c r="H20" i="29848"/>
  <c r="F103" i="29844"/>
  <c r="F75" i="29844" s="1"/>
  <c r="I85" i="29866"/>
  <c r="C92" i="29866" s="1"/>
  <c r="U32" i="29875"/>
  <c r="T32" i="29875" s="1"/>
  <c r="AC32" i="29875" s="1"/>
  <c r="P27" i="29875"/>
  <c r="T27" i="29875" s="1"/>
  <c r="AC27" i="29875" s="1"/>
  <c r="P69" i="29866"/>
  <c r="I75" i="29867"/>
  <c r="I76" i="29867" s="1"/>
  <c r="I79" i="29867" s="1"/>
  <c r="I99" i="29867" s="1"/>
  <c r="I108" i="29867" s="1"/>
  <c r="P69" i="29867"/>
  <c r="F85" i="29866"/>
  <c r="F85" i="29867"/>
  <c r="I85" i="29867"/>
  <c r="C92" i="29867" s="1"/>
  <c r="C93" i="29867" s="1"/>
  <c r="C94" i="29867" s="1"/>
  <c r="M85" i="29867"/>
  <c r="J68" i="29866"/>
  <c r="J75" i="29866" s="1"/>
  <c r="F154" i="29844"/>
  <c r="F126" i="29844" s="1"/>
  <c r="I157" i="29844" s="1"/>
  <c r="F52" i="29844"/>
  <c r="F24" i="29844" s="1"/>
  <c r="C33" i="29874"/>
  <c r="P35" i="29875"/>
  <c r="L35" i="29875" s="1"/>
  <c r="V52" i="29875"/>
  <c r="P36" i="29875"/>
  <c r="P34" i="29875"/>
  <c r="L34" i="29875" s="1"/>
  <c r="P30" i="29875"/>
  <c r="L30" i="29875" s="1"/>
  <c r="O46" i="29875"/>
  <c r="C34" i="29874"/>
  <c r="P33" i="29875"/>
  <c r="Q33" i="29875" s="1"/>
  <c r="Z33" i="29875" s="1"/>
  <c r="P29" i="29875"/>
  <c r="L29" i="29875" s="1"/>
  <c r="P28" i="29875"/>
  <c r="R28" i="29875" s="1"/>
  <c r="AA28" i="29875" s="1"/>
  <c r="P25" i="29875"/>
  <c r="R25" i="29875" s="1"/>
  <c r="P26" i="29875"/>
  <c r="U26" i="29875" s="1"/>
  <c r="AD26" i="29875" s="1"/>
  <c r="P31" i="29875"/>
  <c r="L31" i="29875" s="1"/>
  <c r="Q32" i="29875"/>
  <c r="Z32" i="29875" s="1"/>
  <c r="D14" i="29848"/>
  <c r="P35" i="29872"/>
  <c r="U35" i="29872" s="1"/>
  <c r="P31" i="29872"/>
  <c r="L31" i="29872" s="1"/>
  <c r="L11" i="29873"/>
  <c r="E54" i="29873" s="1"/>
  <c r="G54" i="29873"/>
  <c r="P34" i="29872"/>
  <c r="L34" i="29872" s="1"/>
  <c r="K15" i="29873"/>
  <c r="L14" i="29873" s="1"/>
  <c r="N15" i="29873"/>
  <c r="D18" i="29873"/>
  <c r="E18" i="29873" s="1"/>
  <c r="G18" i="29873" s="1"/>
  <c r="C21" i="29873"/>
  <c r="G54" i="29876"/>
  <c r="L11" i="29876"/>
  <c r="E54" i="29876" s="1"/>
  <c r="P30" i="29872"/>
  <c r="Q30" i="29872" s="1"/>
  <c r="Z30" i="29872" s="1"/>
  <c r="D18" i="29876"/>
  <c r="E18" i="29876" s="1"/>
  <c r="G18" i="29876" s="1"/>
  <c r="C21" i="29876"/>
  <c r="N15" i="29876"/>
  <c r="K15" i="29876"/>
  <c r="L14" i="29876" s="1"/>
  <c r="P32" i="29872"/>
  <c r="Q32" i="29872" s="1"/>
  <c r="Z32" i="29872" s="1"/>
  <c r="P27" i="29872"/>
  <c r="L27" i="29872" s="1"/>
  <c r="P33" i="29872"/>
  <c r="Q33" i="29872" s="1"/>
  <c r="Z33" i="29872" s="1"/>
  <c r="F107" i="29867"/>
  <c r="F110" i="29867"/>
  <c r="F111" i="29867" s="1"/>
  <c r="F102" i="29867"/>
  <c r="P68" i="29867"/>
  <c r="J75" i="29867"/>
  <c r="K68" i="29867"/>
  <c r="D134" i="29869"/>
  <c r="E134" i="29869"/>
  <c r="D79" i="29868"/>
  <c r="E79" i="29868" s="1"/>
  <c r="C80" i="29868"/>
  <c r="H81" i="29868"/>
  <c r="I81" i="29868" s="1"/>
  <c r="J81" i="29868" s="1"/>
  <c r="F82" i="29868"/>
  <c r="N26" i="23"/>
  <c r="K26" i="23"/>
  <c r="K24" i="23"/>
  <c r="N24" i="23"/>
  <c r="D26" i="29869"/>
  <c r="E26" i="29869" s="1"/>
  <c r="G26" i="29869" s="1"/>
  <c r="K26" i="29869" s="1"/>
  <c r="C29" i="29869"/>
  <c r="K69" i="29866"/>
  <c r="I76" i="29866"/>
  <c r="I79" i="29866" s="1"/>
  <c r="I99" i="29866" s="1"/>
  <c r="R26" i="29872"/>
  <c r="AA26" i="29872" s="1"/>
  <c r="U26" i="29872"/>
  <c r="Q26" i="29872"/>
  <c r="Z26" i="29872" s="1"/>
  <c r="L26" i="29872"/>
  <c r="P21" i="23"/>
  <c r="G42" i="23"/>
  <c r="O46" i="29872"/>
  <c r="P36" i="29872"/>
  <c r="V52" i="29872"/>
  <c r="F40" i="29868"/>
  <c r="F45" i="29868" s="1"/>
  <c r="C82" i="29869"/>
  <c r="D81" i="29869"/>
  <c r="E81" i="29869" s="1"/>
  <c r="Q70" i="29873"/>
  <c r="P70" i="29873"/>
  <c r="R70" i="29873" s="1"/>
  <c r="T70" i="29873" s="1"/>
  <c r="K79" i="29869"/>
  <c r="C30" i="23"/>
  <c r="D27" i="23"/>
  <c r="E27" i="23" s="1"/>
  <c r="G27" i="23" s="1"/>
  <c r="C41" i="29873"/>
  <c r="D41" i="29873" s="1"/>
  <c r="D38" i="29873"/>
  <c r="H62" i="23"/>
  <c r="E63" i="23"/>
  <c r="P23" i="23"/>
  <c r="F40" i="23"/>
  <c r="F45" i="23" s="1"/>
  <c r="B128" i="29868"/>
  <c r="C129" i="29868"/>
  <c r="D96" i="29843"/>
  <c r="C34" i="29871"/>
  <c r="C33" i="29871"/>
  <c r="D95" i="29843"/>
  <c r="C24" i="29869"/>
  <c r="D21" i="29869"/>
  <c r="E21" i="29869" s="1"/>
  <c r="G21" i="29869" s="1"/>
  <c r="K21" i="29869" s="1"/>
  <c r="B132" i="29869"/>
  <c r="C133" i="29869"/>
  <c r="H80" i="29869"/>
  <c r="I80" i="29869" s="1"/>
  <c r="J80" i="29869" s="1"/>
  <c r="F81" i="29869"/>
  <c r="O21" i="23"/>
  <c r="O20" i="23" s="1"/>
  <c r="E130" i="29868"/>
  <c r="D130" i="29868"/>
  <c r="D20" i="29848"/>
  <c r="D29" i="23"/>
  <c r="E29" i="23" s="1"/>
  <c r="G29" i="23" s="1"/>
  <c r="C32" i="23"/>
  <c r="D32" i="23" s="1"/>
  <c r="E32" i="23" s="1"/>
  <c r="G32" i="23" s="1"/>
  <c r="F40" i="29869"/>
  <c r="F45" i="29869" s="1"/>
  <c r="D24" i="29868"/>
  <c r="E24" i="29868" s="1"/>
  <c r="G24" i="29868" s="1"/>
  <c r="C27" i="29868"/>
  <c r="G135" i="29869"/>
  <c r="G78" i="29868"/>
  <c r="K78" i="29868" s="1"/>
  <c r="N78" i="29868"/>
  <c r="L58" i="29866"/>
  <c r="L20" i="29868"/>
  <c r="E42" i="29868" s="1"/>
  <c r="P25" i="29872"/>
  <c r="C29" i="29868"/>
  <c r="D26" i="29868"/>
  <c r="E26" i="29868" s="1"/>
  <c r="G26" i="29868" s="1"/>
  <c r="K26" i="29868" s="1"/>
  <c r="P29" i="29872"/>
  <c r="N80" i="29869"/>
  <c r="G80" i="29869"/>
  <c r="K80" i="29869" s="1"/>
  <c r="N72" i="29873"/>
  <c r="O71" i="29873"/>
  <c r="S71" i="29873"/>
  <c r="G131" i="29868"/>
  <c r="P28" i="29872"/>
  <c r="F99" i="29866"/>
  <c r="K35" i="29850" l="1"/>
  <c r="K75" i="29867"/>
  <c r="K76" i="29867" s="1"/>
  <c r="K77" i="29867" s="1"/>
  <c r="G78" i="29867" s="1"/>
  <c r="G79" i="29867" s="1"/>
  <c r="AD32" i="29875"/>
  <c r="P68" i="29866"/>
  <c r="P85" i="29866" s="1"/>
  <c r="I77" i="29867"/>
  <c r="L27" i="29875"/>
  <c r="I102" i="29867"/>
  <c r="P85" i="29867"/>
  <c r="R26" i="29875"/>
  <c r="AA26" i="29875" s="1"/>
  <c r="K68" i="29866"/>
  <c r="K75" i="29866" s="1"/>
  <c r="U25" i="29875"/>
  <c r="T25" i="29875" s="1"/>
  <c r="L28" i="29875"/>
  <c r="F156" i="29844"/>
  <c r="T26" i="29875"/>
  <c r="AC26" i="29875" s="1"/>
  <c r="L33" i="29875"/>
  <c r="U35" i="29875"/>
  <c r="AD35" i="29875" s="1"/>
  <c r="L25" i="29875"/>
  <c r="Q30" i="29875"/>
  <c r="Z30" i="29875" s="1"/>
  <c r="U29" i="29875"/>
  <c r="AD29" i="29875" s="1"/>
  <c r="P37" i="29875"/>
  <c r="Q25" i="29875"/>
  <c r="Z25" i="29875" s="1"/>
  <c r="S34" i="29875"/>
  <c r="S36" i="29875" s="1"/>
  <c r="L26" i="29875"/>
  <c r="L35" i="29872"/>
  <c r="Q29" i="29875"/>
  <c r="Z29" i="29875" s="1"/>
  <c r="U30" i="29875"/>
  <c r="Q26" i="29875"/>
  <c r="Z26" i="29875" s="1"/>
  <c r="U28" i="29875"/>
  <c r="T28" i="29875" s="1"/>
  <c r="AC28" i="29875" s="1"/>
  <c r="R30" i="29875"/>
  <c r="AA30" i="29875" s="1"/>
  <c r="R29" i="29875"/>
  <c r="AA29" i="29875" s="1"/>
  <c r="C61" i="29875"/>
  <c r="C62" i="29875" s="1"/>
  <c r="F62" i="29875" s="1"/>
  <c r="V9" i="29864"/>
  <c r="W9" i="29864" s="1"/>
  <c r="E14" i="29848"/>
  <c r="L33" i="29862"/>
  <c r="U32" i="29872"/>
  <c r="T32" i="29872" s="1"/>
  <c r="AC32" i="29872" s="1"/>
  <c r="L30" i="29872"/>
  <c r="L33" i="29872"/>
  <c r="D21" i="29873"/>
  <c r="E21" i="29873" s="1"/>
  <c r="G21" i="29873" s="1"/>
  <c r="C24" i="29873"/>
  <c r="N18" i="29873"/>
  <c r="K18" i="29873"/>
  <c r="L17" i="29873" s="1"/>
  <c r="S34" i="29872"/>
  <c r="AB34" i="29872" s="1"/>
  <c r="U30" i="29872"/>
  <c r="T30" i="29872" s="1"/>
  <c r="AC30" i="29872" s="1"/>
  <c r="T27" i="29872"/>
  <c r="AC27" i="29872" s="1"/>
  <c r="L32" i="29872"/>
  <c r="R30" i="29872"/>
  <c r="AA30" i="29872" s="1"/>
  <c r="D21" i="29876"/>
  <c r="E21" i="29876" s="1"/>
  <c r="G21" i="29876" s="1"/>
  <c r="C24" i="29876"/>
  <c r="N18" i="29876"/>
  <c r="K18" i="29876"/>
  <c r="L17" i="29876" s="1"/>
  <c r="J76" i="29867"/>
  <c r="J77" i="29867" s="1"/>
  <c r="J79" i="29867" s="1"/>
  <c r="J99" i="29867" s="1"/>
  <c r="J85" i="29867"/>
  <c r="I86" i="29867" s="1"/>
  <c r="Q85" i="29867" s="1"/>
  <c r="K29" i="23"/>
  <c r="N29" i="23"/>
  <c r="AD25" i="29875"/>
  <c r="G42" i="29869"/>
  <c r="L20" i="29869"/>
  <c r="E42" i="29869" s="1"/>
  <c r="G40" i="23"/>
  <c r="G45" i="23" s="1"/>
  <c r="P24" i="23"/>
  <c r="G79" i="29868"/>
  <c r="K79" i="29868" s="1"/>
  <c r="N79" i="29868"/>
  <c r="AA25" i="29875"/>
  <c r="H81" i="29869"/>
  <c r="I81" i="29869" s="1"/>
  <c r="J81" i="29869" s="1"/>
  <c r="F82" i="29869"/>
  <c r="J76" i="29866"/>
  <c r="J77" i="29866" s="1"/>
  <c r="J79" i="29866" s="1"/>
  <c r="J99" i="29866" s="1"/>
  <c r="C27" i="29869"/>
  <c r="D24" i="29869"/>
  <c r="E24" i="29869" s="1"/>
  <c r="G24" i="29869" s="1"/>
  <c r="K27" i="23"/>
  <c r="P27" i="23" s="1"/>
  <c r="N27" i="23"/>
  <c r="G99" i="29867"/>
  <c r="T35" i="29872"/>
  <c r="AC35" i="29872" s="1"/>
  <c r="AD35" i="29872"/>
  <c r="E20" i="29848"/>
  <c r="V15" i="29864"/>
  <c r="W15" i="29864" s="1"/>
  <c r="K41" i="29850"/>
  <c r="L39" i="29862"/>
  <c r="F107" i="29866"/>
  <c r="F102" i="29866"/>
  <c r="F110" i="29866"/>
  <c r="F111" i="29866" s="1"/>
  <c r="F108" i="29866"/>
  <c r="P71" i="29873"/>
  <c r="R71" i="29873" s="1"/>
  <c r="T71" i="29873" s="1"/>
  <c r="Q71" i="29873"/>
  <c r="U29" i="29872"/>
  <c r="Q29" i="29872"/>
  <c r="Z29" i="29872" s="1"/>
  <c r="L29" i="29872"/>
  <c r="R29" i="29872"/>
  <c r="AA29" i="29872" s="1"/>
  <c r="D21" i="29848"/>
  <c r="K32" i="23"/>
  <c r="N32" i="23"/>
  <c r="G130" i="29868"/>
  <c r="J85" i="29866"/>
  <c r="I86" i="29866" s="1"/>
  <c r="Q85" i="29866" s="1"/>
  <c r="C132" i="29869"/>
  <c r="B131" i="29869"/>
  <c r="L23" i="23"/>
  <c r="E40" i="23" s="1"/>
  <c r="E45" i="23" s="1"/>
  <c r="G81" i="29869"/>
  <c r="K81" i="29869" s="1"/>
  <c r="N81" i="29869"/>
  <c r="I77" i="29866"/>
  <c r="O24" i="23"/>
  <c r="O23" i="23" s="1"/>
  <c r="H82" i="29868"/>
  <c r="I82" i="29868" s="1"/>
  <c r="J82" i="29868" s="1"/>
  <c r="F83" i="29868"/>
  <c r="C81" i="29868"/>
  <c r="D80" i="29868"/>
  <c r="E80" i="29868" s="1"/>
  <c r="U28" i="29872"/>
  <c r="R28" i="29872"/>
  <c r="AA28" i="29872" s="1"/>
  <c r="L28" i="29872"/>
  <c r="S72" i="29873"/>
  <c r="N73" i="29873"/>
  <c r="O72" i="29873"/>
  <c r="L25" i="29872"/>
  <c r="U25" i="29872"/>
  <c r="C61" i="29872"/>
  <c r="C62" i="29872" s="1"/>
  <c r="P37" i="29872"/>
  <c r="R25" i="29872"/>
  <c r="Q25" i="29872"/>
  <c r="D82" i="29869"/>
  <c r="E82" i="29869" s="1"/>
  <c r="G82" i="29869" s="1"/>
  <c r="C83" i="29869"/>
  <c r="G134" i="29869"/>
  <c r="C32" i="29868"/>
  <c r="D32" i="29868" s="1"/>
  <c r="E32" i="29868" s="1"/>
  <c r="G32" i="29868" s="1"/>
  <c r="K32" i="29868" s="1"/>
  <c r="D29" i="29868"/>
  <c r="E29" i="29868" s="1"/>
  <c r="G29" i="29868" s="1"/>
  <c r="K29" i="29868" s="1"/>
  <c r="C30" i="29868"/>
  <c r="D27" i="29868"/>
  <c r="E27" i="29868" s="1"/>
  <c r="G27" i="29868" s="1"/>
  <c r="K27" i="29868" s="1"/>
  <c r="L26" i="29868" s="1"/>
  <c r="E129" i="29868"/>
  <c r="D129" i="29868"/>
  <c r="C32" i="29869"/>
  <c r="D32" i="29869" s="1"/>
  <c r="E32" i="29869" s="1"/>
  <c r="G32" i="29869" s="1"/>
  <c r="K32" i="29869" s="1"/>
  <c r="D29" i="29869"/>
  <c r="E29" i="29869" s="1"/>
  <c r="G29" i="29869" s="1"/>
  <c r="K29" i="29869" s="1"/>
  <c r="L26" i="23"/>
  <c r="P26" i="23"/>
  <c r="K24" i="29868"/>
  <c r="H108" i="29866"/>
  <c r="E133" i="29869"/>
  <c r="D133" i="29869"/>
  <c r="B127" i="29868"/>
  <c r="C127" i="29868" s="1"/>
  <c r="C128" i="29868"/>
  <c r="H63" i="23"/>
  <c r="E64" i="23"/>
  <c r="D30" i="23"/>
  <c r="E30" i="23" s="1"/>
  <c r="G30" i="23" s="1"/>
  <c r="C33" i="23"/>
  <c r="D33" i="23" s="1"/>
  <c r="E33" i="23" s="1"/>
  <c r="G33" i="23" s="1"/>
  <c r="AD26" i="29872"/>
  <c r="T26" i="29872"/>
  <c r="AC26" i="29872" s="1"/>
  <c r="I102" i="29866"/>
  <c r="I108" i="29866"/>
  <c r="C93" i="29866"/>
  <c r="C94" i="29866" s="1"/>
  <c r="G14" i="29848" l="1"/>
  <c r="M33" i="29862" s="1"/>
  <c r="T29" i="29875"/>
  <c r="AC29" i="29875" s="1"/>
  <c r="AD28" i="29875"/>
  <c r="T35" i="29875"/>
  <c r="AC35" i="29875" s="1"/>
  <c r="L36" i="29875"/>
  <c r="C47" i="29875" s="1"/>
  <c r="C18" i="29875" s="1"/>
  <c r="C19" i="29875" s="1"/>
  <c r="C49" i="29875" s="1"/>
  <c r="AB34" i="29875"/>
  <c r="AD32" i="29872"/>
  <c r="U36" i="29875"/>
  <c r="AD36" i="29875" s="1"/>
  <c r="AD39" i="29875" s="1"/>
  <c r="AD40" i="29875" s="1"/>
  <c r="R36" i="29875"/>
  <c r="AA36" i="29875" s="1"/>
  <c r="T30" i="29875"/>
  <c r="AC30" i="29875" s="1"/>
  <c r="Q36" i="29875"/>
  <c r="Z36" i="29875" s="1"/>
  <c r="AD30" i="29875"/>
  <c r="L79" i="29867"/>
  <c r="L80" i="29867" s="1"/>
  <c r="L81" i="29867" s="1"/>
  <c r="I101" i="29867" s="1"/>
  <c r="S36" i="29872"/>
  <c r="AB36" i="29872" s="1"/>
  <c r="AD30" i="29872"/>
  <c r="D24" i="29873"/>
  <c r="E24" i="29873" s="1"/>
  <c r="G24" i="29873" s="1"/>
  <c r="C27" i="29873"/>
  <c r="N21" i="29873"/>
  <c r="K21" i="29873"/>
  <c r="C27" i="29876"/>
  <c r="D24" i="29876"/>
  <c r="E24" i="29876" s="1"/>
  <c r="G24" i="29876" s="1"/>
  <c r="N21" i="29876"/>
  <c r="K21" i="29876"/>
  <c r="J108" i="29867"/>
  <c r="J102" i="29867"/>
  <c r="J102" i="29866"/>
  <c r="J108" i="29866"/>
  <c r="K33" i="23"/>
  <c r="P33" i="23" s="1"/>
  <c r="N33" i="23"/>
  <c r="E128" i="29868"/>
  <c r="D128" i="29868"/>
  <c r="P72" i="29873"/>
  <c r="Q72" i="29873"/>
  <c r="H83" i="29868"/>
  <c r="I83" i="29868" s="1"/>
  <c r="J83" i="29868" s="1"/>
  <c r="F84" i="29868"/>
  <c r="K24" i="29869"/>
  <c r="F108" i="29867"/>
  <c r="H108" i="29867"/>
  <c r="Q40" i="29875"/>
  <c r="P29" i="23"/>
  <c r="K30" i="23"/>
  <c r="P30" i="23" s="1"/>
  <c r="N30" i="23"/>
  <c r="G40" i="29868"/>
  <c r="G45" i="29868" s="1"/>
  <c r="L23" i="29868"/>
  <c r="E40" i="29868" s="1"/>
  <c r="E45" i="29868" s="1"/>
  <c r="F62" i="29872"/>
  <c r="D132" i="29869"/>
  <c r="E132" i="29869"/>
  <c r="L32" i="23"/>
  <c r="P32" i="23"/>
  <c r="H64" i="23"/>
  <c r="E65" i="23"/>
  <c r="AB36" i="29875"/>
  <c r="S40" i="29875"/>
  <c r="G129" i="29868"/>
  <c r="C33" i="29868"/>
  <c r="D33" i="29868" s="1"/>
  <c r="E33" i="29868" s="1"/>
  <c r="G33" i="29868" s="1"/>
  <c r="K33" i="29868" s="1"/>
  <c r="L32" i="29868" s="1"/>
  <c r="D30" i="29868"/>
  <c r="E30" i="29868" s="1"/>
  <c r="G30" i="29868" s="1"/>
  <c r="K30" i="29868" s="1"/>
  <c r="L29" i="29868" s="1"/>
  <c r="D83" i="29869"/>
  <c r="E83" i="29869" s="1"/>
  <c r="G83" i="29869" s="1"/>
  <c r="C84" i="29869"/>
  <c r="AA25" i="29872"/>
  <c r="R36" i="29872"/>
  <c r="L36" i="29872"/>
  <c r="C47" i="29872" s="1"/>
  <c r="C18" i="29872" s="1"/>
  <c r="C19" i="29872" s="1"/>
  <c r="C82" i="29868"/>
  <c r="D81" i="29868"/>
  <c r="E81" i="29868" s="1"/>
  <c r="K76" i="29866"/>
  <c r="K77" i="29866" s="1"/>
  <c r="G133" i="29869"/>
  <c r="B130" i="29869"/>
  <c r="C131" i="29869"/>
  <c r="F83" i="29869"/>
  <c r="H82" i="29869"/>
  <c r="I82" i="29869" s="1"/>
  <c r="J82" i="29869" s="1"/>
  <c r="V25" i="29875"/>
  <c r="AC25" i="29875"/>
  <c r="D127" i="29868"/>
  <c r="I129" i="29868" s="1"/>
  <c r="K129" i="29868" s="1"/>
  <c r="E127" i="29868"/>
  <c r="S73" i="29873"/>
  <c r="O73" i="29873"/>
  <c r="N74" i="29873"/>
  <c r="AD28" i="29872"/>
  <c r="T28" i="29872"/>
  <c r="AC28" i="29872" s="1"/>
  <c r="G110" i="29867"/>
  <c r="G102" i="29867"/>
  <c r="G107" i="29867"/>
  <c r="F18" i="29867" s="1"/>
  <c r="L99" i="29867"/>
  <c r="D27" i="29869"/>
  <c r="E27" i="29869" s="1"/>
  <c r="G27" i="29869" s="1"/>
  <c r="K27" i="29869" s="1"/>
  <c r="L26" i="29869" s="1"/>
  <c r="C30" i="29869"/>
  <c r="G47" i="23"/>
  <c r="G48" i="23" s="1"/>
  <c r="Q36" i="29872"/>
  <c r="Z25" i="29872"/>
  <c r="U36" i="29872"/>
  <c r="T25" i="29872"/>
  <c r="AD25" i="29872"/>
  <c r="G80" i="29868"/>
  <c r="K80" i="29868" s="1"/>
  <c r="N80" i="29868"/>
  <c r="V16" i="29864"/>
  <c r="W16" i="29864" s="1"/>
  <c r="E21" i="29848"/>
  <c r="T29" i="29872"/>
  <c r="AC29" i="29872" s="1"/>
  <c r="AD29" i="29872"/>
  <c r="O27" i="23"/>
  <c r="O26" i="23" s="1"/>
  <c r="L35" i="29850" l="1"/>
  <c r="G21" i="29848"/>
  <c r="H21" i="29848" s="1"/>
  <c r="V40" i="29864"/>
  <c r="W40" i="29864" s="1"/>
  <c r="H14" i="29848"/>
  <c r="F64" i="29875"/>
  <c r="G62" i="29875" s="1"/>
  <c r="R40" i="29875"/>
  <c r="G7" i="29875" s="1"/>
  <c r="G9" i="29875" s="1"/>
  <c r="C64" i="29875"/>
  <c r="U39" i="29875"/>
  <c r="T39" i="29875" s="1"/>
  <c r="C77" i="29875"/>
  <c r="C78" i="29875" s="1"/>
  <c r="C79" i="29875" s="1"/>
  <c r="V46" i="29875"/>
  <c r="J101" i="29867"/>
  <c r="T36" i="29875"/>
  <c r="W36" i="29875" s="1"/>
  <c r="S37" i="29875" s="1"/>
  <c r="S40" i="29872"/>
  <c r="S42" i="29872" s="1"/>
  <c r="H101" i="29867"/>
  <c r="F101" i="29867"/>
  <c r="C30" i="29873"/>
  <c r="D27" i="29873"/>
  <c r="E27" i="29873" s="1"/>
  <c r="G27" i="29873" s="1"/>
  <c r="L20" i="29873"/>
  <c r="E55" i="29873" s="1"/>
  <c r="G55" i="29873"/>
  <c r="N24" i="29873"/>
  <c r="K24" i="29873"/>
  <c r="N24" i="29876"/>
  <c r="K24" i="29876"/>
  <c r="G55" i="29876"/>
  <c r="L20" i="29876"/>
  <c r="E55" i="29876" s="1"/>
  <c r="D27" i="29876"/>
  <c r="E27" i="29876" s="1"/>
  <c r="G27" i="29876" s="1"/>
  <c r="C30" i="29876"/>
  <c r="F58" i="23"/>
  <c r="G58" i="23" s="1"/>
  <c r="F55" i="23"/>
  <c r="G55" i="23" s="1"/>
  <c r="F57" i="23"/>
  <c r="G57" i="23" s="1"/>
  <c r="F56" i="23"/>
  <c r="G56" i="23" s="1"/>
  <c r="F61" i="23"/>
  <c r="G61" i="23" s="1"/>
  <c r="F63" i="23"/>
  <c r="G63" i="23" s="1"/>
  <c r="F60" i="23"/>
  <c r="G60" i="23" s="1"/>
  <c r="F62" i="23"/>
  <c r="G62" i="23" s="1"/>
  <c r="F53" i="23"/>
  <c r="G53" i="23" s="1"/>
  <c r="F54" i="23"/>
  <c r="G54" i="23" s="1"/>
  <c r="F64" i="23"/>
  <c r="G64" i="23" s="1"/>
  <c r="F65" i="23"/>
  <c r="G65" i="23" s="1"/>
  <c r="F66" i="23"/>
  <c r="G66" i="23" s="1"/>
  <c r="F52" i="23"/>
  <c r="G52" i="23" s="1"/>
  <c r="F59" i="23"/>
  <c r="G59" i="23" s="1"/>
  <c r="G78" i="29866"/>
  <c r="G79" i="29866" s="1"/>
  <c r="AB40" i="29872"/>
  <c r="L102" i="29867"/>
  <c r="G103" i="29867" s="1"/>
  <c r="J119" i="29867" s="1"/>
  <c r="J120" i="29867" s="1"/>
  <c r="D82" i="29868"/>
  <c r="E82" i="29868" s="1"/>
  <c r="G82" i="29868" s="1"/>
  <c r="K82" i="29868" s="1"/>
  <c r="C83" i="29868"/>
  <c r="S52" i="29875"/>
  <c r="S42" i="29875"/>
  <c r="K7" i="29875"/>
  <c r="H65" i="23"/>
  <c r="E66" i="23"/>
  <c r="L29" i="23"/>
  <c r="R72" i="29873"/>
  <c r="T72" i="29873" s="1"/>
  <c r="O33" i="23"/>
  <c r="O32" i="23" s="1"/>
  <c r="L100" i="29867"/>
  <c r="L101" i="29867" s="1"/>
  <c r="M99" i="29867"/>
  <c r="F100" i="29867"/>
  <c r="H100" i="29867"/>
  <c r="I100" i="29867"/>
  <c r="J100" i="29867"/>
  <c r="O74" i="29873"/>
  <c r="N75" i="29873"/>
  <c r="S74" i="29873"/>
  <c r="B129" i="29869"/>
  <c r="C130" i="29869"/>
  <c r="C64" i="29872"/>
  <c r="F64" i="29872"/>
  <c r="G62" i="29872" s="1"/>
  <c r="C49" i="29872"/>
  <c r="AB40" i="29875"/>
  <c r="G132" i="29869"/>
  <c r="G47" i="29868"/>
  <c r="G48" i="29868" s="1"/>
  <c r="Q42" i="29875"/>
  <c r="F7" i="29875"/>
  <c r="F9" i="29875" s="1"/>
  <c r="Q52" i="29875"/>
  <c r="H84" i="29868"/>
  <c r="I84" i="29868" s="1"/>
  <c r="J84" i="29868" s="1"/>
  <c r="F85" i="29868"/>
  <c r="K82" i="29869"/>
  <c r="Q40" i="29872"/>
  <c r="Z36" i="29872"/>
  <c r="D30" i="29869"/>
  <c r="E30" i="29869" s="1"/>
  <c r="G30" i="29869" s="1"/>
  <c r="K30" i="29869" s="1"/>
  <c r="L29" i="29869" s="1"/>
  <c r="C33" i="29869"/>
  <c r="D33" i="29869" s="1"/>
  <c r="E33" i="29869" s="1"/>
  <c r="G33" i="29869" s="1"/>
  <c r="K33" i="29869" s="1"/>
  <c r="L32" i="29869" s="1"/>
  <c r="F25" i="29867"/>
  <c r="F26" i="29867" s="1"/>
  <c r="F28" i="29867" s="1"/>
  <c r="F39" i="29867" s="1"/>
  <c r="F23" i="29867"/>
  <c r="F24" i="29867" s="1"/>
  <c r="G81" i="29868"/>
  <c r="K81" i="29868" s="1"/>
  <c r="N81" i="29868"/>
  <c r="T36" i="29872"/>
  <c r="W36" i="29872" s="1"/>
  <c r="AC25" i="29872"/>
  <c r="V25" i="29872"/>
  <c r="E131" i="29869"/>
  <c r="D131" i="29869"/>
  <c r="D84" i="29869"/>
  <c r="E84" i="29869" s="1"/>
  <c r="G84" i="29869" s="1"/>
  <c r="C85" i="29869"/>
  <c r="G40" i="29869"/>
  <c r="G45" i="29869" s="1"/>
  <c r="L23" i="29869"/>
  <c r="E40" i="29869" s="1"/>
  <c r="E45" i="29869" s="1"/>
  <c r="AA40" i="29875"/>
  <c r="V46" i="29872"/>
  <c r="C77" i="29872"/>
  <c r="C78" i="29872" s="1"/>
  <c r="AD36" i="29872"/>
  <c r="AD39" i="29872" s="1"/>
  <c r="AD40" i="29872" s="1"/>
  <c r="U39" i="29872"/>
  <c r="G100" i="29867"/>
  <c r="I148" i="29868"/>
  <c r="K148" i="29868" s="1"/>
  <c r="I143" i="29868"/>
  <c r="K143" i="29868" s="1"/>
  <c r="I127" i="29868"/>
  <c r="K127" i="29868" s="1"/>
  <c r="I147" i="29868"/>
  <c r="K147" i="29868" s="1"/>
  <c r="I141" i="29868"/>
  <c r="K141" i="29868" s="1"/>
  <c r="I145" i="29868"/>
  <c r="K145" i="29868" s="1"/>
  <c r="I137" i="29868"/>
  <c r="K137" i="29868" s="1"/>
  <c r="I150" i="29868"/>
  <c r="K150" i="29868" s="1"/>
  <c r="G127" i="29868"/>
  <c r="I140" i="29868"/>
  <c r="K140" i="29868" s="1"/>
  <c r="I144" i="29868"/>
  <c r="K144" i="29868" s="1"/>
  <c r="I138" i="29868"/>
  <c r="K138" i="29868" s="1"/>
  <c r="I149" i="29868"/>
  <c r="K149" i="29868" s="1"/>
  <c r="I136" i="29868"/>
  <c r="K136" i="29868" s="1"/>
  <c r="I135" i="29868"/>
  <c r="K135" i="29868" s="1"/>
  <c r="I142" i="29868"/>
  <c r="K142" i="29868" s="1"/>
  <c r="I146" i="29868"/>
  <c r="K146" i="29868" s="1"/>
  <c r="I139" i="29868"/>
  <c r="K139" i="29868" s="1"/>
  <c r="I134" i="29868"/>
  <c r="K134" i="29868" s="1"/>
  <c r="I133" i="29868"/>
  <c r="K133" i="29868" s="1"/>
  <c r="I132" i="29868"/>
  <c r="K132" i="29868" s="1"/>
  <c r="I131" i="29868"/>
  <c r="K131" i="29868" s="1"/>
  <c r="I130" i="29868"/>
  <c r="K130" i="29868" s="1"/>
  <c r="AD42" i="29875"/>
  <c r="Q73" i="29873"/>
  <c r="P73" i="29873"/>
  <c r="R73" i="29873" s="1"/>
  <c r="T73" i="29873" s="1"/>
  <c r="F84" i="29869"/>
  <c r="H83" i="29869"/>
  <c r="I83" i="29869" s="1"/>
  <c r="J83" i="29869" s="1"/>
  <c r="R40" i="29872"/>
  <c r="AA36" i="29872"/>
  <c r="O30" i="23"/>
  <c r="O29" i="23"/>
  <c r="Z40" i="29875"/>
  <c r="I128" i="29868"/>
  <c r="K128" i="29868" s="1"/>
  <c r="G128" i="29868"/>
  <c r="V47" i="29864" l="1"/>
  <c r="W47" i="29864" s="1"/>
  <c r="R52" i="29875"/>
  <c r="AD15" i="29875"/>
  <c r="U40" i="29875"/>
  <c r="I7" i="29875" s="1"/>
  <c r="C60" i="29875"/>
  <c r="C63" i="29875" s="1"/>
  <c r="C65" i="29875" s="1"/>
  <c r="K7" i="29872"/>
  <c r="K9" i="29872" s="1"/>
  <c r="T37" i="29875"/>
  <c r="R37" i="29875"/>
  <c r="AC36" i="29875"/>
  <c r="AE36" i="29875" s="1"/>
  <c r="AA37" i="29875" s="1"/>
  <c r="Q37" i="29875"/>
  <c r="S52" i="29872"/>
  <c r="L23" i="29873"/>
  <c r="E53" i="29873" s="1"/>
  <c r="E58" i="29873" s="1"/>
  <c r="G53" i="29873"/>
  <c r="G58" i="29873" s="1"/>
  <c r="G60" i="29873" s="1"/>
  <c r="G61" i="29873" s="1"/>
  <c r="F74" i="29873" s="1"/>
  <c r="G74" i="29873" s="1"/>
  <c r="N27" i="29873"/>
  <c r="K27" i="29873"/>
  <c r="L26" i="29873" s="1"/>
  <c r="D30" i="29873"/>
  <c r="E30" i="29873" s="1"/>
  <c r="G30" i="29873" s="1"/>
  <c r="C33" i="29873"/>
  <c r="K27" i="29876"/>
  <c r="L26" i="29876" s="1"/>
  <c r="N27" i="29876"/>
  <c r="C33" i="29876"/>
  <c r="D30" i="29876"/>
  <c r="E30" i="29876" s="1"/>
  <c r="G30" i="29876" s="1"/>
  <c r="G53" i="29876"/>
  <c r="G58" i="29876" s="1"/>
  <c r="L23" i="29876"/>
  <c r="E53" i="29876" s="1"/>
  <c r="E58" i="29876" s="1"/>
  <c r="S37" i="29872"/>
  <c r="Q37" i="29872"/>
  <c r="R37" i="29872"/>
  <c r="J126" i="29867"/>
  <c r="J121" i="29867"/>
  <c r="F53" i="29868"/>
  <c r="F58" i="29868"/>
  <c r="F60" i="29868"/>
  <c r="F70" i="29868"/>
  <c r="F59" i="29868"/>
  <c r="F63" i="29868"/>
  <c r="F56" i="29868"/>
  <c r="F57" i="29868"/>
  <c r="F52" i="29868"/>
  <c r="F68" i="29868"/>
  <c r="E116" i="29866" s="1"/>
  <c r="E120" i="29866" s="1"/>
  <c r="F64" i="29868"/>
  <c r="F67" i="29868"/>
  <c r="F62" i="29868"/>
  <c r="F66" i="29868"/>
  <c r="F61" i="29868"/>
  <c r="F54" i="29868"/>
  <c r="F55" i="29868"/>
  <c r="F65" i="29868"/>
  <c r="R52" i="29872"/>
  <c r="G7" i="29872"/>
  <c r="G9" i="29872" s="1"/>
  <c r="AC37" i="29875"/>
  <c r="C60" i="29872"/>
  <c r="C63" i="29872" s="1"/>
  <c r="C79" i="29872"/>
  <c r="F40" i="29867"/>
  <c r="F42" i="29867"/>
  <c r="F43" i="29867" s="1"/>
  <c r="F44" i="29867" s="1"/>
  <c r="F85" i="29869"/>
  <c r="H84" i="29869"/>
  <c r="I84" i="29869" s="1"/>
  <c r="J84" i="29869" s="1"/>
  <c r="D68" i="29875"/>
  <c r="G12" i="29875"/>
  <c r="G131" i="29869"/>
  <c r="F86" i="29868"/>
  <c r="H85" i="29868"/>
  <c r="I85" i="29868" s="1"/>
  <c r="J85" i="29868" s="1"/>
  <c r="AB37" i="29875"/>
  <c r="AB42" i="29872"/>
  <c r="AC39" i="29875"/>
  <c r="AC15" i="29875"/>
  <c r="Z37" i="29875"/>
  <c r="G47" i="29869"/>
  <c r="G48" i="29869" s="1"/>
  <c r="C80" i="29875"/>
  <c r="C82" i="29875"/>
  <c r="Z42" i="29875"/>
  <c r="AA40" i="29872"/>
  <c r="T40" i="29875"/>
  <c r="AD42" i="29872"/>
  <c r="D85" i="29869"/>
  <c r="E85" i="29869" s="1"/>
  <c r="C86" i="29869"/>
  <c r="K83" i="29869"/>
  <c r="E130" i="29869"/>
  <c r="D130" i="29869"/>
  <c r="Q74" i="29873"/>
  <c r="P74" i="29873"/>
  <c r="R74" i="29873" s="1"/>
  <c r="T74" i="29873" s="1"/>
  <c r="K84" i="29869"/>
  <c r="Z40" i="29872"/>
  <c r="C129" i="29869"/>
  <c r="B128" i="29869"/>
  <c r="K9" i="29875"/>
  <c r="D83" i="29868"/>
  <c r="E83" i="29868" s="1"/>
  <c r="G83" i="29868" s="1"/>
  <c r="K83" i="29868" s="1"/>
  <c r="C84" i="29868"/>
  <c r="AC36" i="29872"/>
  <c r="T37" i="29872"/>
  <c r="G99" i="29866"/>
  <c r="L79" i="29866"/>
  <c r="L80" i="29866" s="1"/>
  <c r="L81" i="29866" s="1"/>
  <c r="U40" i="29872"/>
  <c r="AD15" i="29872"/>
  <c r="T39" i="29872"/>
  <c r="T40" i="29872" s="1"/>
  <c r="Q42" i="29872"/>
  <c r="F7" i="29872"/>
  <c r="F9" i="29872" s="1"/>
  <c r="Q52" i="29872"/>
  <c r="C69" i="29875"/>
  <c r="F12" i="29875"/>
  <c r="AB42" i="29875"/>
  <c r="N76" i="29873"/>
  <c r="O75" i="29873"/>
  <c r="S75" i="29873"/>
  <c r="H66" i="23"/>
  <c r="E67" i="23"/>
  <c r="L103" i="29867"/>
  <c r="F103" i="29867"/>
  <c r="F104" i="29867" s="1"/>
  <c r="H103" i="29867"/>
  <c r="H104" i="29867" s="1"/>
  <c r="I103" i="29867"/>
  <c r="I104" i="29867" s="1"/>
  <c r="J103" i="29867"/>
  <c r="J104" i="29867" s="1"/>
  <c r="U52" i="29875" l="1"/>
  <c r="U42" i="29875"/>
  <c r="AE37" i="29875"/>
  <c r="F63" i="29875"/>
  <c r="G63" i="29875" s="1"/>
  <c r="W37" i="29875"/>
  <c r="AC40" i="29875"/>
  <c r="AE40" i="29875" s="1"/>
  <c r="AA41" i="29875" s="1"/>
  <c r="F75" i="29873"/>
  <c r="G75" i="29873" s="1"/>
  <c r="F66" i="29873"/>
  <c r="G66" i="29873" s="1"/>
  <c r="F81" i="29873"/>
  <c r="G81" i="29873" s="1"/>
  <c r="F79" i="29873"/>
  <c r="G79" i="29873" s="1"/>
  <c r="F71" i="29873"/>
  <c r="G71" i="29873" s="1"/>
  <c r="F77" i="29873"/>
  <c r="G77" i="29873" s="1"/>
  <c r="F83" i="29873"/>
  <c r="G83" i="29873" s="1"/>
  <c r="G46" i="29873" s="1"/>
  <c r="F65" i="29873"/>
  <c r="G65" i="29873" s="1"/>
  <c r="F67" i="29873"/>
  <c r="G67" i="29873" s="1"/>
  <c r="F68" i="29873"/>
  <c r="G68" i="29873" s="1"/>
  <c r="F73" i="29873"/>
  <c r="G73" i="29873" s="1"/>
  <c r="F70" i="29873"/>
  <c r="G70" i="29873" s="1"/>
  <c r="F69" i="29873"/>
  <c r="G69" i="29873" s="1"/>
  <c r="F72" i="29873"/>
  <c r="G72" i="29873" s="1"/>
  <c r="F78" i="29873"/>
  <c r="G78" i="29873" s="1"/>
  <c r="F76" i="29873"/>
  <c r="G76" i="29873" s="1"/>
  <c r="F80" i="29873"/>
  <c r="G80" i="29873" s="1"/>
  <c r="C36" i="29873"/>
  <c r="D33" i="29873"/>
  <c r="E33" i="29873" s="1"/>
  <c r="G33" i="29873" s="1"/>
  <c r="K30" i="29873"/>
  <c r="L29" i="29873" s="1"/>
  <c r="N30" i="29873"/>
  <c r="D33" i="29876"/>
  <c r="E33" i="29876" s="1"/>
  <c r="G33" i="29876" s="1"/>
  <c r="C36" i="29876"/>
  <c r="N30" i="29876"/>
  <c r="K30" i="29876"/>
  <c r="L29" i="29876" s="1"/>
  <c r="G60" i="29876"/>
  <c r="G61" i="29876" s="1"/>
  <c r="L104" i="29867"/>
  <c r="E98" i="29843"/>
  <c r="C83" i="29875"/>
  <c r="C36" i="29874"/>
  <c r="D69" i="29875"/>
  <c r="F69" i="29875"/>
  <c r="H69" i="29875" s="1"/>
  <c r="C72" i="29875"/>
  <c r="K12" i="29875"/>
  <c r="AE36" i="29872"/>
  <c r="H7" i="29875"/>
  <c r="T52" i="29875"/>
  <c r="T42" i="29875"/>
  <c r="W40" i="29875"/>
  <c r="K12" i="29872"/>
  <c r="C72" i="29872"/>
  <c r="G85" i="29869"/>
  <c r="C82" i="29872"/>
  <c r="C80" i="29872"/>
  <c r="D68" i="29872"/>
  <c r="G12" i="29872"/>
  <c r="W37" i="29872"/>
  <c r="D129" i="29869"/>
  <c r="E129" i="29869"/>
  <c r="F45" i="29867"/>
  <c r="F46" i="29867" s="1"/>
  <c r="F48" i="29867"/>
  <c r="F47" i="29867"/>
  <c r="G11" i="29867"/>
  <c r="G10" i="29867" s="1"/>
  <c r="F51" i="29867"/>
  <c r="G29" i="29867" s="1"/>
  <c r="G32" i="29867" s="1"/>
  <c r="G33" i="29867" s="1"/>
  <c r="C69" i="29872"/>
  <c r="F12" i="29872"/>
  <c r="U42" i="29872"/>
  <c r="I7" i="29872"/>
  <c r="U52" i="29872"/>
  <c r="C87" i="29869"/>
  <c r="D86" i="29869"/>
  <c r="E86" i="29869" s="1"/>
  <c r="G86" i="29869" s="1"/>
  <c r="F70" i="29869"/>
  <c r="F61" i="29869"/>
  <c r="F53" i="29869"/>
  <c r="F64" i="29869"/>
  <c r="F65" i="29869"/>
  <c r="F66" i="29869"/>
  <c r="F63" i="29869"/>
  <c r="F52" i="29869"/>
  <c r="F68" i="29869"/>
  <c r="E116" i="29867" s="1"/>
  <c r="E120" i="29867" s="1"/>
  <c r="F54" i="29869"/>
  <c r="F56" i="29869"/>
  <c r="F60" i="29869"/>
  <c r="F62" i="29869"/>
  <c r="F59" i="29869"/>
  <c r="F58" i="29869"/>
  <c r="F55" i="29869"/>
  <c r="F67" i="29869"/>
  <c r="F57" i="29869"/>
  <c r="F86" i="29869"/>
  <c r="H85" i="29869"/>
  <c r="I85" i="29869" s="1"/>
  <c r="J85" i="29869" s="1"/>
  <c r="F41" i="29867"/>
  <c r="G20" i="29867"/>
  <c r="Q75" i="29873"/>
  <c r="P75" i="29873"/>
  <c r="H101" i="29866"/>
  <c r="F101" i="29866"/>
  <c r="I101" i="29866"/>
  <c r="J101" i="29866"/>
  <c r="H7" i="29872"/>
  <c r="H9" i="29872" s="1"/>
  <c r="T42" i="29872"/>
  <c r="T52" i="29872"/>
  <c r="G130" i="29869"/>
  <c r="I9" i="29875"/>
  <c r="L7" i="29875"/>
  <c r="E68" i="23"/>
  <c r="H67" i="23"/>
  <c r="F67" i="23"/>
  <c r="G67" i="23" s="1"/>
  <c r="S76" i="29873"/>
  <c r="O76" i="29873"/>
  <c r="N77" i="29873"/>
  <c r="W40" i="29872"/>
  <c r="U41" i="29872" s="1"/>
  <c r="AC39" i="29872"/>
  <c r="AC40" i="29872" s="1"/>
  <c r="AC15" i="29872"/>
  <c r="G107" i="29866"/>
  <c r="F18" i="29866" s="1"/>
  <c r="G110" i="29866"/>
  <c r="G102" i="29866"/>
  <c r="L99" i="29866"/>
  <c r="G100" i="29866" s="1"/>
  <c r="C85" i="29868"/>
  <c r="D84" i="29868"/>
  <c r="E84" i="29868" s="1"/>
  <c r="G84" i="29868" s="1"/>
  <c r="K84" i="29868" s="1"/>
  <c r="C128" i="29869"/>
  <c r="B127" i="29869"/>
  <c r="C127" i="29869" s="1"/>
  <c r="Z42" i="29872"/>
  <c r="H86" i="29868"/>
  <c r="I86" i="29868" s="1"/>
  <c r="J86" i="29868" s="1"/>
  <c r="F87" i="29868"/>
  <c r="F63" i="29872"/>
  <c r="C65" i="29872"/>
  <c r="AD41" i="29875" l="1"/>
  <c r="F65" i="29875"/>
  <c r="AC42" i="29875"/>
  <c r="AE42" i="29875" s="1"/>
  <c r="AC43" i="29875" s="1"/>
  <c r="AC41" i="29875"/>
  <c r="Z41" i="29875"/>
  <c r="AC48" i="29875"/>
  <c r="AB41" i="29875"/>
  <c r="N33" i="29873"/>
  <c r="K33" i="29873"/>
  <c r="L32" i="29873" s="1"/>
  <c r="D36" i="29873"/>
  <c r="C39" i="29873"/>
  <c r="F49" i="29867"/>
  <c r="F81" i="29876"/>
  <c r="G81" i="29876" s="1"/>
  <c r="F83" i="29876"/>
  <c r="G83" i="29876" s="1"/>
  <c r="G46" i="29876" s="1"/>
  <c r="F65" i="29876"/>
  <c r="G65" i="29876" s="1"/>
  <c r="F67" i="29876"/>
  <c r="G67" i="29876" s="1"/>
  <c r="F68" i="29876"/>
  <c r="G68" i="29876" s="1"/>
  <c r="F78" i="29876"/>
  <c r="G78" i="29876" s="1"/>
  <c r="F72" i="29876"/>
  <c r="G72" i="29876" s="1"/>
  <c r="F74" i="29876"/>
  <c r="G74" i="29876" s="1"/>
  <c r="F77" i="29876"/>
  <c r="G77" i="29876" s="1"/>
  <c r="F69" i="29876"/>
  <c r="G69" i="29876" s="1"/>
  <c r="F79" i="29876"/>
  <c r="G79" i="29876" s="1"/>
  <c r="F76" i="29876"/>
  <c r="G76" i="29876" s="1"/>
  <c r="F71" i="29876"/>
  <c r="G71" i="29876" s="1"/>
  <c r="F73" i="29876"/>
  <c r="G73" i="29876" s="1"/>
  <c r="F75" i="29876"/>
  <c r="G75" i="29876" s="1"/>
  <c r="F70" i="29876"/>
  <c r="G70" i="29876" s="1"/>
  <c r="F66" i="29876"/>
  <c r="G66" i="29876" s="1"/>
  <c r="F80" i="29876"/>
  <c r="G80" i="29876" s="1"/>
  <c r="T41" i="29872"/>
  <c r="D36" i="29876"/>
  <c r="C39" i="29876"/>
  <c r="N33" i="29876"/>
  <c r="K33" i="29876"/>
  <c r="L32" i="29876" s="1"/>
  <c r="AC42" i="29872"/>
  <c r="AE42" i="29872" s="1"/>
  <c r="AC48" i="29872"/>
  <c r="AE40" i="29872"/>
  <c r="H87" i="29868"/>
  <c r="I87" i="29868" s="1"/>
  <c r="J87" i="29868" s="1"/>
  <c r="F88" i="29868"/>
  <c r="F23" i="29866"/>
  <c r="F24" i="29866" s="1"/>
  <c r="F25" i="29866"/>
  <c r="F26" i="29866" s="1"/>
  <c r="F28" i="29866" s="1"/>
  <c r="F39" i="29866" s="1"/>
  <c r="P76" i="29873"/>
  <c r="Q76" i="29873"/>
  <c r="I129" i="29869"/>
  <c r="K129" i="29869" s="1"/>
  <c r="G129" i="29869"/>
  <c r="AB37" i="29872"/>
  <c r="AA37" i="29872"/>
  <c r="Z37" i="29872"/>
  <c r="F72" i="29875"/>
  <c r="H72" i="29875" s="1"/>
  <c r="D72" i="29875"/>
  <c r="D85" i="29868"/>
  <c r="E85" i="29868" s="1"/>
  <c r="G85" i="29868" s="1"/>
  <c r="K85" i="29868" s="1"/>
  <c r="C86" i="29868"/>
  <c r="M7" i="29875"/>
  <c r="L9" i="29875"/>
  <c r="D87" i="29869"/>
  <c r="E87" i="29869" s="1"/>
  <c r="C88" i="29869"/>
  <c r="L7" i="29872"/>
  <c r="I9" i="29872"/>
  <c r="F72" i="29872"/>
  <c r="H72" i="29872" s="1"/>
  <c r="D72" i="29872"/>
  <c r="W42" i="29875"/>
  <c r="C37" i="29874"/>
  <c r="E99" i="29843"/>
  <c r="AC37" i="29872"/>
  <c r="D128" i="29869"/>
  <c r="E128" i="29869"/>
  <c r="L102" i="29866"/>
  <c r="G103" i="29866" s="1"/>
  <c r="J119" i="29866" s="1"/>
  <c r="J120" i="29866" s="1"/>
  <c r="S77" i="29873"/>
  <c r="N78" i="29873"/>
  <c r="O77" i="29873"/>
  <c r="F50" i="29867"/>
  <c r="G24" i="29867" s="1"/>
  <c r="C83" i="29872"/>
  <c r="C36" i="29871"/>
  <c r="D98" i="29843"/>
  <c r="W52" i="29875"/>
  <c r="R41" i="29875"/>
  <c r="Q41" i="29875"/>
  <c r="S41" i="29875"/>
  <c r="U41" i="29875"/>
  <c r="H9" i="29875"/>
  <c r="J7" i="29875"/>
  <c r="J9" i="29875" s="1"/>
  <c r="I11" i="29875" s="1"/>
  <c r="H68" i="23"/>
  <c r="F68" i="23"/>
  <c r="G68" i="23" s="1"/>
  <c r="K86" i="29869"/>
  <c r="T41" i="29875"/>
  <c r="G63" i="29872"/>
  <c r="F65" i="29872"/>
  <c r="C70" i="29872"/>
  <c r="H12" i="29872"/>
  <c r="D127" i="29869"/>
  <c r="E127" i="29869"/>
  <c r="L100" i="29866"/>
  <c r="L101" i="29866" s="1"/>
  <c r="M99" i="29866"/>
  <c r="H100" i="29866"/>
  <c r="F100" i="29866"/>
  <c r="I100" i="29866"/>
  <c r="J100" i="29866"/>
  <c r="W52" i="29872"/>
  <c r="S41" i="29872"/>
  <c r="R41" i="29872"/>
  <c r="Q41" i="29872"/>
  <c r="C71" i="29875"/>
  <c r="I12" i="29875"/>
  <c r="R75" i="29873"/>
  <c r="T75" i="29873" s="1"/>
  <c r="H86" i="29869"/>
  <c r="I86" i="29869" s="1"/>
  <c r="J86" i="29869" s="1"/>
  <c r="F87" i="29869"/>
  <c r="J7" i="29872"/>
  <c r="J9" i="29872" s="1"/>
  <c r="H11" i="29872" s="1"/>
  <c r="D69" i="29872"/>
  <c r="F69" i="29872"/>
  <c r="H69" i="29872" s="1"/>
  <c r="K85" i="29869"/>
  <c r="W42" i="29872"/>
  <c r="U43" i="29872" s="1"/>
  <c r="C42" i="29873" l="1"/>
  <c r="D42" i="29873" s="1"/>
  <c r="D39" i="29873"/>
  <c r="I10" i="29875"/>
  <c r="C42" i="29876"/>
  <c r="D42" i="29876" s="1"/>
  <c r="D39" i="29876"/>
  <c r="F88" i="29869"/>
  <c r="H87" i="29869"/>
  <c r="I87" i="29869" s="1"/>
  <c r="J87" i="29869" s="1"/>
  <c r="P77" i="29873"/>
  <c r="R77" i="29873" s="1"/>
  <c r="T77" i="29873" s="1"/>
  <c r="Q77" i="29873"/>
  <c r="R43" i="29875"/>
  <c r="Q43" i="29875"/>
  <c r="S43" i="29875"/>
  <c r="U43" i="29875"/>
  <c r="AB41" i="29872"/>
  <c r="AD41" i="29872"/>
  <c r="AA41" i="29872"/>
  <c r="Z41" i="29872"/>
  <c r="N79" i="29873"/>
  <c r="O78" i="29873"/>
  <c r="S78" i="29873"/>
  <c r="D71" i="29875"/>
  <c r="F71" i="29875"/>
  <c r="H71" i="29875" s="1"/>
  <c r="I128" i="29869"/>
  <c r="K128" i="29869"/>
  <c r="G128" i="29869"/>
  <c r="D88" i="29869"/>
  <c r="E88" i="29869" s="1"/>
  <c r="G88" i="29869" s="1"/>
  <c r="C89" i="29869"/>
  <c r="N7" i="29875"/>
  <c r="M9" i="29875"/>
  <c r="N9" i="29875" s="1"/>
  <c r="R76" i="29873"/>
  <c r="T76" i="29873" s="1"/>
  <c r="H88" i="29868"/>
  <c r="I88" i="29868" s="1"/>
  <c r="J88" i="29868" s="1"/>
  <c r="F89" i="29868"/>
  <c r="AC41" i="29872"/>
  <c r="J10" i="29875"/>
  <c r="C88" i="29875"/>
  <c r="F11" i="29875"/>
  <c r="G10" i="29875"/>
  <c r="F10" i="29875"/>
  <c r="K10" i="29875"/>
  <c r="K11" i="29875"/>
  <c r="J121" i="29866"/>
  <c r="J126" i="29866"/>
  <c r="AA43" i="29872"/>
  <c r="AD43" i="29872"/>
  <c r="AB43" i="29872"/>
  <c r="I12" i="29872"/>
  <c r="C71" i="29872"/>
  <c r="I10" i="29872"/>
  <c r="I11" i="29872"/>
  <c r="F42" i="29866"/>
  <c r="F43" i="29866" s="1"/>
  <c r="F44" i="29866" s="1"/>
  <c r="F40" i="29866"/>
  <c r="R43" i="29872"/>
  <c r="S43" i="29872"/>
  <c r="Q43" i="29872"/>
  <c r="H10" i="29875"/>
  <c r="C70" i="29875"/>
  <c r="H11" i="29875"/>
  <c r="H12" i="29875"/>
  <c r="D99" i="29843"/>
  <c r="C37" i="29871"/>
  <c r="T43" i="29875"/>
  <c r="M7" i="29872"/>
  <c r="L9" i="29872"/>
  <c r="J10" i="29872"/>
  <c r="C88" i="29872"/>
  <c r="K10" i="29872"/>
  <c r="G10" i="29872"/>
  <c r="F10" i="29872"/>
  <c r="K11" i="29872"/>
  <c r="F11" i="29872"/>
  <c r="I141" i="29869"/>
  <c r="K141" i="29869" s="1"/>
  <c r="I145" i="29869"/>
  <c r="K145" i="29869" s="1"/>
  <c r="I149" i="29869"/>
  <c r="K149" i="29869" s="1"/>
  <c r="I146" i="29869"/>
  <c r="K146" i="29869" s="1"/>
  <c r="I144" i="29869"/>
  <c r="K144" i="29869" s="1"/>
  <c r="I148" i="29869"/>
  <c r="K148" i="29869" s="1"/>
  <c r="I143" i="29869"/>
  <c r="K143" i="29869" s="1"/>
  <c r="I139" i="29869"/>
  <c r="K139" i="29869" s="1"/>
  <c r="G127" i="29869"/>
  <c r="I138" i="29869"/>
  <c r="K138" i="29869" s="1"/>
  <c r="I142" i="29869"/>
  <c r="K142" i="29869" s="1"/>
  <c r="I127" i="29869"/>
  <c r="K127" i="29869" s="1"/>
  <c r="I150" i="29869"/>
  <c r="K150" i="29869" s="1"/>
  <c r="I140" i="29869"/>
  <c r="K140" i="29869" s="1"/>
  <c r="I147" i="29869"/>
  <c r="K147" i="29869" s="1"/>
  <c r="I137" i="29869"/>
  <c r="K137" i="29869" s="1"/>
  <c r="I136" i="29869"/>
  <c r="K136" i="29869" s="1"/>
  <c r="I135" i="29869"/>
  <c r="K135" i="29869" s="1"/>
  <c r="I134" i="29869"/>
  <c r="K134" i="29869" s="1"/>
  <c r="I133" i="29869"/>
  <c r="K133" i="29869" s="1"/>
  <c r="I132" i="29869"/>
  <c r="K132" i="29869" s="1"/>
  <c r="I131" i="29869"/>
  <c r="K131" i="29869" s="1"/>
  <c r="I130" i="29869"/>
  <c r="K130" i="29869" s="1"/>
  <c r="D70" i="29872"/>
  <c r="F70" i="29872"/>
  <c r="H70" i="29872" s="1"/>
  <c r="AA43" i="29875"/>
  <c r="AD43" i="29875"/>
  <c r="Z43" i="29875"/>
  <c r="AB43" i="29875"/>
  <c r="H10" i="29872"/>
  <c r="T43" i="29872"/>
  <c r="L103" i="29866"/>
  <c r="H103" i="29866"/>
  <c r="H104" i="29866" s="1"/>
  <c r="I103" i="29866"/>
  <c r="I104" i="29866" s="1"/>
  <c r="F103" i="29866"/>
  <c r="F104" i="29866" s="1"/>
  <c r="J103" i="29866"/>
  <c r="J104" i="29866" s="1"/>
  <c r="Z43" i="29872"/>
  <c r="G87" i="29869"/>
  <c r="C87" i="29868"/>
  <c r="D86" i="29868"/>
  <c r="E86" i="29868" s="1"/>
  <c r="G86" i="29868" s="1"/>
  <c r="K86" i="29868" s="1"/>
  <c r="AE37" i="29872"/>
  <c r="AC43" i="29872"/>
  <c r="J11" i="29872" l="1"/>
  <c r="D71" i="29872"/>
  <c r="D73" i="29872" s="1"/>
  <c r="D75" i="29872" s="1"/>
  <c r="F71" i="29872"/>
  <c r="H71" i="29872" s="1"/>
  <c r="F90" i="29868"/>
  <c r="H89" i="29868"/>
  <c r="I89" i="29868" s="1"/>
  <c r="J89" i="29868" s="1"/>
  <c r="L104" i="29866"/>
  <c r="F45" i="29866"/>
  <c r="F46" i="29866" s="1"/>
  <c r="G11" i="29866"/>
  <c r="G10" i="29866" s="1"/>
  <c r="F51" i="29866"/>
  <c r="G29" i="29866" s="1"/>
  <c r="G32" i="29866" s="1"/>
  <c r="G33" i="29866" s="1"/>
  <c r="F47" i="29866"/>
  <c r="F48" i="29866"/>
  <c r="C90" i="29869"/>
  <c r="D89" i="29869"/>
  <c r="E89" i="29869" s="1"/>
  <c r="G89" i="29869" s="1"/>
  <c r="Q78" i="29873"/>
  <c r="P78" i="29873"/>
  <c r="R78" i="29873" s="1"/>
  <c r="T78" i="29873" s="1"/>
  <c r="K87" i="29869"/>
  <c r="N80" i="29873"/>
  <c r="O79" i="29873"/>
  <c r="S79" i="29873"/>
  <c r="H88" i="29869"/>
  <c r="I88" i="29869" s="1"/>
  <c r="J88" i="29869" s="1"/>
  <c r="F89" i="29869"/>
  <c r="F41" i="29866"/>
  <c r="G20" i="29866"/>
  <c r="D87" i="29868"/>
  <c r="E87" i="29868" s="1"/>
  <c r="G87" i="29868" s="1"/>
  <c r="K87" i="29868" s="1"/>
  <c r="C88" i="29868"/>
  <c r="F70" i="29875"/>
  <c r="H70" i="29875" s="1"/>
  <c r="D70" i="29875"/>
  <c r="D73" i="29875" s="1"/>
  <c r="D75" i="29875" s="1"/>
  <c r="J12" i="29872"/>
  <c r="I13" i="29872" s="1"/>
  <c r="N7" i="29872"/>
  <c r="M9" i="29872"/>
  <c r="N9" i="29872" s="1"/>
  <c r="J12" i="29875"/>
  <c r="J11" i="29875"/>
  <c r="F49" i="29866" l="1"/>
  <c r="F50" i="29866" s="1"/>
  <c r="G24" i="29866" s="1"/>
  <c r="C86" i="29875"/>
  <c r="C89" i="29875" s="1"/>
  <c r="J13" i="29875"/>
  <c r="F13" i="29875"/>
  <c r="F14" i="29875"/>
  <c r="G13" i="29875"/>
  <c r="K71" i="29875" s="1"/>
  <c r="K72" i="29875" s="1"/>
  <c r="K13" i="29875"/>
  <c r="K14" i="29875"/>
  <c r="I14" i="29875"/>
  <c r="J16" i="29875"/>
  <c r="J17" i="29875" s="1"/>
  <c r="I13" i="29875"/>
  <c r="C89" i="29868"/>
  <c r="D88" i="29868"/>
  <c r="E88" i="29868" s="1"/>
  <c r="G88" i="29868" s="1"/>
  <c r="K88" i="29868" s="1"/>
  <c r="H89" i="29869"/>
  <c r="I89" i="29869" s="1"/>
  <c r="J89" i="29869" s="1"/>
  <c r="F90" i="29869"/>
  <c r="C91" i="29869"/>
  <c r="D90" i="29869"/>
  <c r="E90" i="29869" s="1"/>
  <c r="K88" i="29869"/>
  <c r="P79" i="29873"/>
  <c r="Q79" i="29873"/>
  <c r="H90" i="29868"/>
  <c r="I90" i="29868" s="1"/>
  <c r="J90" i="29868" s="1"/>
  <c r="F91" i="29868"/>
  <c r="S80" i="29873"/>
  <c r="N81" i="29873"/>
  <c r="O80" i="29873"/>
  <c r="H14" i="29875"/>
  <c r="C86" i="29872"/>
  <c r="C89" i="29872" s="1"/>
  <c r="J13" i="29872"/>
  <c r="F14" i="29872"/>
  <c r="K14" i="29872"/>
  <c r="F13" i="29872"/>
  <c r="G13" i="29872"/>
  <c r="K71" i="29872" s="1"/>
  <c r="K72" i="29872" s="1"/>
  <c r="K13" i="29872"/>
  <c r="H13" i="29872"/>
  <c r="J16" i="29872"/>
  <c r="J17" i="29872" s="1"/>
  <c r="H14" i="29872"/>
  <c r="H13" i="29875"/>
  <c r="I14" i="29872"/>
  <c r="R79" i="29873" l="1"/>
  <c r="T79" i="29873" s="1"/>
  <c r="K74" i="29875"/>
  <c r="K73" i="29875"/>
  <c r="D91" i="29869"/>
  <c r="E91" i="29869" s="1"/>
  <c r="C92" i="29869"/>
  <c r="C90" i="29868"/>
  <c r="D89" i="29868"/>
  <c r="E89" i="29868" s="1"/>
  <c r="G89" i="29868" s="1"/>
  <c r="K89" i="29868" s="1"/>
  <c r="D97" i="29843"/>
  <c r="C35" i="29871"/>
  <c r="F92" i="29868"/>
  <c r="H91" i="29868"/>
  <c r="I91" i="29868" s="1"/>
  <c r="J91" i="29868" s="1"/>
  <c r="F91" i="29869"/>
  <c r="H90" i="29869"/>
  <c r="I90" i="29869" s="1"/>
  <c r="J90" i="29869" s="1"/>
  <c r="J14" i="29872"/>
  <c r="P80" i="29873"/>
  <c r="Q80" i="29873"/>
  <c r="K73" i="29872"/>
  <c r="K74" i="29872"/>
  <c r="S81" i="29873"/>
  <c r="O81" i="29873"/>
  <c r="N82" i="29873"/>
  <c r="G90" i="29869"/>
  <c r="K90" i="29869" s="1"/>
  <c r="C35" i="29874"/>
  <c r="E97" i="29843"/>
  <c r="J14" i="29875"/>
  <c r="K89" i="29869"/>
  <c r="Q81" i="29873" l="1"/>
  <c r="P81" i="29873"/>
  <c r="R81" i="29873" s="1"/>
  <c r="T81" i="29873" s="1"/>
  <c r="H92" i="29868"/>
  <c r="I92" i="29868" s="1"/>
  <c r="J92" i="29868" s="1"/>
  <c r="F93" i="29868"/>
  <c r="D90" i="29868"/>
  <c r="E90" i="29868" s="1"/>
  <c r="G90" i="29868" s="1"/>
  <c r="K90" i="29868" s="1"/>
  <c r="C91" i="29868"/>
  <c r="H91" i="29869"/>
  <c r="I91" i="29869" s="1"/>
  <c r="J91" i="29869" s="1"/>
  <c r="F92" i="29869"/>
  <c r="G91" i="29869"/>
  <c r="R80" i="29873"/>
  <c r="T80" i="29873" s="1"/>
  <c r="H68" i="29875"/>
  <c r="H73" i="29875" s="1"/>
  <c r="H75" i="29875" s="1"/>
  <c r="C68" i="29875"/>
  <c r="N83" i="29873"/>
  <c r="O82" i="29873"/>
  <c r="S82" i="29873"/>
  <c r="H68" i="29872"/>
  <c r="H73" i="29872" s="1"/>
  <c r="H75" i="29872" s="1"/>
  <c r="C68" i="29872"/>
  <c r="D92" i="29869"/>
  <c r="E92" i="29869" s="1"/>
  <c r="C93" i="29869"/>
  <c r="D93" i="29869" s="1"/>
  <c r="E93" i="29869" s="1"/>
  <c r="C73" i="29875" l="1"/>
  <c r="F68" i="29875"/>
  <c r="C32" i="29874"/>
  <c r="E94" i="29843"/>
  <c r="P82" i="29873"/>
  <c r="Q82" i="29873"/>
  <c r="C92" i="29868"/>
  <c r="D91" i="29868"/>
  <c r="E91" i="29868" s="1"/>
  <c r="G91" i="29868" s="1"/>
  <c r="K91" i="29868" s="1"/>
  <c r="C32" i="29871"/>
  <c r="D94" i="29843"/>
  <c r="F93" i="29869"/>
  <c r="H92" i="29869"/>
  <c r="I92" i="29869" s="1"/>
  <c r="J92" i="29869" s="1"/>
  <c r="H93" i="29868"/>
  <c r="I93" i="29868" s="1"/>
  <c r="J93" i="29868" s="1"/>
  <c r="F94" i="29868"/>
  <c r="G93" i="29869"/>
  <c r="G92" i="29869"/>
  <c r="K92" i="29869" s="1"/>
  <c r="F68" i="29872"/>
  <c r="C73" i="29872"/>
  <c r="N84" i="29873"/>
  <c r="O83" i="29873"/>
  <c r="S83" i="29873"/>
  <c r="K91" i="29869"/>
  <c r="P83" i="29873" l="1"/>
  <c r="Q83" i="29873"/>
  <c r="S84" i="29873"/>
  <c r="N85" i="29873"/>
  <c r="O84" i="29873"/>
  <c r="K93" i="29869"/>
  <c r="H93" i="29869"/>
  <c r="I93" i="29869" s="1"/>
  <c r="J93" i="29869" s="1"/>
  <c r="F94" i="29869"/>
  <c r="C93" i="29868"/>
  <c r="D93" i="29868" s="1"/>
  <c r="E93" i="29868" s="1"/>
  <c r="G93" i="29868" s="1"/>
  <c r="K93" i="29868" s="1"/>
  <c r="D92" i="29868"/>
  <c r="E92" i="29868" s="1"/>
  <c r="G92" i="29868" s="1"/>
  <c r="K92" i="29868" s="1"/>
  <c r="F73" i="29872"/>
  <c r="F75" i="29872" s="1"/>
  <c r="C75" i="29872"/>
  <c r="E75" i="29872" s="1"/>
  <c r="H94" i="29868"/>
  <c r="I94" i="29868" s="1"/>
  <c r="J94" i="29868" s="1"/>
  <c r="G94" i="29868"/>
  <c r="R82" i="29873"/>
  <c r="T82" i="29873" s="1"/>
  <c r="F73" i="29875"/>
  <c r="F75" i="29875" s="1"/>
  <c r="C75" i="29875"/>
  <c r="E75" i="29875" s="1"/>
  <c r="K94" i="29868" l="1"/>
  <c r="H137" i="29867"/>
  <c r="H137" i="29866"/>
  <c r="G108" i="29866"/>
  <c r="L108" i="29866" s="1"/>
  <c r="E121" i="29866" s="1"/>
  <c r="E126" i="29866" s="1"/>
  <c r="C27" i="29865" s="1"/>
  <c r="D60" i="29843" s="1"/>
  <c r="D12" i="29843" s="1"/>
  <c r="H94" i="29869"/>
  <c r="I94" i="29869" s="1"/>
  <c r="J94" i="29869" s="1"/>
  <c r="G94" i="29869"/>
  <c r="S85" i="29873"/>
  <c r="O85" i="29873"/>
  <c r="N86" i="29873"/>
  <c r="Q84" i="29873"/>
  <c r="P84" i="29873"/>
  <c r="R83" i="29873"/>
  <c r="T83" i="29873" s="1"/>
  <c r="D14" i="29843" l="1"/>
  <c r="L6" i="29863" s="1"/>
  <c r="Q85" i="29873"/>
  <c r="P85" i="29873"/>
  <c r="R85" i="29873" s="1"/>
  <c r="T85" i="29873" s="1"/>
  <c r="K94" i="29869"/>
  <c r="G108" i="29867"/>
  <c r="L108" i="29867" s="1"/>
  <c r="E121" i="29867" s="1"/>
  <c r="E126" i="29867" s="1"/>
  <c r="D27" i="29865" s="1"/>
  <c r="E60" i="29843" s="1"/>
  <c r="E12" i="29843" s="1"/>
  <c r="R84" i="29873"/>
  <c r="T84" i="29873" s="1"/>
  <c r="O86" i="29873"/>
  <c r="N87" i="29873"/>
  <c r="D22" i="29848" l="1"/>
  <c r="E14" i="29843"/>
  <c r="O87" i="29873"/>
  <c r="N88" i="29873"/>
  <c r="Q86" i="29873"/>
  <c r="P86" i="29873"/>
  <c r="G22" i="29848" l="1"/>
  <c r="M6" i="29863"/>
  <c r="M12" i="29863" s="1"/>
  <c r="E10" i="29863" s="1"/>
  <c r="V17" i="29864"/>
  <c r="W17" i="29864" s="1"/>
  <c r="D23" i="29848"/>
  <c r="K42" i="29850" s="1"/>
  <c r="K43" i="29850" s="1"/>
  <c r="E22" i="29848"/>
  <c r="E23" i="29848" s="1"/>
  <c r="G23" i="29848"/>
  <c r="H22" i="29848"/>
  <c r="V48" i="29864"/>
  <c r="W48" i="29864" s="1"/>
  <c r="O88" i="29873"/>
  <c r="S88" i="29873"/>
  <c r="R86" i="29873"/>
  <c r="P87" i="29873"/>
  <c r="Q87" i="29873"/>
  <c r="M60" i="29863" l="1"/>
  <c r="E60" i="29863" s="1"/>
  <c r="M50" i="29863"/>
  <c r="E50" i="29863" s="1"/>
  <c r="M35" i="29863"/>
  <c r="E35" i="29863" s="1"/>
  <c r="M25" i="29863"/>
  <c r="E25" i="29863" s="1"/>
  <c r="M40" i="29863"/>
  <c r="E40" i="29863" s="1"/>
  <c r="M30" i="29863"/>
  <c r="E30" i="29863" s="1"/>
  <c r="M20" i="29863"/>
  <c r="E20" i="29863" s="1"/>
  <c r="M17" i="29863"/>
  <c r="E15" i="29863" s="1"/>
  <c r="V18" i="29864"/>
  <c r="W18" i="29864" s="1"/>
  <c r="L40" i="29862"/>
  <c r="L41" i="29862" s="1"/>
  <c r="D25" i="29848"/>
  <c r="F23" i="29848" s="1"/>
  <c r="L42" i="29850"/>
  <c r="L43" i="29850" s="1"/>
  <c r="M40" i="29862"/>
  <c r="M41" i="29862" s="1"/>
  <c r="G25" i="29848"/>
  <c r="I23" i="29848" s="1"/>
  <c r="V49" i="29864"/>
  <c r="W49" i="29864" s="1"/>
  <c r="H23" i="29848"/>
  <c r="Q88" i="29873"/>
  <c r="P88" i="29873"/>
  <c r="R88" i="29873" s="1"/>
  <c r="R87" i="29873"/>
  <c r="E65" i="29863" l="1"/>
  <c r="E31" i="29848"/>
  <c r="E32" i="29848" s="1"/>
  <c r="F14" i="29848"/>
  <c r="F20" i="29848"/>
  <c r="F24" i="29848"/>
  <c r="E25" i="29848"/>
  <c r="F16" i="29848"/>
  <c r="F18" i="29848"/>
  <c r="E33" i="29848"/>
  <c r="E34" i="29848" s="1"/>
  <c r="F19" i="29848"/>
  <c r="V20" i="29864"/>
  <c r="W20" i="29864" s="1"/>
  <c r="F17" i="29848"/>
  <c r="F15" i="29848"/>
  <c r="I15" i="29848"/>
  <c r="I19" i="29848"/>
  <c r="I16" i="29848"/>
  <c r="I20" i="29848"/>
  <c r="I17" i="29848"/>
  <c r="I18" i="29848"/>
  <c r="I24" i="29848"/>
  <c r="I14" i="29848"/>
  <c r="F31" i="29848"/>
  <c r="F32" i="29848" s="1"/>
  <c r="H25" i="29848"/>
  <c r="F33" i="29848"/>
  <c r="F34" i="29848" s="1"/>
  <c r="V51" i="29864"/>
  <c r="W51" i="29864" s="1"/>
  <c r="F25" i="29848" l="1"/>
  <c r="I25" i="29848"/>
</calcChain>
</file>

<file path=xl/comments1.xml><?xml version="1.0" encoding="utf-8"?>
<comments xmlns="http://schemas.openxmlformats.org/spreadsheetml/2006/main">
  <authors>
    <author>Thirumaran, Kiran</author>
  </authors>
  <commentList>
    <comment ref="B25" authorId="0">
      <text>
        <r>
          <rPr>
            <b/>
            <sz val="9"/>
            <color indexed="81"/>
            <rFont val="Tahoma"/>
            <family val="2"/>
          </rPr>
          <t>Example:
-Btu/cu.ft
-Btu/lb
-Btu/kwh etc</t>
        </r>
      </text>
    </comment>
    <comment ref="C25" authorId="0">
      <text>
        <r>
          <rPr>
            <b/>
            <sz val="9"/>
            <color indexed="81"/>
            <rFont val="Tahoma"/>
            <family val="2"/>
          </rPr>
          <t>Example:
-Btu/cu.ft
-Btu/lb
-Btu/kwh etc</t>
        </r>
      </text>
    </comment>
    <comment ref="D25" authorId="0">
      <text>
        <r>
          <rPr>
            <b/>
            <sz val="9"/>
            <color indexed="81"/>
            <rFont val="Tahoma"/>
            <family val="2"/>
          </rPr>
          <t>Example:
-Btu/cu.ft
-Btu/lb
-Btu/kwh etc</t>
        </r>
      </text>
    </comment>
    <comment ref="E25" authorId="0">
      <text>
        <r>
          <rPr>
            <b/>
            <sz val="9"/>
            <color indexed="81"/>
            <rFont val="Tahoma"/>
            <family val="2"/>
          </rPr>
          <t>Example:
-Btu/cu.ft
-Btu/lb
-Btu/kwh etc</t>
        </r>
      </text>
    </comment>
    <comment ref="F25" authorId="0">
      <text>
        <r>
          <rPr>
            <b/>
            <sz val="9"/>
            <color indexed="81"/>
            <rFont val="Tahoma"/>
            <family val="2"/>
          </rPr>
          <t>Example:
-Btu/cu.ft
-Btu/lb
-Btu/kwh etc</t>
        </r>
      </text>
    </comment>
    <comment ref="G25" authorId="0">
      <text>
        <r>
          <rPr>
            <b/>
            <sz val="9"/>
            <color indexed="81"/>
            <rFont val="Tahoma"/>
            <family val="2"/>
          </rPr>
          <t>Example:
-Btu/cu.ft
-Btu/lb
-Btu/kwh etc</t>
        </r>
      </text>
    </comment>
    <comment ref="B27" authorId="0">
      <text>
        <r>
          <rPr>
            <b/>
            <sz val="9"/>
            <color indexed="81"/>
            <rFont val="Tahoma"/>
            <family val="2"/>
          </rPr>
          <t>Example:
-MM Btu
-Cu.ft
-Lbs.
-kWh etc.</t>
        </r>
      </text>
    </comment>
    <comment ref="C27" authorId="0">
      <text>
        <r>
          <rPr>
            <b/>
            <sz val="9"/>
            <color indexed="81"/>
            <rFont val="Tahoma"/>
            <family val="2"/>
          </rPr>
          <t>Example:
-MM Btu
-Cu.ft
-Lbs.
-kWh etc.</t>
        </r>
      </text>
    </comment>
    <comment ref="D27" authorId="0">
      <text>
        <r>
          <rPr>
            <b/>
            <sz val="9"/>
            <color indexed="81"/>
            <rFont val="Tahoma"/>
            <family val="2"/>
          </rPr>
          <t>Example:
-MM Btu
-Cu.ft
-Lbs.
-kWh etc.</t>
        </r>
      </text>
    </comment>
    <comment ref="E27" authorId="0">
      <text>
        <r>
          <rPr>
            <b/>
            <sz val="9"/>
            <color indexed="81"/>
            <rFont val="Tahoma"/>
            <family val="2"/>
          </rPr>
          <t>Example:
-MM Btu
-Cu.ft
-Lbs.
-kWh etc.</t>
        </r>
      </text>
    </comment>
    <comment ref="F27" authorId="0">
      <text>
        <r>
          <rPr>
            <b/>
            <sz val="9"/>
            <color indexed="81"/>
            <rFont val="Tahoma"/>
            <family val="2"/>
          </rPr>
          <t>Example:
-MM Btu
-Cu.ft
-Lbs.
-kWh etc.</t>
        </r>
      </text>
    </comment>
    <comment ref="G27" authorId="0">
      <text>
        <r>
          <rPr>
            <b/>
            <sz val="9"/>
            <color indexed="81"/>
            <rFont val="Tahoma"/>
            <family val="2"/>
          </rPr>
          <t>Example:
-MM Btu
-Cu.ft
-Lbs.
-kWh etc.</t>
        </r>
      </text>
    </comment>
    <comment ref="B28" authorId="0">
      <text>
        <r>
          <rPr>
            <b/>
            <sz val="9"/>
            <color indexed="81"/>
            <rFont val="Tahoma"/>
            <family val="2"/>
          </rPr>
          <t>Example:
-$/MMBTU
-$/US Ton
-$/kWh etc.</t>
        </r>
      </text>
    </comment>
    <comment ref="C28" authorId="0">
      <text>
        <r>
          <rPr>
            <b/>
            <sz val="9"/>
            <color indexed="81"/>
            <rFont val="Tahoma"/>
            <family val="2"/>
          </rPr>
          <t>Example:
-$/MMBTU
-$/US Ton
-$/kWh etc.</t>
        </r>
      </text>
    </comment>
    <comment ref="D28" authorId="0">
      <text>
        <r>
          <rPr>
            <b/>
            <sz val="9"/>
            <color indexed="81"/>
            <rFont val="Tahoma"/>
            <family val="2"/>
          </rPr>
          <t>Example:
-$/MMBTU
-$/US Ton
-$/kWh etc.</t>
        </r>
      </text>
    </comment>
    <comment ref="E28" authorId="0">
      <text>
        <r>
          <rPr>
            <b/>
            <sz val="9"/>
            <color indexed="81"/>
            <rFont val="Tahoma"/>
            <family val="2"/>
          </rPr>
          <t>Example:
-$/MMBTU
-$/US Ton
-$/kWh etc.</t>
        </r>
      </text>
    </comment>
    <comment ref="F28" authorId="0">
      <text>
        <r>
          <rPr>
            <b/>
            <sz val="9"/>
            <color indexed="81"/>
            <rFont val="Tahoma"/>
            <family val="2"/>
          </rPr>
          <t>Example:
-$/MMBTU
-$/US Ton
-$/kWh etc.</t>
        </r>
      </text>
    </comment>
    <comment ref="G28" authorId="0">
      <text>
        <r>
          <rPr>
            <b/>
            <sz val="9"/>
            <color indexed="81"/>
            <rFont val="Tahoma"/>
            <family val="2"/>
          </rPr>
          <t>Example:
-$/MMBTU
-$/US Ton
-$/kWh etc.</t>
        </r>
      </text>
    </comment>
  </commentList>
</comments>
</file>

<file path=xl/comments2.xml><?xml version="1.0" encoding="utf-8"?>
<comments xmlns="http://schemas.openxmlformats.org/spreadsheetml/2006/main">
  <authors>
    <author xml:space="preserve"> Arvind Thekdi</author>
    <author>Sachin U. Nimbalkar (ORNL)</author>
    <author>Thirumaran, Kiran</author>
    <author>JKe</author>
  </authors>
  <commentList>
    <comment ref="G14" authorId="0">
      <text>
        <r>
          <rPr>
            <b/>
            <sz val="8"/>
            <color indexed="81"/>
            <rFont val="Tahoma"/>
            <family val="2"/>
          </rPr>
          <t xml:space="preserve"> Arvind Thekdi:</t>
        </r>
        <r>
          <rPr>
            <sz val="8"/>
            <color indexed="81"/>
            <rFont val="Tahoma"/>
            <family val="2"/>
          </rPr>
          <t xml:space="preserve">
Changed cell for solid from E to F</t>
        </r>
      </text>
    </comment>
    <comment ref="H27" authorId="1">
      <text>
        <r>
          <rPr>
            <b/>
            <sz val="9"/>
            <color indexed="81"/>
            <rFont val="Tahoma"/>
            <family val="2"/>
          </rPr>
          <t>Sachin (ORNL)
1 kgoe = 41868 KJ</t>
        </r>
        <r>
          <rPr>
            <sz val="9"/>
            <color indexed="81"/>
            <rFont val="Tahoma"/>
            <family val="2"/>
          </rPr>
          <t xml:space="preserve">
</t>
        </r>
        <r>
          <rPr>
            <b/>
            <sz val="9"/>
            <color indexed="81"/>
            <rFont val="Tahoma"/>
            <family val="2"/>
          </rPr>
          <t>1 kgoe = 39683 BTU</t>
        </r>
      </text>
    </comment>
    <comment ref="I27" authorId="1">
      <text>
        <r>
          <rPr>
            <b/>
            <sz val="9"/>
            <color indexed="81"/>
            <rFont val="Tahoma"/>
            <family val="2"/>
          </rPr>
          <t>Sachin (ORNL):
1 kcal = 4.1868 kJ</t>
        </r>
        <r>
          <rPr>
            <sz val="9"/>
            <color indexed="81"/>
            <rFont val="Tahoma"/>
            <family val="2"/>
          </rPr>
          <t xml:space="preserve">
1 kcal  = 3.96526 btu</t>
        </r>
      </text>
    </comment>
    <comment ref="J27" authorId="2">
      <text>
        <r>
          <rPr>
            <b/>
            <sz val="9"/>
            <color indexed="81"/>
            <rFont val="Tahoma"/>
            <family val="2"/>
          </rPr>
          <t>Thirumaran, Kiran:</t>
        </r>
        <r>
          <rPr>
            <sz val="9"/>
            <color indexed="81"/>
            <rFont val="Tahoma"/>
            <family val="2"/>
          </rPr>
          <t xml:space="preserve">
1 kg = 2.205 lbs</t>
        </r>
      </text>
    </comment>
    <comment ref="H28" authorId="3">
      <text>
        <r>
          <rPr>
            <b/>
            <sz val="8"/>
            <color indexed="81"/>
            <rFont val="Tahoma"/>
            <family val="2"/>
          </rPr>
          <t>JKe:</t>
        </r>
        <r>
          <rPr>
            <sz val="8"/>
            <color indexed="81"/>
            <rFont val="Tahoma"/>
            <family val="2"/>
          </rPr>
          <t xml:space="preserve">
1 kcal = 3.9623 Btu</t>
        </r>
      </text>
    </comment>
    <comment ref="I28" authorId="3">
      <text>
        <r>
          <rPr>
            <b/>
            <sz val="8"/>
            <color indexed="81"/>
            <rFont val="Tahoma"/>
            <family val="2"/>
          </rPr>
          <t xml:space="preserve">ACT: </t>
        </r>
        <r>
          <rPr>
            <sz val="8"/>
            <color indexed="81"/>
            <rFont val="Tahoma"/>
            <family val="2"/>
          </rPr>
          <t xml:space="preserve">
1 kgce = 27766 Btu
</t>
        </r>
      </text>
    </comment>
    <comment ref="E39" authorId="2">
      <text>
        <r>
          <rPr>
            <b/>
            <sz val="9"/>
            <color indexed="81"/>
            <rFont val="Tahoma"/>
            <family val="2"/>
          </rPr>
          <t>Based on the user inputs in "Power use by Electric Motors &amp; Other Devices" tab</t>
        </r>
      </text>
    </comment>
  </commentList>
</comments>
</file>

<file path=xl/comments3.xml><?xml version="1.0" encoding="utf-8"?>
<comments xmlns="http://schemas.openxmlformats.org/spreadsheetml/2006/main">
  <authors>
    <author>Thirumaran, Kiran</author>
  </authors>
  <commentList>
    <comment ref="D14" authorId="0">
      <text>
        <r>
          <rPr>
            <b/>
            <sz val="9"/>
            <color indexed="81"/>
            <rFont val="Tahoma"/>
            <family val="2"/>
          </rPr>
          <t>Use 1.0 if surface temperature reading is taken with emissivity correction on the instrument.</t>
        </r>
      </text>
    </comment>
  </commentList>
</comments>
</file>

<file path=xl/comments4.xml><?xml version="1.0" encoding="utf-8"?>
<comments xmlns="http://schemas.openxmlformats.org/spreadsheetml/2006/main">
  <authors>
    <author>Thirumaran, Kiran</author>
  </authors>
  <commentList>
    <comment ref="E16" authorId="0">
      <text>
        <r>
          <rPr>
            <b/>
            <sz val="9"/>
            <color indexed="81"/>
            <rFont val="Tahoma"/>
            <family val="2"/>
          </rPr>
          <t>Use 1.0 if surface temperature reading is taken with emissivity correction on the instrument.</t>
        </r>
      </text>
    </comment>
    <comment ref="E31" authorId="0">
      <text>
        <r>
          <rPr>
            <b/>
            <sz val="9"/>
            <color indexed="81"/>
            <rFont val="Tahoma"/>
            <family val="2"/>
          </rPr>
          <t>Use 1.0 if surface temperature reading is taken with emissivity correction on the instrument.</t>
        </r>
      </text>
    </comment>
  </commentList>
</comments>
</file>

<file path=xl/comments5.xml><?xml version="1.0" encoding="utf-8"?>
<comments xmlns="http://schemas.openxmlformats.org/spreadsheetml/2006/main">
  <authors>
    <author>Arvind Thekdi</author>
  </authors>
  <commentList>
    <comment ref="D7" authorId="0">
      <text>
        <r>
          <rPr>
            <sz val="9"/>
            <color indexed="81"/>
            <rFont val="Tahoma"/>
            <family val="2"/>
          </rPr>
          <t xml:space="preserve">
</t>
        </r>
        <r>
          <rPr>
            <sz val="10"/>
            <color indexed="81"/>
            <rFont val="Arial"/>
            <family val="2"/>
          </rPr>
          <t xml:space="preserve">For better accuracy of results please use Excess Air option for lower calorific fuels such as bio-fuels, producer gas, blast furnace gas etc. </t>
        </r>
      </text>
    </comment>
    <comment ref="E7" authorId="0">
      <text>
        <r>
          <rPr>
            <sz val="9"/>
            <color indexed="81"/>
            <rFont val="Tahoma"/>
            <family val="2"/>
          </rPr>
          <t xml:space="preserve">
</t>
        </r>
        <r>
          <rPr>
            <sz val="10"/>
            <color indexed="81"/>
            <rFont val="Arial"/>
            <family val="2"/>
          </rPr>
          <t xml:space="preserve">For better accuracy of results please use Excess Air option for lower calorific fuels such as bio-fuels, producer gas, blast furnace gas etc. 
</t>
        </r>
      </text>
    </comment>
  </commentList>
</comments>
</file>

<file path=xl/comments6.xml><?xml version="1.0" encoding="utf-8"?>
<comments xmlns="http://schemas.openxmlformats.org/spreadsheetml/2006/main">
  <authors>
    <author>Nitin</author>
  </authors>
  <commentList>
    <comment ref="B147" authorId="0">
      <text>
        <r>
          <rPr>
            <b/>
            <sz val="8"/>
            <color indexed="81"/>
            <rFont val="Tahoma"/>
            <family val="2"/>
          </rPr>
          <t>Nitin:</t>
        </r>
        <r>
          <rPr>
            <sz val="8"/>
            <color indexed="81"/>
            <rFont val="Tahoma"/>
            <family val="2"/>
          </rPr>
          <t xml:space="preserve">
In Metric System this will duplicate the previous line so will not be required</t>
        </r>
      </text>
    </comment>
  </commentList>
</comments>
</file>

<file path=xl/sharedStrings.xml><?xml version="1.0" encoding="utf-8"?>
<sst xmlns="http://schemas.openxmlformats.org/spreadsheetml/2006/main" count="5236" uniqueCount="1652">
  <si>
    <t>6) multiply by the number of anticipated operating hours per year.</t>
  </si>
  <si>
    <t>7) multipy by the cost of electricity per kWh.</t>
  </si>
  <si>
    <t>Enter Data</t>
  </si>
  <si>
    <t>Control</t>
  </si>
  <si>
    <t>Number of Openings</t>
  </si>
  <si>
    <t>Calculations - 2nd Opening</t>
  </si>
  <si>
    <t>Done Entering Data</t>
  </si>
  <si>
    <t>Display Chart</t>
  </si>
  <si>
    <t>Copy Current to Modified</t>
  </si>
  <si>
    <t xml:space="preserve">Use user defined or calculated if user defined </t>
  </si>
  <si>
    <t>Power factor (average value)  (Default=0.85)</t>
  </si>
  <si>
    <t>% Operating time (as % of total time) (Default=100%)</t>
  </si>
  <si>
    <t>Go To Report</t>
  </si>
  <si>
    <t>15216 Gravenstein Way</t>
  </si>
  <si>
    <t>North Potomac, MD 20878</t>
  </si>
  <si>
    <t>Atmosphere Gas 3</t>
  </si>
  <si>
    <t>Warning: The discharge temperature is lower than the melting point, the percentage for charge melted should be 0%.</t>
  </si>
  <si>
    <t>Notice: The discharge temperature is higher than the melting point, please enter proper percentage for charge melted (&gt;0% and &lt;=100%).</t>
  </si>
  <si>
    <t>Warning: The discharge temperature is lower than the vaporizing temperature, the percentage for charge liquid vaporized should be 0%.</t>
  </si>
  <si>
    <t>Notice: The discharge temperature is higher than the vaporizing temperature, please enter proper percentage for charge liquid vaporized (&gt;0% and &lt;=100%).</t>
  </si>
  <si>
    <t>Load Charge Material 2</t>
  </si>
  <si>
    <t>Load Charge Material 1</t>
  </si>
  <si>
    <t>Load Charge Material 3</t>
  </si>
  <si>
    <t>Total Power Use By Motors</t>
  </si>
  <si>
    <t>Kw</t>
  </si>
  <si>
    <t>Number of Motors (from control page)</t>
  </si>
  <si>
    <t>Motor driven system name designation -Enter Below</t>
  </si>
  <si>
    <t>Items</t>
  </si>
  <si>
    <t>Number of Components</t>
  </si>
  <si>
    <t>Charge material- Solids (wet or dry) Enter "0" if none</t>
  </si>
  <si>
    <t xml:space="preserve">Charge material- Liquids Enter "0" if none </t>
  </si>
  <si>
    <t>Charge material- Gases/vapors Enter "0" if none</t>
  </si>
  <si>
    <t>Water or air cooling (internal) Enter "0" if none</t>
  </si>
  <si>
    <t>Atmosphere or makeup air  Enter "0" if none</t>
  </si>
  <si>
    <t>Radiation losses from openings- Enter "0" if none</t>
  </si>
  <si>
    <t>No.</t>
  </si>
  <si>
    <t>Fixtures, trays, conveyor etc. Enter "0" if none</t>
  </si>
  <si>
    <t>$o$5</t>
  </si>
  <si>
    <t xml:space="preserve">Country     </t>
  </si>
  <si>
    <t>Available heat (%)</t>
  </si>
  <si>
    <t xml:space="preserve">Fuel Name or description </t>
  </si>
  <si>
    <t>Bituminous Coal</t>
  </si>
  <si>
    <t xml:space="preserve">Component - use ultimate analysis </t>
  </si>
  <si>
    <t xml:space="preserve">% by weight </t>
  </si>
  <si>
    <t xml:space="preserve">User defined </t>
  </si>
  <si>
    <t>H2</t>
  </si>
  <si>
    <t>S</t>
  </si>
  <si>
    <t>Inerts - ash</t>
  </si>
  <si>
    <t>O2</t>
  </si>
  <si>
    <t xml:space="preserve">Moisture </t>
  </si>
  <si>
    <t>N2</t>
  </si>
  <si>
    <t>Total**</t>
  </si>
  <si>
    <t xml:space="preserve">Excess air for combustion (%) </t>
  </si>
  <si>
    <t xml:space="preserve">D8 and E8 </t>
  </si>
  <si>
    <t>flue gas tab</t>
  </si>
  <si>
    <t>D9 and E9</t>
  </si>
  <si>
    <t>D5 and E5</t>
  </si>
  <si>
    <t xml:space="preserve">Unburned carbon in ash (% of ash collected) </t>
  </si>
  <si>
    <t xml:space="preserve">* See psychometric chart below. </t>
  </si>
  <si>
    <t xml:space="preserve">** If the total is not exactly 100%, then the program will normalize the component values to get 100% total. </t>
  </si>
  <si>
    <t>Available heat*</t>
  </si>
  <si>
    <t>This goes back to PHASTEx Flue gas tab</t>
  </si>
  <si>
    <t xml:space="preserve">* Based on higher heating value </t>
  </si>
  <si>
    <t>D12 (for current) and E12 (for modified )</t>
  </si>
  <si>
    <t>Data - Operating Parameters</t>
  </si>
  <si>
    <t>New</t>
  </si>
  <si>
    <t>Comments</t>
  </si>
  <si>
    <t xml:space="preserve">No flue gas recirculation  </t>
  </si>
  <si>
    <t xml:space="preserve">With flue gas recirculation  </t>
  </si>
  <si>
    <t xml:space="preserve">Heat input in the dryer/oven </t>
  </si>
  <si>
    <t>M Btu/hour</t>
  </si>
  <si>
    <t>Note - M (Thousand) Btu and not MM (Million) Btu</t>
  </si>
  <si>
    <t>Gas used in the dryer-oven</t>
  </si>
  <si>
    <t>Meter reading or estimate</t>
  </si>
  <si>
    <t xml:space="preserve">Combustion air for the burners </t>
  </si>
  <si>
    <t>Based on excess air used and 10 scf/1000 Btu</t>
  </si>
  <si>
    <t>Mass (Air + Gas) stoichiometric</t>
  </si>
  <si>
    <t>#s/hr</t>
  </si>
  <si>
    <t xml:space="preserve">Mass (Air + Gas) input </t>
  </si>
  <si>
    <t>Flue gas temperature from dryer/oven</t>
  </si>
  <si>
    <t>Deg. F.</t>
  </si>
  <si>
    <t>From FGA</t>
  </si>
  <si>
    <t>% Excess air in burners</t>
  </si>
  <si>
    <t>Av. Heat of the flue gases</t>
  </si>
  <si>
    <t>Mass of water in comb. Products</t>
  </si>
  <si>
    <t xml:space="preserve">10% of the mass flow of POC of stoich comb. Of n. gas - by weight </t>
  </si>
  <si>
    <t>Water evaporated from work-load</t>
  </si>
  <si>
    <t>Using production data</t>
  </si>
  <si>
    <t>Makeup air volume used in the dryer/oven</t>
  </si>
  <si>
    <t>scfm</t>
  </si>
  <si>
    <t>Using dryer design or other methods</t>
  </si>
  <si>
    <t>Check on  heat input values</t>
  </si>
  <si>
    <t>Makeup air mass</t>
  </si>
  <si>
    <t>Mass flow of dry combustion products</t>
  </si>
  <si>
    <t>% moisture in flue gases (FG)</t>
  </si>
  <si>
    <t>#s/# dry FG</t>
  </si>
  <si>
    <t>Total FG volume</t>
  </si>
  <si>
    <t>% FG Recirculation by volume</t>
  </si>
  <si>
    <t xml:space="preserve">Usually less than 40% </t>
  </si>
  <si>
    <t>Recirculated volume</t>
  </si>
  <si>
    <t>% Gas savings</t>
  </si>
  <si>
    <t>Base</t>
  </si>
  <si>
    <t>No. of operating hours per year</t>
  </si>
  <si>
    <t>hrs/year</t>
  </si>
  <si>
    <t xml:space="preserve">Gas cost (Dollars per therm) </t>
  </si>
  <si>
    <t>$/therm</t>
  </si>
  <si>
    <t>Therms saved per year</t>
  </si>
  <si>
    <t>Therms/year</t>
  </si>
  <si>
    <t xml:space="preserve">Gas Cost savings </t>
  </si>
  <si>
    <t>$/year</t>
  </si>
  <si>
    <t>Minimum total heat required in dryer/oven</t>
  </si>
  <si>
    <t>M Btu/hr</t>
  </si>
  <si>
    <t>New conditions with recycled flue gases</t>
  </si>
  <si>
    <t>Reduction in make up air</t>
  </si>
  <si>
    <t>New makeup air volume</t>
  </si>
  <si>
    <t>New makeup air mass</t>
  </si>
  <si>
    <t>Reduction in net heat load</t>
  </si>
  <si>
    <t>Reduction in burner heat input</t>
  </si>
  <si>
    <t>Available Heat Calculation for Gaseous Fuels</t>
  </si>
  <si>
    <t>Given Volumetric Gas Analysis</t>
  </si>
  <si>
    <t xml:space="preserve">Name or designation of fuel </t>
  </si>
  <si>
    <t xml:space="preserve">Gas composition </t>
  </si>
  <si>
    <t>By volume</t>
  </si>
  <si>
    <t xml:space="preserve">CH4  </t>
  </si>
  <si>
    <t>C2H6</t>
  </si>
  <si>
    <t>N2 and other inert</t>
  </si>
  <si>
    <t xml:space="preserve">The gas analysis </t>
  </si>
  <si>
    <t>C3H8</t>
  </si>
  <si>
    <t xml:space="preserve">will be adjusted to </t>
  </si>
  <si>
    <t>C4H10 + CnH2n</t>
  </si>
  <si>
    <t>make total 100%</t>
  </si>
  <si>
    <t>for the calculations</t>
  </si>
  <si>
    <t>CO</t>
  </si>
  <si>
    <t xml:space="preserve">Difference </t>
  </si>
  <si>
    <t>Weight % for tar in gas-tar mixture</t>
  </si>
  <si>
    <t>Fuel gas temperature</t>
  </si>
  <si>
    <t>Excess air used for combustion</t>
  </si>
  <si>
    <t xml:space="preserve">Percent O2 in flue gas </t>
  </si>
  <si>
    <t>Avaiable Heat</t>
  </si>
  <si>
    <t xml:space="preserve">Higher (Gross) calorific (heating value) of the fuel </t>
  </si>
  <si>
    <t>% O2 in Flue gases (dry basis)</t>
  </si>
  <si>
    <t xml:space="preserve">Stoichiometric air required </t>
  </si>
  <si>
    <t xml:space="preserve">Actual air required </t>
  </si>
  <si>
    <t>Per # of  other vapor at stoich ratio</t>
  </si>
  <si>
    <t># Per # of gas from gasifier at stoich ratio</t>
  </si>
  <si>
    <t>Excess O2 in FG</t>
  </si>
  <si>
    <t>O2 supplied for comb</t>
  </si>
  <si>
    <t>Comb air required</t>
  </si>
  <si>
    <t>Stoich air</t>
  </si>
  <si>
    <t>Wt. of other vapors</t>
  </si>
  <si>
    <t>With Excess air</t>
  </si>
  <si>
    <t>Wt. of gases from gas combustion</t>
  </si>
  <si>
    <t>Total wt. of FG # per # of fuel</t>
  </si>
  <si>
    <t>Wet analysis % by weight</t>
  </si>
  <si>
    <t>dry analysis % by weight</t>
  </si>
  <si>
    <t>Volume scf /#of Fuel</t>
  </si>
  <si>
    <t>Wet analysis % by volume</t>
  </si>
  <si>
    <t>Dry analysis % by volume</t>
  </si>
  <si>
    <t>Heating value of fuel (higher)</t>
  </si>
  <si>
    <t>Density of FG</t>
  </si>
  <si>
    <t>#/scf of FG</t>
  </si>
  <si>
    <t>Other vapors</t>
  </si>
  <si>
    <t>Btu/#</t>
  </si>
  <si>
    <t>Sp. Volume of FG</t>
  </si>
  <si>
    <t>SCF/lb of FG</t>
  </si>
  <si>
    <t>Gas fuel</t>
  </si>
  <si>
    <t>Total heating value Higher for mixed fuel</t>
  </si>
  <si>
    <t xml:space="preserve">Comment </t>
  </si>
  <si>
    <t>By weight analysis</t>
  </si>
  <si>
    <t>By weight #s/# of component</t>
  </si>
  <si>
    <t>required</t>
  </si>
  <si>
    <t>By volume scf/# of component</t>
  </si>
  <si>
    <t>O2 reqd</t>
  </si>
  <si>
    <t>Adjusted by volume</t>
  </si>
  <si>
    <t>Heat value Btu/scf comp.</t>
  </si>
  <si>
    <t>Heat value Btu/scf fuel</t>
  </si>
  <si>
    <t>Ht. value /lb of fuel</t>
  </si>
  <si>
    <t>lbs./cu.ft.</t>
  </si>
  <si>
    <t>Excess air</t>
  </si>
  <si>
    <t>Weight of FG with Xs air</t>
  </si>
  <si>
    <t>Volume of FG with Xs air</t>
  </si>
  <si>
    <t>Weight % - wet</t>
  </si>
  <si>
    <t>Volume % - wet</t>
  </si>
  <si>
    <t>Weight of FG- dry</t>
  </si>
  <si>
    <t>Volume of FG- dry</t>
  </si>
  <si>
    <t>Weight % - dry</t>
  </si>
  <si>
    <t>Volume % - dry</t>
  </si>
  <si>
    <t xml:space="preserve">fuel sp. Volume </t>
  </si>
  <si>
    <t>scf/#</t>
  </si>
  <si>
    <t>Air used #s/# fuel</t>
  </si>
  <si>
    <t>Heating value of fuel  - GAS only</t>
  </si>
  <si>
    <t>Heating value for mixed gas</t>
  </si>
  <si>
    <t xml:space="preserve">Fuel temperature </t>
  </si>
  <si>
    <t xml:space="preserve">#s/ scf of fuel </t>
  </si>
  <si>
    <t>Avg Cp/# of gas</t>
  </si>
  <si>
    <t xml:space="preserve">Excess air </t>
  </si>
  <si>
    <t>Mass flow of fuel</t>
  </si>
  <si>
    <t>lbs./hr</t>
  </si>
  <si>
    <t>Mass flow of combustion air</t>
  </si>
  <si>
    <t>By vol ht value</t>
  </si>
  <si>
    <t xml:space="preserve">Avg. sp. Heat of fuel </t>
  </si>
  <si>
    <t>Btu/(#-deg. F)</t>
  </si>
  <si>
    <t>Sensible heat in fuel</t>
  </si>
  <si>
    <t>Heat in combustion air</t>
  </si>
  <si>
    <t xml:space="preserve">Heating value (chem heat) of fuel </t>
  </si>
  <si>
    <t xml:space="preserve">Total heat coming in </t>
  </si>
  <si>
    <t>Heat in FG</t>
  </si>
  <si>
    <t xml:space="preserve">Avg. </t>
  </si>
  <si>
    <t>Based on sat temp</t>
  </si>
  <si>
    <t xml:space="preserve">Heat in water vapor </t>
  </si>
  <si>
    <t>const</t>
  </si>
  <si>
    <t>power</t>
  </si>
  <si>
    <t>Heat in CO2</t>
  </si>
  <si>
    <t xml:space="preserve">Equation </t>
  </si>
  <si>
    <t>Heat in N2</t>
  </si>
  <si>
    <t>Heat in O2</t>
  </si>
  <si>
    <t>tam</t>
  </si>
  <si>
    <t>Heat in SO2</t>
  </si>
  <si>
    <t>TOTAL</t>
  </si>
  <si>
    <t xml:space="preserve">Av. Heat </t>
  </si>
  <si>
    <t>Coeff</t>
  </si>
  <si>
    <t>O2 required @ stoich condition</t>
  </si>
  <si>
    <t xml:space="preserve">#s/# of fuel </t>
  </si>
  <si>
    <t xml:space="preserve">Stoich air required </t>
  </si>
  <si>
    <t>Equation: steam enthalpy =</t>
  </si>
  <si>
    <t>const * base^power</t>
  </si>
  <si>
    <t>scf/# of fuel</t>
  </si>
  <si>
    <t xml:space="preserve">Saturation temperature = </t>
  </si>
  <si>
    <t>36.009*Ln(base) = 81.054</t>
  </si>
  <si>
    <t>scf/scf of fuel</t>
  </si>
  <si>
    <t>N59*LN(N56) +N60</t>
  </si>
  <si>
    <t xml:space="preserve">Volume of FG </t>
  </si>
  <si>
    <t>Mass of FG</t>
  </si>
  <si>
    <t>#s/# of fuel mix</t>
  </si>
  <si>
    <t>Scf/scf of gaseous fuel</t>
  </si>
  <si>
    <t>Note: The fuel gas composition is in volume %.  The higher hydrocarbons in fuel are treated as same as C4H10 and all other inert gases are treated as N2.</t>
  </si>
  <si>
    <t xml:space="preserve">Combustion air temperature  </t>
  </si>
  <si>
    <t xml:space="preserve">Deg. F. </t>
  </si>
  <si>
    <t xml:space="preserve">% </t>
  </si>
  <si>
    <t xml:space="preserve">Exhaust (flue) gas temperature </t>
  </si>
  <si>
    <t>% Excess air used for calculations</t>
  </si>
  <si>
    <t>Propane C3H8</t>
  </si>
  <si>
    <t>Butane C4H10</t>
  </si>
  <si>
    <t>Sulfur Dioxide</t>
  </si>
  <si>
    <t>Comb air</t>
  </si>
  <si>
    <t>Specific Heat (Btu/[F-#])for Comb. Air</t>
  </si>
  <si>
    <t>mass</t>
  </si>
  <si>
    <t>Ratio</t>
  </si>
  <si>
    <t>sp. Vol scf/#</t>
  </si>
  <si>
    <t>By mass</t>
  </si>
  <si>
    <t>Cp fraction</t>
  </si>
  <si>
    <t>Temp (R)</t>
  </si>
  <si>
    <t>Cp Btu/(#F)</t>
  </si>
  <si>
    <t>O2 in air</t>
  </si>
  <si>
    <t>N2 in air</t>
  </si>
  <si>
    <t>Cob air temp</t>
  </si>
  <si>
    <r>
      <t>kJ/m</t>
    </r>
    <r>
      <rPr>
        <b/>
        <vertAlign val="superscript"/>
        <sz val="11"/>
        <color indexed="30"/>
        <rFont val="Arial"/>
        <family val="2"/>
      </rPr>
      <t>3</t>
    </r>
  </si>
  <si>
    <r>
      <t>kcal/m</t>
    </r>
    <r>
      <rPr>
        <b/>
        <vertAlign val="superscript"/>
        <sz val="11"/>
        <color indexed="30"/>
        <rFont val="Arial"/>
        <family val="2"/>
      </rPr>
      <t>3</t>
    </r>
  </si>
  <si>
    <r>
      <t>m</t>
    </r>
    <r>
      <rPr>
        <b/>
        <vertAlign val="superscript"/>
        <sz val="11"/>
        <color indexed="30"/>
        <rFont val="Arial"/>
        <family val="2"/>
      </rPr>
      <t>3</t>
    </r>
    <r>
      <rPr>
        <b/>
        <sz val="11"/>
        <color indexed="30"/>
        <rFont val="Arial"/>
        <family val="2"/>
      </rPr>
      <t xml:space="preserve"> air/m</t>
    </r>
    <r>
      <rPr>
        <b/>
        <vertAlign val="superscript"/>
        <sz val="11"/>
        <color indexed="30"/>
        <rFont val="Arial"/>
        <family val="2"/>
      </rPr>
      <t>3</t>
    </r>
    <r>
      <rPr>
        <b/>
        <sz val="11"/>
        <color indexed="30"/>
        <rFont val="Arial"/>
        <family val="2"/>
      </rPr>
      <t xml:space="preserve"> fuel gas</t>
    </r>
  </si>
  <si>
    <r>
      <rPr>
        <b/>
        <sz val="16"/>
        <color indexed="56"/>
        <rFont val="Arial"/>
        <family val="2"/>
      </rPr>
      <t>Gas</t>
    </r>
    <r>
      <rPr>
        <b/>
        <sz val="16"/>
        <rFont val="Arial"/>
        <family val="2"/>
      </rPr>
      <t xml:space="preserve"> </t>
    </r>
    <r>
      <rPr>
        <sz val="16"/>
        <rFont val="Arial"/>
        <family val="2"/>
      </rPr>
      <t xml:space="preserve">(Fuel) Analysis </t>
    </r>
    <r>
      <rPr>
        <sz val="10"/>
        <rFont val="Arial"/>
        <family val="2"/>
      </rPr>
      <t xml:space="preserve">(See note below) </t>
    </r>
  </si>
  <si>
    <r>
      <t>% Oxygen</t>
    </r>
    <r>
      <rPr>
        <b/>
        <sz val="11"/>
        <color indexed="56"/>
        <rFont val="Arial"/>
        <family val="2"/>
      </rPr>
      <t xml:space="preserve"> in COMBUSTION AIR </t>
    </r>
  </si>
  <si>
    <r>
      <t xml:space="preserve">% O2 in flue gases </t>
    </r>
    <r>
      <rPr>
        <b/>
        <sz val="11"/>
        <color indexed="56"/>
        <rFont val="Arial"/>
        <family val="2"/>
      </rPr>
      <t xml:space="preserve">(ONLY for combustion with ambient air containing approximately 21% O2) </t>
    </r>
  </si>
  <si>
    <r>
      <t xml:space="preserve">Calculated value of excess air used. </t>
    </r>
    <r>
      <rPr>
        <b/>
        <sz val="11"/>
        <color indexed="56"/>
        <rFont val="Arial"/>
        <family val="2"/>
      </rPr>
      <t xml:space="preserve">(ONLY for combustion with ambient air containing approximately 21% O2) </t>
    </r>
  </si>
  <si>
    <r>
      <t xml:space="preserve">% Excess air used for combustion. </t>
    </r>
    <r>
      <rPr>
        <b/>
        <sz val="11"/>
        <color indexed="56"/>
        <rFont val="Arial"/>
        <family val="2"/>
      </rPr>
      <t xml:space="preserve"> (Give this number if O2 in combustion air is higher than approximately 21%.)</t>
    </r>
  </si>
  <si>
    <r>
      <rPr>
        <b/>
        <sz val="10"/>
        <color indexed="56"/>
        <rFont val="Calibri"/>
        <family val="2"/>
      </rPr>
      <t xml:space="preserve">©  </t>
    </r>
    <r>
      <rPr>
        <b/>
        <sz val="10"/>
        <color indexed="56"/>
        <rFont val="Arial"/>
        <family val="2"/>
      </rPr>
      <t xml:space="preserve">Developed by: Arvind Thekdi, E3M Inc. </t>
    </r>
  </si>
  <si>
    <t>Note:
The gas analysis will be adjusted to make total 100% for the calculations.</t>
  </si>
  <si>
    <t>Select Fuel Analysis by weight  (mass) percentage or by volume percentage.</t>
  </si>
  <si>
    <t>New value of gas input</t>
  </si>
  <si>
    <t>New value of air input</t>
  </si>
  <si>
    <t>New value of (air+ gas) input - burner</t>
  </si>
  <si>
    <t xml:space="preserve">New value of stoichiometric air + gas mass </t>
  </si>
  <si>
    <t>New % moisture in flue gases</t>
  </si>
  <si>
    <t>% gas savings</t>
  </si>
  <si>
    <t>TENTATIVE</t>
  </si>
  <si>
    <t xml:space="preserve">Carbon Dioxide and water vapor in stoich. Combustion of solid-liquid fuels </t>
  </si>
  <si>
    <t xml:space="preserve">Coefficients </t>
  </si>
  <si>
    <t>Ratio N2/O2</t>
  </si>
  <si>
    <t>Composition of air - wt.</t>
  </si>
  <si>
    <t>Composition of air - vol</t>
  </si>
  <si>
    <t xml:space="preserve">Fuel composition </t>
  </si>
  <si>
    <t>By weight - wet</t>
  </si>
  <si>
    <t>By weight -dry</t>
  </si>
  <si>
    <t>Heating value Bt/lb.</t>
  </si>
  <si>
    <t>H2O (Lbs/lb.)</t>
  </si>
  <si>
    <t>SO2 (Lbs/lb.)</t>
  </si>
  <si>
    <t>O2 (Lbs/lb.) required</t>
  </si>
  <si>
    <t>N2 (Lbs/lb.)</t>
  </si>
  <si>
    <t>Heating value Btu/lb.</t>
  </si>
  <si>
    <t>Comb. Products  (Lbs./lb.)</t>
  </si>
  <si>
    <t>Vol air- ft3/lb. fuel</t>
  </si>
  <si>
    <t>H</t>
  </si>
  <si>
    <t>Inerts</t>
  </si>
  <si>
    <t>N</t>
  </si>
  <si>
    <t>Excess air contributions</t>
  </si>
  <si>
    <t>Total with Xs air</t>
  </si>
  <si>
    <t>Moisture in air lb./lb of air</t>
  </si>
  <si>
    <t>lb. /lb of fuel</t>
  </si>
  <si>
    <t>Comb producta incl. Xs air</t>
  </si>
  <si>
    <t>Wet</t>
  </si>
  <si>
    <t>Dry</t>
  </si>
  <si>
    <t xml:space="preserve">Total of fuel components </t>
  </si>
  <si>
    <t>Excess air %</t>
  </si>
  <si>
    <t xml:space="preserve">Total incl. effect of Excess air </t>
  </si>
  <si>
    <t>Temperature of combustion air (F)</t>
  </si>
  <si>
    <t xml:space="preserve">Ait </t>
  </si>
  <si>
    <t>Fuel temperature (F)</t>
  </si>
  <si>
    <t>Flue gas temperature (F)</t>
  </si>
  <si>
    <t>Excess air used %</t>
  </si>
  <si>
    <t>Additional O2 lbs./lb of fuel</t>
  </si>
  <si>
    <t>Additioanl N2 in excess air lbs./lb. of fuel</t>
  </si>
  <si>
    <t>Ttaol additional air  lb of lb. of fuel</t>
  </si>
  <si>
    <t>Component</t>
  </si>
  <si>
    <t>o2</t>
  </si>
  <si>
    <t>n2</t>
  </si>
  <si>
    <t>co2</t>
  </si>
  <si>
    <t>fg</t>
  </si>
  <si>
    <t>fg per #</t>
  </si>
  <si>
    <t>Flue gas composition - content</t>
  </si>
  <si>
    <t>CO2</t>
  </si>
  <si>
    <t>H2O</t>
  </si>
  <si>
    <t>SO2</t>
  </si>
  <si>
    <t xml:space="preserve">Total </t>
  </si>
  <si>
    <t xml:space="preserve">Diff </t>
  </si>
  <si>
    <t xml:space="preserve">Lbs./lb. of fuel </t>
  </si>
  <si>
    <t xml:space="preserve">Composition by weight (wet) </t>
  </si>
  <si>
    <t xml:space="preserve">Composition by weight (dry) </t>
  </si>
  <si>
    <t>Volume per lb. of fuel (scf/lb of fuel) -wet</t>
  </si>
  <si>
    <t xml:space="preserve">Composition by volume (wet) </t>
  </si>
  <si>
    <t xml:space="preserve">Composition by volume (dry) </t>
  </si>
  <si>
    <t>Heating value (Btu/lb of fuel)</t>
  </si>
  <si>
    <t xml:space="preserve">Cu. ft. of fuel </t>
  </si>
  <si>
    <t xml:space="preserve">Total in flue gases (Lbs.) </t>
  </si>
  <si>
    <t xml:space="preserve">Heat in the flue gas components (Btu/lb of fuel) </t>
  </si>
  <si>
    <t xml:space="preserve">CO2 and H2O values (Lbs./MM Btu) </t>
  </si>
  <si>
    <t xml:space="preserve">Heat entering the system </t>
  </si>
  <si>
    <t xml:space="preserve">Sensible heat </t>
  </si>
  <si>
    <t xml:space="preserve">Air </t>
  </si>
  <si>
    <t xml:space="preserve">Btu/lb. of fuel </t>
  </si>
  <si>
    <t>Available Heat (User Defined) (%)*</t>
  </si>
  <si>
    <t xml:space="preserve">Calculations for Water vapor - steam enthalpy etc. </t>
  </si>
  <si>
    <t xml:space="preserve">Fuel </t>
  </si>
  <si>
    <t xml:space="preserve">Equation coeff for enthalpy @ saturation calculations </t>
  </si>
  <si>
    <t>Enthalpy</t>
  </si>
  <si>
    <t>Equation: Enthalpy = 1096 * Partial pressure (inch HG) ^ 0.013</t>
  </si>
  <si>
    <t>Moisturer  in fuel</t>
  </si>
  <si>
    <t>Chemical heat or heating value of fuel</t>
  </si>
  <si>
    <t>Partial pressure of H2O</t>
  </si>
  <si>
    <t>atm</t>
  </si>
  <si>
    <t xml:space="preserve">From volumetric wet analysis </t>
  </si>
  <si>
    <t xml:space="preserve">Total heat in </t>
  </si>
  <si>
    <t>inch HG</t>
  </si>
  <si>
    <t>Conversion from atm to inch HG</t>
  </si>
  <si>
    <t xml:space="preserve">Heat in flue gases </t>
  </si>
  <si>
    <t>Enthalpy at saturated  condition</t>
  </si>
  <si>
    <t>Btu/lb of steam</t>
  </si>
  <si>
    <t xml:space="preserve">Enthalpy for partial pressure using coeffs. </t>
  </si>
  <si>
    <t xml:space="preserve">Heating value of carbon </t>
  </si>
  <si>
    <t xml:space="preserve">Btu/lb. </t>
  </si>
  <si>
    <t xml:space="preserve">Sensible heat in ash discharged  </t>
  </si>
  <si>
    <t>Btu/lb of fuel</t>
  </si>
  <si>
    <t xml:space="preserve">Chemical heat in unburned carbon </t>
  </si>
  <si>
    <t xml:space="preserve">Available heat </t>
  </si>
  <si>
    <t>Saturation temperature</t>
  </si>
  <si>
    <t>Equation: Sat. Temp (F) = 36.009 * LN(partial pressure inch HG)  + 81.054</t>
  </si>
  <si>
    <t>Coeff for satuation temp (F) calculation</t>
  </si>
  <si>
    <t xml:space="preserve">Total heat content of water vapor  = Mass or weight of water/lb of fuel * (Enthalpy at saturation + Sp. Heat of vapor *(flue gas temp. [F] - 60 [F]) </t>
  </si>
  <si>
    <t>E111*(M120+E112*(C89-M121))</t>
  </si>
  <si>
    <t xml:space="preserve">Emission </t>
  </si>
  <si>
    <t xml:space="preserve">CO2 equivalnet in Lbs. </t>
  </si>
  <si>
    <t>2001 values *</t>
  </si>
  <si>
    <t xml:space="preserve">Hydrofluorocarbon (HFC)-134a   (used in mobile source air conditioning)  </t>
  </si>
  <si>
    <t>* See note below</t>
  </si>
  <si>
    <t>These estimates are from the IPCC’s Second Assessment Report (1996). These are the values used internationally for reporting greenhouse gas (GHG) emissions to the United Nations. (EPA also uses them for the Inventory of U.S. Greenhouse Gas Emissions and S</t>
  </si>
  <si>
    <t>Relationship Between Ultimate Analysis and Proximate Analysis</t>
  </si>
  <si>
    <t>%C</t>
  </si>
  <si>
    <t>=</t>
  </si>
  <si>
    <t>0.97C+ 0.7(VM - 0.1A) - M(0.6-0.01M)</t>
  </si>
  <si>
    <t>%H</t>
  </si>
  <si>
    <t>0.036C + 0.086 (VM -0.1xA) - 0.0035M2 (1-0.02M)</t>
  </si>
  <si>
    <t>%N2</t>
  </si>
  <si>
    <t>2.10 -0.020 VM</t>
  </si>
  <si>
    <t>where</t>
  </si>
  <si>
    <t>% of fixed carbon</t>
  </si>
  <si>
    <t>% of ash</t>
  </si>
  <si>
    <t>VM</t>
  </si>
  <si>
    <t>% of volatile matter</t>
  </si>
  <si>
    <t>M</t>
  </si>
  <si>
    <t>% of moisture</t>
  </si>
  <si>
    <t>0.97+ 0.7(VM - 0.1A) - M(0.6-0.01M)</t>
  </si>
  <si>
    <t>Table 1: Standard Composition of Dry Air (Detailed Analysis):</t>
  </si>
  <si>
    <t>% by Volume</t>
  </si>
  <si>
    <t xml:space="preserve">% by Weight </t>
  </si>
  <si>
    <t>Parts per Million (by Volume)</t>
  </si>
  <si>
    <t>Chemical Symbol</t>
  </si>
  <si>
    <t>Molecular Weight</t>
  </si>
  <si>
    <t>Ratio N2/O2 wt.</t>
  </si>
  <si>
    <t>Argon</t>
  </si>
  <si>
    <t>Ar</t>
  </si>
  <si>
    <t xml:space="preserve">Carbon Dioxide </t>
  </si>
  <si>
    <t>Neon</t>
  </si>
  <si>
    <t>Ne</t>
  </si>
  <si>
    <t>Helium</t>
  </si>
  <si>
    <t>He</t>
  </si>
  <si>
    <t>Krypton</t>
  </si>
  <si>
    <t>Kr</t>
  </si>
  <si>
    <t>0.00005 </t>
  </si>
  <si>
    <t>Negligible</t>
  </si>
  <si>
    <t>Xenon</t>
  </si>
  <si>
    <t>Xe</t>
  </si>
  <si>
    <t>% Fixed carbon</t>
  </si>
  <si>
    <t>% Ash</t>
  </si>
  <si>
    <t>% Volatime matter</t>
  </si>
  <si>
    <t>% Moisture</t>
  </si>
  <si>
    <t xml:space="preserve">C </t>
  </si>
  <si>
    <t>Cp (Btu/scf)</t>
  </si>
  <si>
    <t xml:space="preserve">Air temp. entering sp. Ht. </t>
  </si>
  <si>
    <t>Btu/(# - F)</t>
  </si>
  <si>
    <t>Avg. Btu/(scf-F)</t>
  </si>
  <si>
    <t xml:space="preserve">Average value </t>
  </si>
  <si>
    <t>(19.86-597/C122^0.5+7500/C122)/(18*21.011)</t>
  </si>
  <si>
    <r>
      <rPr>
        <sz val="8"/>
        <rFont val="Calibri"/>
        <family val="2"/>
      </rPr>
      <t>©</t>
    </r>
    <r>
      <rPr>
        <sz val="8"/>
        <rFont val="Arial"/>
        <family val="2"/>
      </rPr>
      <t xml:space="preserve"> Arvind Thekdi (E3M Inc.) </t>
    </r>
  </si>
  <si>
    <r>
      <t xml:space="preserve">From burner setting.  </t>
    </r>
    <r>
      <rPr>
        <b/>
        <sz val="8"/>
        <color indexed="12"/>
        <rFont val="Arial"/>
        <family val="2"/>
      </rPr>
      <t>DO NOT use FGA analysis numbers!</t>
    </r>
  </si>
  <si>
    <r>
      <t xml:space="preserve">CO2 </t>
    </r>
    <r>
      <rPr>
        <b/>
        <sz val="9"/>
        <rFont val="Arial"/>
        <family val="2"/>
      </rPr>
      <t>(Lbs/lb.)</t>
    </r>
  </si>
  <si>
    <r>
      <t xml:space="preserve">Carbon equivalent -  </t>
    </r>
    <r>
      <rPr>
        <sz val="9"/>
        <rFont val="Arial"/>
        <family val="2"/>
      </rPr>
      <t>(Lbs. of Carbon/MM Btu)</t>
    </r>
  </si>
  <si>
    <r>
      <t>Carbon dioxide (CO</t>
    </r>
    <r>
      <rPr>
        <vertAlign val="subscript"/>
        <sz val="12"/>
        <rFont val="Times New Roman"/>
        <family val="1"/>
      </rPr>
      <t>2</t>
    </r>
    <r>
      <rPr>
        <sz val="12"/>
        <rFont val="Times New Roman"/>
        <family val="1"/>
      </rPr>
      <t xml:space="preserve">)         </t>
    </r>
  </si>
  <si>
    <r>
      <t>Methane (CH</t>
    </r>
    <r>
      <rPr>
        <vertAlign val="subscript"/>
        <sz val="12"/>
        <rFont val="Times New Roman"/>
        <family val="1"/>
      </rPr>
      <t>4</t>
    </r>
    <r>
      <rPr>
        <sz val="12"/>
        <rFont val="Times New Roman"/>
        <family val="1"/>
      </rPr>
      <t xml:space="preserve">)                    </t>
    </r>
  </si>
  <si>
    <r>
      <t>Nitrous oxide (N</t>
    </r>
    <r>
      <rPr>
        <vertAlign val="subscript"/>
        <sz val="12"/>
        <rFont val="Times New Roman"/>
        <family val="1"/>
      </rPr>
      <t>2</t>
    </r>
    <r>
      <rPr>
        <sz val="12"/>
        <rFont val="Times New Roman"/>
        <family val="1"/>
      </rPr>
      <t xml:space="preserve">O)           </t>
    </r>
  </si>
  <si>
    <r>
      <t>N</t>
    </r>
    <r>
      <rPr>
        <vertAlign val="subscript"/>
        <sz val="13.5"/>
        <rFont val="Arial"/>
        <family val="2"/>
      </rPr>
      <t>2</t>
    </r>
  </si>
  <si>
    <r>
      <t>O</t>
    </r>
    <r>
      <rPr>
        <b/>
        <vertAlign val="subscript"/>
        <sz val="10"/>
        <rFont val="Arial"/>
        <family val="2"/>
      </rPr>
      <t>2</t>
    </r>
  </si>
  <si>
    <r>
      <t>CO</t>
    </r>
    <r>
      <rPr>
        <b/>
        <vertAlign val="subscript"/>
        <sz val="10"/>
        <rFont val="Arial"/>
        <family val="2"/>
      </rPr>
      <t>2</t>
    </r>
  </si>
  <si>
    <r>
      <t>H</t>
    </r>
    <r>
      <rPr>
        <vertAlign val="subscript"/>
        <sz val="10"/>
        <rFont val="Arial"/>
        <family val="2"/>
      </rPr>
      <t>2</t>
    </r>
  </si>
  <si>
    <r>
      <t>8.7 x 10</t>
    </r>
    <r>
      <rPr>
        <vertAlign val="superscript"/>
        <sz val="10"/>
        <rFont val="Arial"/>
        <family val="2"/>
      </rPr>
      <t>-6</t>
    </r>
  </si>
  <si>
    <t>Excess air for combustion</t>
  </si>
  <si>
    <t>Combustion air temperature</t>
  </si>
  <si>
    <t>Flue gas temperature</t>
  </si>
  <si>
    <t>Fuel temperature</t>
  </si>
  <si>
    <t>Unburned carbon in ash</t>
  </si>
  <si>
    <t>% of ash collected</t>
  </si>
  <si>
    <t>Ash discharge temperature</t>
  </si>
  <si>
    <t>User Defined Available Heat</t>
  </si>
  <si>
    <t>Fuel (for user defined available heat calculation)</t>
  </si>
  <si>
    <t>Process Heating Equipment Information</t>
  </si>
  <si>
    <t>Name or designation of equipment</t>
  </si>
  <si>
    <t>Model number or equipment ID</t>
  </si>
  <si>
    <t xml:space="preserve">Final product </t>
  </si>
  <si>
    <t xml:space="preserve">Type of operation (Continuous, batch or other) </t>
  </si>
  <si>
    <t xml:space="preserve">Energy System Details </t>
  </si>
  <si>
    <t>hrs./year</t>
  </si>
  <si>
    <t>Number of zones</t>
  </si>
  <si>
    <t>Zone number</t>
  </si>
  <si>
    <t xml:space="preserve">Zone Name </t>
  </si>
  <si>
    <t>Burner  rated capacity - Total for all burners</t>
  </si>
  <si>
    <t>Estimated fuel energy use per year</t>
  </si>
  <si>
    <t xml:space="preserve">Total energy used </t>
  </si>
  <si>
    <t xml:space="preserve">Fuel used for the equipment - name  </t>
  </si>
  <si>
    <t>Fuel use for the equipment-  measurement period</t>
  </si>
  <si>
    <t>hrs.</t>
  </si>
  <si>
    <t xml:space="preserve">Energy used per hour (average value) </t>
  </si>
  <si>
    <t>Electricity use for the equipment-  measurement period</t>
  </si>
  <si>
    <t xml:space="preserve">Electricity used per hour (average value) </t>
  </si>
  <si>
    <t>Furnace Data</t>
  </si>
  <si>
    <t>Date</t>
  </si>
  <si>
    <t xml:space="preserve">Note: </t>
  </si>
  <si>
    <t>Name of the energy assessment leader</t>
  </si>
  <si>
    <t>Charge material</t>
  </si>
  <si>
    <t>Charge-load</t>
  </si>
  <si>
    <t>Fixtures, trays, conveyor etc.</t>
  </si>
  <si>
    <t>Fixtures etc.</t>
  </si>
  <si>
    <t xml:space="preserve">Wall surfaces </t>
  </si>
  <si>
    <t xml:space="preserve">Water or air cooling (internal) </t>
  </si>
  <si>
    <t xml:space="preserve">Water/air cooling </t>
  </si>
  <si>
    <t xml:space="preserve">Atmosphere or makeup air  </t>
  </si>
  <si>
    <t xml:space="preserve">Atmosphere </t>
  </si>
  <si>
    <t>Radiation losses from openings</t>
  </si>
  <si>
    <t xml:space="preserve">Other heat loss or heat addition </t>
  </si>
  <si>
    <t xml:space="preserve">Other loss </t>
  </si>
  <si>
    <t xml:space="preserve">Exothermic heat from process </t>
  </si>
  <si>
    <t>Flue gases</t>
  </si>
  <si>
    <t>Total net heat required</t>
  </si>
  <si>
    <t>Available heat</t>
  </si>
  <si>
    <t>Flue gas loss</t>
  </si>
  <si>
    <t xml:space="preserve">Total gross heat input required </t>
  </si>
  <si>
    <t>Units</t>
  </si>
  <si>
    <t>Current    Values</t>
  </si>
  <si>
    <t xml:space="preserve">Calculated values </t>
  </si>
  <si>
    <t xml:space="preserve">Measured values </t>
  </si>
  <si>
    <t>1.3</t>
  </si>
  <si>
    <t>400</t>
  </si>
  <si>
    <t>1.2</t>
  </si>
  <si>
    <t>700</t>
  </si>
  <si>
    <t>Enter Matl Here</t>
  </si>
  <si>
    <t>Enter Matl Name</t>
  </si>
  <si>
    <t>Next Page</t>
  </si>
  <si>
    <t>Previous Page</t>
  </si>
  <si>
    <t>Return to Control Page</t>
  </si>
  <si>
    <t>Available Heat to Use In Calculation</t>
  </si>
  <si>
    <t>Available Heat</t>
  </si>
  <si>
    <t>Specific Heat of Liquid</t>
  </si>
  <si>
    <t>Vaporizing Temperature</t>
  </si>
  <si>
    <t>Latent Heat of Vaporization</t>
  </si>
  <si>
    <t>Specific Heat of Vapor</t>
  </si>
  <si>
    <t>Charge (Liquid)-Feed Rate</t>
  </si>
  <si>
    <t>Discharge Temperature</t>
  </si>
  <si>
    <t>Initial Temperature</t>
  </si>
  <si>
    <t>Charge Liquid Vaporized  (% of Charge)</t>
  </si>
  <si>
    <t>Heat of Reaction</t>
  </si>
  <si>
    <t xml:space="preserve">Additional Heat Required </t>
  </si>
  <si>
    <t>Heat Required</t>
  </si>
  <si>
    <t>Specific Heat of Gas</t>
  </si>
  <si>
    <t>Feed Rate for Gas Mixture</t>
  </si>
  <si>
    <t>Vapor in Gas Mixture (% of Total)</t>
  </si>
  <si>
    <t>Additional Heat Required</t>
  </si>
  <si>
    <t>Name of Matl</t>
  </si>
  <si>
    <t>Average specific heat of the solid material (dry)</t>
  </si>
  <si>
    <t>Latent Heat of Fusion</t>
  </si>
  <si>
    <t>Specific heat of liquid from molten material</t>
  </si>
  <si>
    <t>Melting Point</t>
  </si>
  <si>
    <t>conversion factor</t>
  </si>
  <si>
    <t>Charge (wet)-Feed Rate</t>
  </si>
  <si>
    <t>Charge material discharge temperature</t>
  </si>
  <si>
    <t>Water vapor discharge Temperature</t>
  </si>
  <si>
    <t>Available Heat (If User Defined) (%)</t>
  </si>
  <si>
    <t>Select Input (% XS Air or % O2)</t>
  </si>
  <si>
    <t>% O2 (Input)</t>
  </si>
  <si>
    <t>% XS Air (Output)</t>
  </si>
  <si>
    <t>% XS Air (Input)</t>
  </si>
  <si>
    <t>% O2 (Output)</t>
  </si>
  <si>
    <t>% Excess Air</t>
  </si>
  <si>
    <t>0</t>
  </si>
  <si>
    <t xml:space="preserve">Load/Charge Material - Solid </t>
  </si>
  <si>
    <t>Type of Material</t>
  </si>
  <si>
    <t xml:space="preserve">Select material from the drop down list.  The material properties cells below this will be filled in if the material is selected from the list. If it is different from the material listed, the select Other </t>
  </si>
  <si>
    <t xml:space="preserve">If other is selected then enter  following data </t>
  </si>
  <si>
    <t xml:space="preserve">Average specific heat </t>
  </si>
  <si>
    <t>Give average value of the specific heat for the temperature range of the material inlet temperature and outlet temperature</t>
  </si>
  <si>
    <t>Latent heat of fusion</t>
  </si>
  <si>
    <t xml:space="preserve">Latent heat of melting or fusion or phase change for the solid material </t>
  </si>
  <si>
    <t xml:space="preserve">specific heat of liquid from the molten material </t>
  </si>
  <si>
    <t>Give  specific heat value for the liquid at the temperature range of the  melting temperature and final temperature (discharge temperature) material.</t>
  </si>
  <si>
    <t xml:space="preserve">Melting point </t>
  </si>
  <si>
    <t xml:space="preserve">Temperature of melting for the solid material </t>
  </si>
  <si>
    <t>Weight of material charged per hour. Use total weight including moisture in the charge material. Note that for batch furnaces the total weight should be corrected for cycle time to obtain weight per hour value.</t>
  </si>
  <si>
    <t>Water content of the charge material as percentage of total charge weight - wet basis. This value can be obtained from moisture tests or specifications for the material charged.</t>
  </si>
  <si>
    <t>Water content of the discharged material as percentage of total discharged weight - wet basis. This value can be obtained from moisture tests or specifications for the material discharged.</t>
  </si>
  <si>
    <t>Inlet temperature for the charge material. Use production data or actual measurement.</t>
  </si>
  <si>
    <t>Temperature of water vapor (usually mixed with exhaust air or flue gases) as it is discharged form the furnace/oven.</t>
  </si>
  <si>
    <t>Discharge temperature for the material as it is discharged from the furnace or oven. Use production data or actual measurement.</t>
  </si>
  <si>
    <t>Charge material melted (as % of solid material charged). Use value or data from process/production engineering or measurement of the final product.</t>
  </si>
  <si>
    <t>Charge material (as % of dry material) reacted. Use value or data from process/production engineering or measurement of the final product.</t>
  </si>
  <si>
    <t xml:space="preserve">Insert value of heat of reaction when chemical or metallurgical reactions are involved during heating. </t>
  </si>
  <si>
    <t>Type of reaction: Endothermic - Exothermic</t>
  </si>
  <si>
    <t>Type of reaction.  Select from the drop down menu and select endothermic or exothermic.  Use positive number (+ve)  in either one of these cases.</t>
  </si>
  <si>
    <t>Insert value of additional heat required and not accounted for in the above calculations.</t>
  </si>
  <si>
    <t>Heat Required - calculated by using the information given in previous cells.</t>
  </si>
  <si>
    <t>Load/Charge Material - Liquid</t>
  </si>
  <si>
    <t>Type of Liquid</t>
  </si>
  <si>
    <t xml:space="preserve">Select a liquid from the drop down list.  The material properties cells below the drop down list will be filled in if the liquid is selected from the list. If it is different from the liquids listed, then select Other </t>
  </si>
  <si>
    <t xml:space="preserve">If other is selected then enter the following data </t>
  </si>
  <si>
    <t>Vaporizing temperature</t>
  </si>
  <si>
    <t xml:space="preserve">Vaporizing temperature of the liquid </t>
  </si>
  <si>
    <t>Latent heat of vaporization</t>
  </si>
  <si>
    <t>Latent heat of vaporizing or evaporation for the liquid</t>
  </si>
  <si>
    <t>Give  specific heat value for the vapor resulting from vaporizing of the liquid at the temperature range of the vaporizing  temperature and final temperature (discharge temperature) of the liquid/vapor.</t>
  </si>
  <si>
    <t>Weight of the liquid charged expressed as (kg/hr or lbs/hr). Note that commonly the liquid feed rates are given in gallons or liter per hour and they should be converted to mass flow rates.</t>
  </si>
  <si>
    <t>Inlet temperature for the charge material (liquid). Use production data or actual measurement.</t>
  </si>
  <si>
    <t>Energy Equivalent Unit for Summary Report</t>
  </si>
  <si>
    <t>Discharge temperature for the charge material (liquid). Use production data or actual measurement.</t>
  </si>
  <si>
    <t>Charge Liquid Vaporized (% of Charge)</t>
  </si>
  <si>
    <t>Charge liquid vaporized (% liquid charged) during the heating process. Get the value (data) from process/production engineering or measurement of the final product.</t>
  </si>
  <si>
    <t>Charge Reacted (%)</t>
  </si>
  <si>
    <t>Charge Liquid Reacted (as % of Liquid Feed)</t>
  </si>
  <si>
    <t xml:space="preserve">Insert value of heat of reaction when chemical reaction is involved during heating. </t>
  </si>
  <si>
    <t>Insert value of additional heat required that is not accounted for in the above calculations.</t>
  </si>
  <si>
    <t>Weight of the gas mixture charged expressed as (kg/h or Lbs./hr). Note that commonly the gas mixture feed rates are given in m^3/hr and they should be converted to mass flow rates.</t>
  </si>
  <si>
    <t>Vapor in Gas Mixture (%)</t>
  </si>
  <si>
    <t>Vapor mixed with the feed gas expressed as % of the total mixture charge weight. Use test data or charge material specifications.</t>
  </si>
  <si>
    <t>Inlet temperature (Celsius) for the charge (gas-vapor mixture). Use production data or actual measurement.</t>
  </si>
  <si>
    <t>Discharge temperature (Celsius) for the charge (gas-vapor mixture). Use production data or actual measurement.</t>
  </si>
  <si>
    <t>Use available data from handbooks or other sources.</t>
  </si>
  <si>
    <t>Charge Gas Reacted (as % of DRY Gas Feed)</t>
  </si>
  <si>
    <t>Load/Charge Material - Gas</t>
  </si>
  <si>
    <t>Name</t>
  </si>
  <si>
    <t>Description</t>
  </si>
  <si>
    <t>Type of gas (mixture)</t>
  </si>
  <si>
    <t xml:space="preserve">Select gas from the drop down list.  The gas properties cell below the drop down list will be filled in if the gas is selected from the list. If it is different from the gas listed, then select Other. </t>
  </si>
  <si>
    <t xml:space="preserve">Average specific heat of gas </t>
  </si>
  <si>
    <t>Give average value of the specific heat for the temperature range of the gas inlet temperature and outlet temperature.</t>
  </si>
  <si>
    <t>Fixtures, &amp;Trays, Baskets etc. Losses</t>
  </si>
  <si>
    <t xml:space="preserve">Select Type - material </t>
  </si>
  <si>
    <t xml:space="preserve">Select material from the drop down list. The word fixture is used to represent fixtures, trays, baskets, conveyor belt etc. used for material handling during the heating process.   The material properties cells below this will be filled in if the material is selected from the list. If it is different from the material listed, the select Other </t>
  </si>
  <si>
    <t>Weight of fixtures in terms of keg or Lbs. per hour. Note that this is based on per hour value. Hence for a batch process the actual weight should be corrected for the cycle time.</t>
  </si>
  <si>
    <t>Inlet temperature (Celsius) for the fixtures. Use production data or actual measurement using temperature measurement device such as thermocouple or infra-red instrument.</t>
  </si>
  <si>
    <t>Outlet temperature (Celsius) for the fixtures. Use production data or actual measurement using temperature measurement device such as thermocouple or infra-red instrument.</t>
  </si>
  <si>
    <t>Atmosphere Losses</t>
  </si>
  <si>
    <t>Name - type of gas</t>
  </si>
  <si>
    <t xml:space="preserve">Select gas from the drop down list.  The gas properties cell below the drop down list will be filled in if the gas is selected from the list. If it is different from the gas listed, then select Other </t>
  </si>
  <si>
    <t>Give average value of the specific heat for the temperature range of the gas inlet temperature and outlet temperature</t>
  </si>
  <si>
    <t>Inlet temperature (Celsius) of the process atmosphere as it enters the heating equipment or reaction chamber. Use temperature recorder/indicator reading or actual measurement.</t>
  </si>
  <si>
    <t>Yes</t>
  </si>
  <si>
    <t>Results</t>
  </si>
  <si>
    <t>Heat loss in hot gases kgCE/hour</t>
  </si>
  <si>
    <t xml:space="preserve">Pressure Conversion </t>
  </si>
  <si>
    <t>Inch w.c.*</t>
  </si>
  <si>
    <t>Pascal</t>
  </si>
  <si>
    <t>mm w.c.</t>
  </si>
  <si>
    <t>mm w. c.</t>
  </si>
  <si>
    <t>in w.c. *</t>
  </si>
  <si>
    <t>Opening size - area ft^2</t>
  </si>
  <si>
    <t>Temp of gases leaking from the furnace (F)</t>
  </si>
  <si>
    <t>Density corrected flow (scfh)</t>
  </si>
  <si>
    <t>Density corrected flow (nm^3/hour)</t>
  </si>
  <si>
    <t>Ambient temp (F)</t>
  </si>
  <si>
    <t>Heat in gases Btu/hr</t>
  </si>
  <si>
    <t>Number of operating hours per year</t>
  </si>
  <si>
    <t xml:space="preserve">Detail Calculations </t>
  </si>
  <si>
    <t>Air exfiltration from the opening (SCFH) - standard condition*</t>
  </si>
  <si>
    <t>* Reference: North American Combustion Handbook, Page 187, Third Edition Volume 1</t>
  </si>
  <si>
    <t>Formula: cu.ft./sec (cfs) = 1655* K * a*(inch w.c./[sp. Density or sp. Gravity])^0.5</t>
  </si>
  <si>
    <t xml:space="preserve">K = flow coefficint used as 0.8052 based on data given in graphs (NA Handbook, Vol II page 62 Fig. 7.18 for air), </t>
  </si>
  <si>
    <t>Sp. Garvity is based on air=1.0</t>
  </si>
  <si>
    <t xml:space="preserve">Furnace draft (+  positive. pressure) </t>
  </si>
  <si>
    <t>Opening area</t>
  </si>
  <si>
    <t>Specific density of flue gases</t>
  </si>
  <si>
    <t>Air =1.0</t>
  </si>
  <si>
    <t xml:space="preserve">Temperature of gases leaking from the furnace </t>
  </si>
  <si>
    <t>Ambient temperature</t>
  </si>
  <si>
    <t>mm w.c.*</t>
  </si>
  <si>
    <t>Area of heat loss source (m2)</t>
  </si>
  <si>
    <r>
      <t>Area of heat loss source (m</t>
    </r>
    <r>
      <rPr>
        <vertAlign val="superscript"/>
        <sz val="11"/>
        <rFont val="Arial"/>
        <family val="2"/>
      </rPr>
      <t>2</t>
    </r>
    <r>
      <rPr>
        <sz val="11"/>
        <rFont val="Arial"/>
        <family val="2"/>
      </rPr>
      <t>)</t>
    </r>
  </si>
  <si>
    <r>
      <t>Hot Flue Gases Leakage Heat Loss from Oven or Furnace</t>
    </r>
    <r>
      <rPr>
        <sz val="11"/>
        <rFont val="Arial"/>
        <family val="2"/>
      </rPr>
      <t xml:space="preserve"> (Select "Yes" or "No")</t>
    </r>
  </si>
  <si>
    <t>Hot flue gas leakage heat loss</t>
  </si>
  <si>
    <t>* w.c. = Water Column</t>
  </si>
  <si>
    <t>Outlet temperature (Celsius) of the process atmosphere as it leaves the heating equipment or reaction chamber. Use temperature recorder/indicator reading or actual measurement.</t>
  </si>
  <si>
    <t>Atmosphere flow rate in terms of standard volume flow rate. Note that it is at standard conditions and actual flow values given by a flow meter should be corrected for the pressure-temperature condition at the measurement point. Use readings from a flow meter.</t>
  </si>
  <si>
    <t>Fuel energy used for measurement period</t>
  </si>
  <si>
    <t xml:space="preserve">Electricity used for measurement period </t>
  </si>
  <si>
    <t xml:space="preserve">Top roof </t>
  </si>
  <si>
    <t>Sides - North</t>
  </si>
  <si>
    <t>Sides - South</t>
  </si>
  <si>
    <t xml:space="preserve">Ends </t>
  </si>
  <si>
    <t xml:space="preserve">Total Energy Input - Measured values for the Equipment </t>
  </si>
  <si>
    <t>Water/Air- Cooling Losses</t>
  </si>
  <si>
    <t>Cooling medium</t>
  </si>
  <si>
    <t xml:space="preserve">Select water or air from the drop down list.  The data requirement will change accordingly. </t>
  </si>
  <si>
    <t>Air flow rate  (in terms of Nm^3 per minute) entering the air cooled parts. Use flow meter data if available, actual measurement (if possible) or use heating system supplier's specifications as first approximation. Note that this value is for air flow in the selected water cooled section.</t>
  </si>
  <si>
    <t>Flow rate of water (in terms of liter per minute) entering the water cooled parts. Use flow meter data if available, actual measurement (if possible) or use heating system supplier's specifications as first approximation. Note that this value is for water flow in the selected water cooled section.</t>
  </si>
  <si>
    <t>Inlet temperature of water/air as it enters water/air cooled parts. Use temperature recorder/indicator reading or actual measurement using a temperature gage, thermocouple or estimate based on measurements of water temperature at any location in the plant. This is an average value for the selected section if multiple water/air cooled sections are considered.</t>
  </si>
  <si>
    <t>Outlet temperature (Celsius) of water/air as it leaves water/air cooled parts. Use temperature recorder/indicator reading or actual measurement or estimate based on measurements of water temperature at any location downstream before water is mixed with other flows. This is an average value for the selected section if multiple water/air cooled sections are considered.</t>
  </si>
  <si>
    <t>Average temperature for the exposed wall surfaces. The average value should be calculated based on actual measurement at several locations for the furnace outside areas. The actual temperatures can vary over a wide range and care should be taken to use weighted average. use infra-red radiation temperature measurement (with proper emissivity correction) whenever possible.</t>
  </si>
  <si>
    <t>Temperature of the area where the equipment is located. In some cases it may be necessary to take temperature reading at the bottom or top of the equipment to make sure that the temperature is not much higher than the room-ambient temperature. Use weighted average if the temperature readings vary too much.</t>
  </si>
  <si>
    <t xml:space="preserve">Surface emissivity </t>
  </si>
  <si>
    <t xml:space="preserve">Surface emissivity of the outside surface of heat loss.  Default value is 0.8.  The user can change this value for their specific case. </t>
  </si>
  <si>
    <t>Total surface area for the wall being considered and exposed to the ambient. Use actual measurement or calculate/estimate based on the equipment drawings.</t>
  </si>
  <si>
    <t>Opening Radiation Losses</t>
  </si>
  <si>
    <t xml:space="preserve">Select rectangular or round shape using drop down list </t>
  </si>
  <si>
    <t xml:space="preserve">Number of openings </t>
  </si>
  <si>
    <t>Give number of openings of the same shape and size.</t>
  </si>
  <si>
    <t>Total area for the opening in the furnace walls. This may include holes in the walls, flue gas openings, charge and discharge door etc.</t>
  </si>
  <si>
    <t>Use the furnace zone temperature at the location of the openings. This can be obtained from furnace temperature recorder-indicator. Use an 'average" value of temperature if the openings are in different zones or at different locations.</t>
  </si>
  <si>
    <t>Temperature of the area outside the furnace where the openings are located. In most cases this is the ambient temperature in the area where the furnace and openings are located.</t>
  </si>
  <si>
    <t>Value of wall thickness (insulation - refractory etc.) at the location of openings in the wall or doors etc. Use actual measurements if possible or information from the current furnace drawings.</t>
  </si>
  <si>
    <t>Value of length of the openings for square or rectangular openings in the wall or doors etc. Use actual measurements if possible or information from the current furnace drawings. Use value for a typical opening or average value. This value is used only to calculate view factor and not for calculation of heat loss area.</t>
  </si>
  <si>
    <t>Value of diameter of the opening for round openings in the wall or doors etc. Use actual measurements if possible or information from the current furnace drawings. Use value for a typical opening or average value. This value is used only to calculate view factor and not for calculation of heat loss area.</t>
  </si>
  <si>
    <t>Value of height of the openings for square or rectangular openings in the wall or doors etc. Use actual measurements if possible or information from the current furnace drawings. Use value for a typical opening or average value. This value is used only to calculate view factor and not for calculation of heat loss area.</t>
  </si>
  <si>
    <t>View Factor</t>
  </si>
  <si>
    <t>View Factor calculated based on the information given in previous cells.</t>
  </si>
  <si>
    <t>View Factor - User Defined</t>
  </si>
  <si>
    <t>Use value of view factor from the graphs given attachment. Click on "look up" button to go the attachment graphs.</t>
  </si>
  <si>
    <t>Emissivity of the source</t>
  </si>
  <si>
    <t xml:space="preserve">Emissivity of the radiation source (usually interior of the furnace).  The default or suggested value is 0.9 </t>
  </si>
  <si>
    <t>% of Time Open</t>
  </si>
  <si>
    <t>This represents the time during which the furnace interior is exposed or open to the ambient and heat is lost by radiation. it is expressed as percentage of the total operating time or cycle time. Typical examples including opening of a door for charging and discharging load or opening of a damper for part of the operating time.</t>
  </si>
  <si>
    <t>Radiation loss - Heat lost - calculated by using the information given in previous cells.</t>
  </si>
  <si>
    <t>Total area of the exposed parts such as shafts, structural components of the furnace, part of the charge being heated (if applicable), burner or radiant tubes, material handling system (conveyors, belts) etc. Estimate based on actual measurements or use furnace drawings.</t>
  </si>
  <si>
    <t>Average temperature for the exposed areas. The average should be calculated based on actual measurement at several locations for the exposed parts or areas. The actual temperature can vary over a wide range and care should be taken to use weighted average. Use infra-red radiation temperature measurement instrument (with proper emissivity correction) whenever possible.</t>
  </si>
  <si>
    <t>Temperature of the area outside the furnace where the exposed areas are located. In most cases this is the ambient temperature in the area where the furnace and exposed areas are located.</t>
  </si>
  <si>
    <t>Surface emissivity of the heart source</t>
  </si>
  <si>
    <t xml:space="preserve">Emissivity of the surface from heat is dissipated or lost.  This can be in the range of 07 to 0.9 for commonly encountered surfaces but the user should use appropriate value for the specific case. </t>
  </si>
  <si>
    <t>Give value of any additional heat losses not accounted in any of the other heat loss calculations. A few examples include heat contained in unburned carbon presence in ash, sensible heat content of ash and other residue for solid fuel fired fuels, heat content of slag, byproducts or other materials that has not been accounted for other areas of heat loss or utilization.</t>
  </si>
  <si>
    <t>Heat Required calculated by using the information given in previous cells.</t>
  </si>
  <si>
    <t>Flue Gas - Available Heat</t>
  </si>
  <si>
    <t xml:space="preserve">Measure oxygen content of flue gases by using a gas sampling probe. The O2 reading is in terms of "dry" basis. </t>
  </si>
  <si>
    <t>This can be calculated value or user defined value of excess air in in flue gases. The value is expressed in terms of percentage of stoichiometric air required for the fuel used. The excess air value represents excess air used in burners plus all air entering the furnace and going as flue gases form the furnace. The additional air entering the furnace may be sure to use of make-up air or air leakage due to openings in the furnace and presence of negative pressure in the furnace.</t>
  </si>
  <si>
    <t>Combustion air temperature (Celsius) entering the burners. Use temperature recorder/indicator reading or actual measurement using a temperature gage, thermocouple or estimate based on the furnace supplier's specification.</t>
  </si>
  <si>
    <t>This is calculated value of "Available Heat" given as percentage of total heat input (expressed as higher or gross heating value) in the furnace. The values are calculated for commonly used natural gas in USA and most Western countries. It is a reasonably accurate value of available heat for coal and fuel oils. The value could be significantly different depending on type of fuel used, its Carbon- Hydrogen content. Foe unusual fuels the user should obtain correct value from other sources and enter it in the following cell.</t>
  </si>
  <si>
    <t>If the value given in the above cell is not appropriate, the user should enter proper value obtained form other sources. Available heat for use of oxygen enriched air or oxy-fuel firing and substoichiometric combustion of natural gas can be obtained from graphs given in attachments. Click on "Look UP" button to see these graphs.</t>
  </si>
  <si>
    <t>Available Heat (%) to use for calculations.</t>
  </si>
  <si>
    <t xml:space="preserve">The user can select to use the calculated or user defined values for calculations of the total heat input (also known as gross heat) requirement. </t>
  </si>
  <si>
    <t xml:space="preserve">Power - Motor Drives </t>
  </si>
  <si>
    <t>Give name or ID for the motor</t>
  </si>
  <si>
    <t>This could be selected from the list or given as desired.</t>
  </si>
  <si>
    <t xml:space="preserve">Give name or designation </t>
  </si>
  <si>
    <t>Pressure rise for the fan or blower if the motor is used as a fan or a blower drive.</t>
  </si>
  <si>
    <t xml:space="preserve">Air or gas flow delivered by the fan or blower - give value if applicable. </t>
  </si>
  <si>
    <t>The power rating of the motor expressed as kW</t>
  </si>
  <si>
    <t xml:space="preserve">Number of phases for the mort - in most cases it would be 3. </t>
  </si>
  <si>
    <t xml:space="preserve">Electric power supply voltage (volts) </t>
  </si>
  <si>
    <t xml:space="preserve">Measured or estimated value (average) for the electric motor. Measured during the audit or use historical data. </t>
  </si>
  <si>
    <t xml:space="preserve">Power factor if known.  Use suggested average value if no data is available. </t>
  </si>
  <si>
    <t>This is motor operating time as a percentage of total operating time for the equipment.</t>
  </si>
  <si>
    <t>Give a list of other power using systems and their power use (measured or estimated).</t>
  </si>
  <si>
    <t xml:space="preserve">Calculated value using the data given above. </t>
  </si>
  <si>
    <t>Distribution of Energy Usage By Area-Current Condition</t>
  </si>
  <si>
    <t>Distribution of Energy Usage By Area-Modified Condition</t>
  </si>
  <si>
    <t>Area</t>
  </si>
  <si>
    <t>Charge Material-Solid</t>
  </si>
  <si>
    <t>Notes on Current Vs. Modified Conditions:</t>
  </si>
  <si>
    <t>Charge Material-Liquid</t>
  </si>
  <si>
    <t>Charge Material-Gas</t>
  </si>
  <si>
    <t>Enter notes here on proposed changes for the "Modified" conditions.</t>
  </si>
  <si>
    <t>NOTES:</t>
  </si>
  <si>
    <t>Fixture Losses</t>
  </si>
  <si>
    <t>Water/Air Cooling Losses</t>
  </si>
  <si>
    <t>Opening Losses</t>
  </si>
  <si>
    <t>Power Usage</t>
  </si>
  <si>
    <t>Other Heat Losses</t>
  </si>
  <si>
    <t>KW</t>
  </si>
  <si>
    <t>Resulting in a savings (increase) of:</t>
  </si>
  <si>
    <t>Percentage of rated capacity used</t>
  </si>
  <si>
    <t>Other information as necessary for the equipment: preheaters, coal feeder etc.</t>
  </si>
  <si>
    <t xml:space="preserve">Number of charge materials - solid </t>
  </si>
  <si>
    <t>Number of charge materials - liquid</t>
  </si>
  <si>
    <t xml:space="preserve">Specific heat of the gas (air or atmosphere) </t>
  </si>
  <si>
    <t>Final Temperature</t>
  </si>
  <si>
    <t>Flow Rate</t>
  </si>
  <si>
    <t>Heat Loss</t>
  </si>
  <si>
    <t>Number of atmosphere-gases</t>
  </si>
  <si>
    <t>Power use by Electric Motors &amp; Other Devices</t>
  </si>
  <si>
    <t xml:space="preserve">Process Heating Equipment Name </t>
  </si>
  <si>
    <t>Material Name</t>
  </si>
  <si>
    <t>Water or air cooling (internal)</t>
  </si>
  <si>
    <t>Other heat loss or generation</t>
  </si>
  <si>
    <t xml:space="preserve">TOTAL  </t>
  </si>
  <si>
    <t>Density</t>
  </si>
  <si>
    <t>Gas Flow</t>
  </si>
  <si>
    <t>Liquid Flow</t>
  </si>
  <si>
    <t>OTHER GAS</t>
  </si>
  <si>
    <t xml:space="preserve">Sp. Heat of Gas or Liquid </t>
  </si>
  <si>
    <t>Mass flow of Gas or Liquid</t>
  </si>
  <si>
    <t xml:space="preserve">Density of Gas or Liquid NTP (0 C, 100 pa) </t>
  </si>
  <si>
    <t>Heat required calculations-Other Fluid</t>
  </si>
  <si>
    <t>If Air or Water</t>
  </si>
  <si>
    <t>If Other Gas or Liquid</t>
  </si>
  <si>
    <t>Read View Factor From Chart Using Opening Type and Ratio</t>
  </si>
  <si>
    <t>Industry Code</t>
  </si>
  <si>
    <t>Plant Energy Survey - Audit</t>
  </si>
  <si>
    <t>Cost Unit Used</t>
  </si>
  <si>
    <t>Operating hours per year</t>
  </si>
  <si>
    <t xml:space="preserve">Duty cycle (as % of operating hours) </t>
  </si>
  <si>
    <t>The left cell (I13) is used to indicate optionbutton state</t>
  </si>
  <si>
    <t>Name of the Material (Choose From  List) or "Other"
If not on list then enter material and thermal properties in boxes</t>
  </si>
  <si>
    <t>Charge Melted (% of Dry Charge)</t>
  </si>
  <si>
    <t>Charge Reacted (% of Dry Charge)</t>
  </si>
  <si>
    <t>Total Heat Required For Charge Material 1</t>
  </si>
  <si>
    <t>Total Heat Required For Charge Material 2</t>
  </si>
  <si>
    <t>Total Heat Required For Charge Material 3</t>
  </si>
  <si>
    <t>Inlet Temperature</t>
  </si>
  <si>
    <t>Combustion Air Temperature</t>
  </si>
  <si>
    <t>Furnace Flue Gas Temperature</t>
  </si>
  <si>
    <t>Average Temperature</t>
  </si>
  <si>
    <t>Modified   Values</t>
  </si>
  <si>
    <t>Furnace Heat Balance (Sankey Diagram)</t>
  </si>
  <si>
    <t xml:space="preserve">This is a "static" Sankey Diagram with no changes in width of the arrows.  </t>
  </si>
  <si>
    <t>Report Page 1</t>
  </si>
  <si>
    <t>Report Page 2</t>
  </si>
  <si>
    <t>Report Page 3</t>
  </si>
  <si>
    <t>The top value is for "current" conditions and the bottom value is for "modified" conditions.</t>
  </si>
  <si>
    <t>The heat loss is given as positive number</t>
  </si>
  <si>
    <t>Heat generation or addition is given as negative number</t>
  </si>
  <si>
    <t>Enter Material Name</t>
  </si>
  <si>
    <t>E-mail: athekdi@e3minc.com </t>
  </si>
  <si>
    <t>Office Phone: (240) 715-4333 </t>
  </si>
  <si>
    <t>Mobile: (240) 605-7545</t>
  </si>
  <si>
    <t>E3M Inc.</t>
  </si>
  <si>
    <t>Print Sheet</t>
  </si>
  <si>
    <t>Return to Openings Data Sheet</t>
  </si>
  <si>
    <t>Help</t>
  </si>
  <si>
    <t>Calculations - 6th Opening</t>
  </si>
  <si>
    <t>kJ/(kg. C)</t>
  </si>
  <si>
    <t>Cp (KJ/kg-C) = A + B*Temp (F)</t>
  </si>
  <si>
    <t>For 60 deg. F</t>
  </si>
  <si>
    <t>For 1000 deg. F</t>
  </si>
  <si>
    <t>Cp calc for SI units</t>
  </si>
  <si>
    <t>Solid</t>
  </si>
  <si>
    <t>Water Content as Charged (%)</t>
  </si>
  <si>
    <t>Water Content as Discharged (%)</t>
  </si>
  <si>
    <t>Charge Melted (% of Charge)</t>
  </si>
  <si>
    <t>Charge Reacted (% of Dry)</t>
  </si>
  <si>
    <t>Endothermic/Exothermic</t>
  </si>
  <si>
    <t>Water - Moisture heat requirement</t>
  </si>
  <si>
    <t xml:space="preserve">Values used for water - steam/vapor related calculations </t>
  </si>
  <si>
    <t>Sp. Heat of water (avg. value) kJ/(kg. C)</t>
  </si>
  <si>
    <t>Heat of evaporation (kJ/kg) for water</t>
  </si>
  <si>
    <t>Sp. Heat of water vapor or steam at atm. Pressure (avg. value) kJ/(kg. C)</t>
  </si>
  <si>
    <t>Solid load heat requirement</t>
  </si>
  <si>
    <t>Eliminate</t>
  </si>
  <si>
    <t>kJ</t>
  </si>
  <si>
    <t>Btu</t>
  </si>
  <si>
    <t>Exothermic</t>
  </si>
  <si>
    <t>Endothermic</t>
  </si>
  <si>
    <t>Liquid</t>
  </si>
  <si>
    <t>Charge Liquid Reacted (% of Charge)</t>
  </si>
  <si>
    <t>Type of Reaction (Endothermic/Exothermic)</t>
  </si>
  <si>
    <t>Weight of liquid vaporized</t>
  </si>
  <si>
    <t>Total weight of liquid at discharge</t>
  </si>
  <si>
    <t>Vapor heat requirement</t>
  </si>
  <si>
    <t>Heating liquid to vaporizing temperature</t>
  </si>
  <si>
    <t>Heat required for vaporization of liquid</t>
  </si>
  <si>
    <t xml:space="preserve">Heat for vapor superheat (to liquid discharge temp) </t>
  </si>
  <si>
    <t>Total heat for the vapor related thermal load</t>
  </si>
  <si>
    <t>Liquid heat requirement</t>
  </si>
  <si>
    <t>Heating of liquid to discharge temperature</t>
  </si>
  <si>
    <t>Heat of reaction for liquid</t>
  </si>
  <si>
    <t>Total heat for liquid related thermal load</t>
  </si>
  <si>
    <t>Total heat required for liquid heating</t>
  </si>
  <si>
    <t>Feed Gas Reacted (% of Total)</t>
  </si>
  <si>
    <t>Weight of vapor in gas mixture</t>
  </si>
  <si>
    <t xml:space="preserve">Weight of feed (total - vapor)  gas </t>
  </si>
  <si>
    <t>Heating vapor to discharge temperature</t>
  </si>
  <si>
    <t>Heat required for reaction of gas mixture</t>
  </si>
  <si>
    <t>Heat for gas heating to discharge temp.</t>
  </si>
  <si>
    <t>Total heat required for gas mixture heating</t>
  </si>
  <si>
    <t>ID</t>
  </si>
  <si>
    <t>Substance</t>
  </si>
  <si>
    <t>MaterialType</t>
  </si>
  <si>
    <t>Composition</t>
  </si>
  <si>
    <t>Density (kg/m^3)</t>
  </si>
  <si>
    <t xml:space="preserve">MeanSpecific Heat of solid (kJ/(kg oC# F) </t>
  </si>
  <si>
    <t>LatentHeatOf Fusion kJ/kg</t>
  </si>
  <si>
    <t xml:space="preserve">MeanSpecific Heat Of Liquid (kJ/(kg oC) </t>
  </si>
  <si>
    <t>MeltingPoint (Deg. C.)</t>
  </si>
  <si>
    <t>Average Pouring Temp (Deg. C)</t>
  </si>
  <si>
    <t>HtContentOf Solid At MeltingPoint (kJ/kg)</t>
  </si>
  <si>
    <t>HtContentOf LiquidAt MeltingTemp (kJ/kg)</t>
  </si>
  <si>
    <t>HtContentOf LiquidAt PouringTemp (kJ/kg)</t>
  </si>
  <si>
    <t>Change</t>
  </si>
  <si>
    <t xml:space="preserve">Conversion Factor </t>
  </si>
  <si>
    <t>C=(F-32)/1.8</t>
  </si>
  <si>
    <t>Aluminum</t>
  </si>
  <si>
    <t>Al</t>
  </si>
  <si>
    <t>Babbitt, lead  base</t>
  </si>
  <si>
    <t>Total % **</t>
  </si>
  <si>
    <t>75 Pb,15 Sb,10 Sn</t>
  </si>
  <si>
    <t>Babbitt, tin  base</t>
  </si>
  <si>
    <t>83.3 Sn,8.4 Sb,8.3 Cu</t>
  </si>
  <si>
    <t>Bismuth</t>
  </si>
  <si>
    <t>Bi</t>
  </si>
  <si>
    <t>Brass, Muntz metal</t>
  </si>
  <si>
    <t>60 Cu,40 Zn</t>
  </si>
  <si>
    <t>Brass, red</t>
  </si>
  <si>
    <t>90 Cu,10 Zn</t>
  </si>
  <si>
    <t>Brass,yellow</t>
  </si>
  <si>
    <t>67 Cu,33 Zn</t>
  </si>
  <si>
    <t>Bronze,  bearing</t>
  </si>
  <si>
    <t>80 Cu,10 Pb,10 Sn</t>
  </si>
  <si>
    <t>Bronze, aluminum</t>
  </si>
  <si>
    <t>90 Cu,10 Al</t>
  </si>
  <si>
    <t>Bronze, bell metal</t>
  </si>
  <si>
    <t>78 Cu,22 Sn</t>
  </si>
  <si>
    <t>Bronze, gun metal</t>
  </si>
  <si>
    <t>90 Cu,1oSn</t>
  </si>
  <si>
    <t>Bronze, tobin</t>
  </si>
  <si>
    <t>60 Cu,39.2 Zn,0.8 Sn</t>
  </si>
  <si>
    <t>Carbon Steel</t>
  </si>
  <si>
    <t>1000 series</t>
  </si>
  <si>
    <t>Copper</t>
  </si>
  <si>
    <t>Cu</t>
  </si>
  <si>
    <t>Die casting metal</t>
  </si>
  <si>
    <t>92 Al,8 Cu</t>
  </si>
  <si>
    <t>80 Pb,10 Sn,10 Sb</t>
  </si>
  <si>
    <t>90 Sn,4.5 Cu,5,5 Sb</t>
  </si>
  <si>
    <t>87.3 Zn,8.1Sn,4.1Cu,0.5A</t>
  </si>
  <si>
    <t>German silver</t>
  </si>
  <si>
    <t>60 Cu,25 Zn,1 5 Ni</t>
  </si>
  <si>
    <t>Gold</t>
  </si>
  <si>
    <t>Au</t>
  </si>
  <si>
    <t>Inconel - 600</t>
  </si>
  <si>
    <t>Inconel</t>
  </si>
  <si>
    <t>Iron, cast, gray</t>
  </si>
  <si>
    <t>94 Fe,3.5 C,2.5 Si</t>
  </si>
  <si>
    <t>Iron, cast, white</t>
  </si>
  <si>
    <t>97 Fe,3 C</t>
  </si>
  <si>
    <t>Iron, pig</t>
  </si>
  <si>
    <t>93 Fe,4.22 C,1.48 Si,0.73 Mn,0.12P ,0.03 S</t>
  </si>
  <si>
    <t>Iron, pure</t>
  </si>
  <si>
    <t>Fe</t>
  </si>
  <si>
    <t>Lead</t>
  </si>
  <si>
    <t>Pb</t>
  </si>
  <si>
    <t>Linotype</t>
  </si>
  <si>
    <t>86 pb,11 sb,3sn</t>
  </si>
  <si>
    <t>Magnesium</t>
  </si>
  <si>
    <t>Mg</t>
  </si>
  <si>
    <t>Manganese</t>
  </si>
  <si>
    <t>Mn</t>
  </si>
  <si>
    <t>Monel metal</t>
  </si>
  <si>
    <t>67 Ni,28 Cu; Fe, Mn, Si</t>
  </si>
  <si>
    <t>Nickel 60 to 2644 F</t>
  </si>
  <si>
    <t>Ni</t>
  </si>
  <si>
    <t>Silver</t>
  </si>
  <si>
    <t>Ag</t>
  </si>
  <si>
    <t>solder, bismuth</t>
  </si>
  <si>
    <t>40 pb,20 Sn,40 Bi</t>
  </si>
  <si>
    <t>Solder, plumbers</t>
  </si>
  <si>
    <t>50 pb,50 Sn</t>
  </si>
  <si>
    <t>Stainless Steel - 300 series</t>
  </si>
  <si>
    <t>310 and 304</t>
  </si>
  <si>
    <t>Stainless Steel - 410</t>
  </si>
  <si>
    <t>410 SS</t>
  </si>
  <si>
    <t>Tin</t>
  </si>
  <si>
    <t>Sn</t>
  </si>
  <si>
    <t>Zinc</t>
  </si>
  <si>
    <t>Zn</t>
  </si>
  <si>
    <t>Refractory</t>
  </si>
  <si>
    <t>Ladle Refractory</t>
  </si>
  <si>
    <t>Crude</t>
  </si>
  <si>
    <t>Water - std. atmospheric pressure</t>
  </si>
  <si>
    <t>Water - 1050 kPa</t>
  </si>
  <si>
    <t>Acetic Acid</t>
  </si>
  <si>
    <t>Acetone</t>
  </si>
  <si>
    <t>Alcohol- ethyl</t>
  </si>
  <si>
    <t>Alcohol - methyl</t>
  </si>
  <si>
    <t>Benzene</t>
  </si>
  <si>
    <t>Bromine</t>
  </si>
  <si>
    <t>Carbon tetrachloride</t>
  </si>
  <si>
    <t>Fuel oil no. 2 (average)</t>
  </si>
  <si>
    <t>Fuel oil no. 6 (average)</t>
  </si>
  <si>
    <t>Kerosene</t>
  </si>
  <si>
    <t>Methanol</t>
  </si>
  <si>
    <t>Water vapor - near atm. pressure</t>
  </si>
  <si>
    <t>Steam - 350 kPa, 205 Celcius</t>
  </si>
  <si>
    <t>Steam - 1050 kPa, 260 Celcius</t>
  </si>
  <si>
    <t>Steam - 4150 kPa, 375 Celcius</t>
  </si>
  <si>
    <t>Air - low pressure</t>
  </si>
  <si>
    <t>Nitrogen - low pressure</t>
  </si>
  <si>
    <t>Oxygen - low pressure</t>
  </si>
  <si>
    <t>Carbon dioxide - low pressure</t>
  </si>
  <si>
    <t>Carbon monoxide - low pressure</t>
  </si>
  <si>
    <t>Hydrogen - low pressure</t>
  </si>
  <si>
    <t>Average Temp. (Celcius)</t>
  </si>
  <si>
    <t>C</t>
  </si>
  <si>
    <t>Ambient Temp. (Celcius)</t>
  </si>
  <si>
    <t>Additional Losses (kJ/hr)</t>
  </si>
  <si>
    <t>Heat Required (kJ/hr)</t>
  </si>
  <si>
    <t>Current Net Heat (kJ/hr)</t>
  </si>
  <si>
    <t>Modified Net Heat (kJ/hr)</t>
  </si>
  <si>
    <t xml:space="preserve">Surface Temp. </t>
  </si>
  <si>
    <t>F</t>
  </si>
  <si>
    <t xml:space="preserve">Ambient Temp. </t>
  </si>
  <si>
    <t>Heat Required from equation</t>
  </si>
  <si>
    <t>Btu/(hr-ft^2)</t>
  </si>
  <si>
    <t>Conversion</t>
  </si>
  <si>
    <t>kJ/(hr.m^2)</t>
  </si>
  <si>
    <t>Surface 1</t>
  </si>
  <si>
    <t>Surface 2</t>
  </si>
  <si>
    <t>List of other heat loss (enter heat loss as a +ve value)</t>
  </si>
  <si>
    <t xml:space="preserve">Fixtures, trays, conveyor etc. </t>
  </si>
  <si>
    <t>Wall surface heat losses</t>
  </si>
  <si>
    <t>Heat Required (Btu/hr)</t>
  </si>
  <si>
    <t>Current Net Heat (Btu/hr)</t>
  </si>
  <si>
    <t>Modified Net Heat (Btu/hr)</t>
  </si>
  <si>
    <t>Use kJ</t>
  </si>
  <si>
    <t xml:space="preserve">Material </t>
  </si>
  <si>
    <t xml:space="preserve">Specific heat </t>
  </si>
  <si>
    <t xml:space="preserve">Fixture Weight feed rate </t>
  </si>
  <si>
    <t xml:space="preserve">This is constant at normal ambinet temperature </t>
  </si>
  <si>
    <t xml:space="preserve">Heat required </t>
  </si>
  <si>
    <t>Wall Losses</t>
  </si>
  <si>
    <r>
      <t>Surface Area (Ft</t>
    </r>
    <r>
      <rPr>
        <vertAlign val="superscript"/>
        <sz val="10"/>
        <color indexed="10"/>
        <rFont val="Arial"/>
        <family val="2"/>
      </rPr>
      <t>2</t>
    </r>
    <r>
      <rPr>
        <sz val="10"/>
        <color indexed="10"/>
        <rFont val="Arial"/>
        <family val="2"/>
      </rPr>
      <t>)</t>
    </r>
  </si>
  <si>
    <r>
      <t>Ft</t>
    </r>
    <r>
      <rPr>
        <vertAlign val="superscript"/>
        <sz val="10"/>
        <color indexed="10"/>
        <rFont val="Arial"/>
        <family val="2"/>
      </rPr>
      <t>2</t>
    </r>
  </si>
  <si>
    <r>
      <t>Surface Area (m</t>
    </r>
    <r>
      <rPr>
        <vertAlign val="superscript"/>
        <sz val="10"/>
        <color indexed="10"/>
        <rFont val="Arial"/>
        <family val="2"/>
      </rPr>
      <t>2</t>
    </r>
    <r>
      <rPr>
        <sz val="10"/>
        <color indexed="10"/>
        <rFont val="Arial"/>
        <family val="2"/>
      </rPr>
      <t>)</t>
    </r>
  </si>
  <si>
    <r>
      <t>m</t>
    </r>
    <r>
      <rPr>
        <vertAlign val="superscript"/>
        <sz val="10"/>
        <color indexed="10"/>
        <rFont val="Arial"/>
        <family val="2"/>
      </rPr>
      <t>2</t>
    </r>
  </si>
  <si>
    <t>Surface Temp. (Degree F)</t>
  </si>
  <si>
    <t>Surface Temp. (Celcius)</t>
  </si>
  <si>
    <t>Ambient Temp. (Degree F)</t>
  </si>
  <si>
    <t>Openings</t>
  </si>
  <si>
    <t>Furnace Wall Thickness (inches)</t>
  </si>
  <si>
    <t>in</t>
  </si>
  <si>
    <t>Furnace Wall Thickness (mm)</t>
  </si>
  <si>
    <t>Diameter of Openings (inches)</t>
  </si>
  <si>
    <t>Diameter of Openings (mm)</t>
  </si>
  <si>
    <r>
      <t>Total Opening Area (Ft</t>
    </r>
    <r>
      <rPr>
        <vertAlign val="superscript"/>
        <sz val="10"/>
        <color indexed="10"/>
        <rFont val="Arial"/>
        <family val="2"/>
      </rPr>
      <t>2</t>
    </r>
    <r>
      <rPr>
        <sz val="10"/>
        <color indexed="10"/>
        <rFont val="Arial"/>
        <family val="2"/>
      </rPr>
      <t>)</t>
    </r>
  </si>
  <si>
    <r>
      <t>Total Opening Area (m</t>
    </r>
    <r>
      <rPr>
        <vertAlign val="superscript"/>
        <sz val="10"/>
        <color indexed="10"/>
        <rFont val="Arial"/>
        <family val="2"/>
      </rPr>
      <t>2</t>
    </r>
    <r>
      <rPr>
        <sz val="10"/>
        <color indexed="10"/>
        <rFont val="Arial"/>
        <family val="2"/>
      </rPr>
      <t>)</t>
    </r>
  </si>
  <si>
    <t>Inside Temp. (Degree F)</t>
  </si>
  <si>
    <t>Indise Temp.(Celcius)</t>
  </si>
  <si>
    <t>Outside or Ambient Temp. (Degree F)</t>
  </si>
  <si>
    <t>Outside or Ambient Temp. (Celcius)</t>
  </si>
  <si>
    <t>Other Losses</t>
  </si>
  <si>
    <r>
      <t>Approx Area (Ft</t>
    </r>
    <r>
      <rPr>
        <vertAlign val="superscript"/>
        <sz val="10"/>
        <color indexed="10"/>
        <rFont val="Arial"/>
        <family val="2"/>
      </rPr>
      <t>2</t>
    </r>
    <r>
      <rPr>
        <sz val="10"/>
        <color indexed="10"/>
        <rFont val="Arial"/>
        <family val="2"/>
      </rPr>
      <t>)</t>
    </r>
  </si>
  <si>
    <r>
      <t>Approx, Area (m</t>
    </r>
    <r>
      <rPr>
        <vertAlign val="superscript"/>
        <sz val="10"/>
        <color indexed="10"/>
        <rFont val="Arial"/>
        <family val="2"/>
      </rPr>
      <t>2</t>
    </r>
    <r>
      <rPr>
        <sz val="10"/>
        <color indexed="10"/>
        <rFont val="Arial"/>
        <family val="2"/>
      </rPr>
      <t>)</t>
    </r>
  </si>
  <si>
    <t>Average Temp. (Degree F)</t>
  </si>
  <si>
    <t>Additional Losses (Btu/hr)</t>
  </si>
  <si>
    <t>Flue Gas Losses Heating System Efficiency</t>
  </si>
  <si>
    <t>Fuel Air Fired Heating</t>
  </si>
  <si>
    <t>Furnace Flue Gas Temp. (Degree F)</t>
  </si>
  <si>
    <t>Furnace Flue Gas Temp. (Celcius)</t>
  </si>
  <si>
    <t>Oxygen in Flue Gases (%)</t>
  </si>
  <si>
    <t>Oxygen ing Flue Gases (%)</t>
  </si>
  <si>
    <t>Excess Air (%)</t>
  </si>
  <si>
    <t>Combution Air Temp. (Degree F)</t>
  </si>
  <si>
    <t>Combution Air Temp. (Celcius)</t>
  </si>
  <si>
    <t>Available Heat (%)</t>
  </si>
  <si>
    <t>Available Heat User Defined (%)</t>
  </si>
  <si>
    <t>Gross Heat (Btu/hr)</t>
  </si>
  <si>
    <t>Gross Heat (kJ/hr)</t>
  </si>
  <si>
    <t>Furnace Heat Storage Gross Heat Input (Btu)</t>
  </si>
  <si>
    <t>Furnace Heat Storage Gross Heat Input (kJ)</t>
  </si>
  <si>
    <t>Electrical Heating</t>
  </si>
  <si>
    <t>Furnace Temp. (Degree F)</t>
  </si>
  <si>
    <t>Furnace Temp. (Celcius)</t>
  </si>
  <si>
    <t>Select energy unit for report</t>
  </si>
  <si>
    <t>Electrical Heating System Efficiency (%)</t>
  </si>
  <si>
    <t>Gross Electrical Power Required (kWh)</t>
  </si>
  <si>
    <t>kWh</t>
  </si>
  <si>
    <t>Should we change the word to energy?</t>
  </si>
  <si>
    <t>Steam Heating</t>
  </si>
  <si>
    <t>Furnace/Oven Temp. (Degree F)</t>
  </si>
  <si>
    <t>Furnace/Oven Temp. (Celcius)</t>
  </si>
  <si>
    <t>Steam Heating System Efficiency (%)</t>
  </si>
  <si>
    <t>Source of Data information</t>
  </si>
  <si>
    <t>1000 F</t>
  </si>
  <si>
    <t>540 C</t>
  </si>
  <si>
    <t>Note</t>
  </si>
  <si>
    <t>Heat Storage</t>
  </si>
  <si>
    <t>Heat Storage (Btu)</t>
  </si>
  <si>
    <t>Heat Storage(kJ)</t>
  </si>
  <si>
    <t>Theoretical Heat Loss (Btu/hr)</t>
  </si>
  <si>
    <t>Theoretical Heat Loss (kJ/hr)</t>
  </si>
  <si>
    <t>Furnace Summary Dialogue Box</t>
  </si>
  <si>
    <t>Net Heat (Btu/hr)</t>
  </si>
  <si>
    <t>Net Heat (kJ/hr)</t>
  </si>
  <si>
    <t>Energy Used (Btu/Lb.)</t>
  </si>
  <si>
    <t>Btu/Lb.</t>
  </si>
  <si>
    <t>Energy Used (kJ/kg)</t>
  </si>
  <si>
    <t>Energy Used (KWH/Lb.)</t>
  </si>
  <si>
    <t>KWH/lb</t>
  </si>
  <si>
    <t>Thermal Efficiency (%)</t>
  </si>
  <si>
    <t>Mass flow of air</t>
  </si>
  <si>
    <t xml:space="preserve">Sp. Heat of air at average air temperature </t>
  </si>
  <si>
    <t>Mean temp of air</t>
  </si>
  <si>
    <t>x^3</t>
  </si>
  <si>
    <t>x^2</t>
  </si>
  <si>
    <t>x</t>
  </si>
  <si>
    <t>Constant</t>
  </si>
  <si>
    <t xml:space="preserve">Constants for sp. Heat calculations </t>
  </si>
  <si>
    <t xml:space="preserve">Standard condition </t>
  </si>
  <si>
    <t xml:space="preserve">Specific Heat of Air </t>
  </si>
  <si>
    <t>$E$17+$E$18*C4+$E$19*C4^2-$E$20*C4^3</t>
  </si>
  <si>
    <t xml:space="preserve">Heat required  </t>
  </si>
  <si>
    <t xml:space="preserve">Sp. Heat of water  </t>
  </si>
  <si>
    <t xml:space="preserve">Mass flow  for water - rate </t>
  </si>
  <si>
    <t>Flow rate of water  (l/min)</t>
  </si>
  <si>
    <t xml:space="preserve">Atmosphere losses </t>
  </si>
  <si>
    <t>Atmosphere Gas 1</t>
  </si>
  <si>
    <t>kJ/(Nm^3- deg. C)</t>
  </si>
  <si>
    <t>scfh</t>
  </si>
  <si>
    <t xml:space="preserve">Makeup Air </t>
  </si>
  <si>
    <t>Air</t>
  </si>
  <si>
    <t>Atmosphere Gas 2</t>
  </si>
  <si>
    <t>Total Heat Loss (Required)  for Process Atmosphere - Makeup Air</t>
  </si>
  <si>
    <t>Btu/(scfF)</t>
  </si>
  <si>
    <t>Process Atmosphere</t>
  </si>
  <si>
    <t xml:space="preserve">Specific Heat </t>
  </si>
  <si>
    <t>Btu/(s.cu.ft.- deg. F)</t>
  </si>
  <si>
    <t>Conversion factor</t>
  </si>
  <si>
    <t>Btu/scf</t>
  </si>
  <si>
    <t>kJ/m^3</t>
  </si>
  <si>
    <t>Btu/(scf-F)</t>
  </si>
  <si>
    <t>kJ/(Nm^3 - C)</t>
  </si>
  <si>
    <t>Exothermic gas</t>
  </si>
  <si>
    <t>Endothermic gas</t>
  </si>
  <si>
    <t>?</t>
  </si>
  <si>
    <t>Note: The values are for approx. 60 deg. F. or 15 deg. C.</t>
  </si>
  <si>
    <t>The value increases by about 0.00111% for every 1 deg. C.</t>
  </si>
  <si>
    <t xml:space="preserve">if the selection is other then we will have to ask for specific heat information </t>
  </si>
  <si>
    <r>
      <t xml:space="preserve">MeanSpecific Heat of solid (kJ/(kg </t>
    </r>
    <r>
      <rPr>
        <vertAlign val="superscript"/>
        <sz val="10"/>
        <color indexed="8"/>
        <rFont val="Arial"/>
        <family val="2"/>
      </rPr>
      <t>o</t>
    </r>
    <r>
      <rPr>
        <sz val="10"/>
        <color indexed="8"/>
        <rFont val="Arial"/>
        <family val="2"/>
      </rPr>
      <t xml:space="preserve">C) </t>
    </r>
  </si>
  <si>
    <r>
      <t xml:space="preserve">MeanSpecific HeatOf Liquid (kJ/(kg </t>
    </r>
    <r>
      <rPr>
        <vertAlign val="superscript"/>
        <sz val="10"/>
        <color indexed="8"/>
        <rFont val="Arial"/>
        <family val="2"/>
      </rPr>
      <t>o</t>
    </r>
    <r>
      <rPr>
        <sz val="10"/>
        <color indexed="8"/>
        <rFont val="Arial"/>
        <family val="2"/>
      </rPr>
      <t xml:space="preserve">C) </t>
    </r>
  </si>
  <si>
    <t xml:space="preserve">kCal </t>
  </si>
  <si>
    <t xml:space="preserve">To convert these units to </t>
  </si>
  <si>
    <t>Density (#s/ft^3)</t>
  </si>
  <si>
    <t xml:space="preserve">MeanSpecificHeat (Btu/(# F) </t>
  </si>
  <si>
    <t>LatentHeatOfFusion Btu/#</t>
  </si>
  <si>
    <t>MeanSpecificHeatOfLiquid (Btu/# F)</t>
  </si>
  <si>
    <t>MeltingPoint (Deg. F.)</t>
  </si>
  <si>
    <t>AveragePouringTemp (Deg. F.)</t>
  </si>
  <si>
    <t>HtContentOfSolidAtMeltingPoint (Btu/#)</t>
  </si>
  <si>
    <t>HtContentOfLiquidAtMeltingTemp (Btu/#)</t>
  </si>
  <si>
    <t>HtContentOfLiquidAtPouringTemp (Btu/#)</t>
  </si>
  <si>
    <t>Exhaust Gases Available Heat or Combustion Efficiency</t>
  </si>
  <si>
    <t>English Units</t>
  </si>
  <si>
    <t xml:space="preserve">Total heat for the water related thermal load (kJ/hr) </t>
  </si>
  <si>
    <t>endothermic/exothermic</t>
  </si>
  <si>
    <t xml:space="preserve">MeanSpecific Heat of liquid (kJ/(kg oC# F) </t>
  </si>
  <si>
    <t>Summary Report of Energy Usage</t>
  </si>
  <si>
    <t>Control Page</t>
  </si>
  <si>
    <t>Return To Control Page</t>
  </si>
  <si>
    <t>Fans for combustion air; exhaust; or other use</t>
  </si>
  <si>
    <t>Flue Gases</t>
  </si>
  <si>
    <t xml:space="preserve">Number of fixture types </t>
  </si>
  <si>
    <t>Total Losses From Wall Surfaces</t>
  </si>
  <si>
    <t>Total Fixture Losses</t>
  </si>
  <si>
    <t>Total Radiation Losses From Openings</t>
  </si>
  <si>
    <t>Cooling Medium</t>
  </si>
  <si>
    <t>Heat required calculations-Air</t>
  </si>
  <si>
    <t>Cooling - Loop 1</t>
  </si>
  <si>
    <t>Heat required calculations-Water</t>
  </si>
  <si>
    <t>Cooling - Loop 2</t>
  </si>
  <si>
    <t>Cooling - Loop 3</t>
  </si>
  <si>
    <t>Cooling - Loop 4</t>
  </si>
  <si>
    <t>Cooling - Loop 5</t>
  </si>
  <si>
    <t>Cooling - Loop 6</t>
  </si>
  <si>
    <t xml:space="preserve">Total Heat loss for cooling </t>
  </si>
  <si>
    <t>From Control Sheet</t>
  </si>
  <si>
    <t>Number of Loops</t>
  </si>
  <si>
    <t xml:space="preserve"> </t>
  </si>
  <si>
    <t>Current</t>
  </si>
  <si>
    <t xml:space="preserve">Modified </t>
  </si>
  <si>
    <t>%</t>
  </si>
  <si>
    <t>kJ/kg</t>
  </si>
  <si>
    <t>kJ/hr</t>
  </si>
  <si>
    <t>Modified</t>
  </si>
  <si>
    <t xml:space="preserve">Losses from the furnace wall surfaces </t>
  </si>
  <si>
    <t xml:space="preserve">Number of wall surfaces </t>
  </si>
  <si>
    <t xml:space="preserve">f(x) = </t>
  </si>
  <si>
    <t xml:space="preserve"> +     92.85714285700499 * x</t>
  </si>
  <si>
    <t xml:space="preserve"> -    57.589285713967165 * x^2</t>
  </si>
  <si>
    <t xml:space="preserve"> +     89.58333333320397 * x</t>
  </si>
  <si>
    <t xml:space="preserve"> +    112.67857142839111 * x</t>
  </si>
  <si>
    <t xml:space="preserve"> +    123.74999999979063 * x</t>
  </si>
  <si>
    <t xml:space="preserve"> +    15.624999999800524 * x^3</t>
  </si>
  <si>
    <t xml:space="preserve"> -     49.99999999970236 * x^2</t>
  </si>
  <si>
    <t xml:space="preserve"> -     70.98214285673158 * x^2</t>
  </si>
  <si>
    <t xml:space="preserve"> -     99.99999999951825 * x^2</t>
  </si>
  <si>
    <t xml:space="preserve"> +    10.416666666480479 * x^3</t>
  </si>
  <si>
    <t xml:space="preserve"> +    15.624999999744734 * x^3</t>
  </si>
  <si>
    <t xml:space="preserve"> +    31.249999999699078 * x^3</t>
  </si>
  <si>
    <t xml:space="preserve"> +     26.84166666841611 * x</t>
  </si>
  <si>
    <t xml:space="preserve"> +     39.39166667187432 * x</t>
  </si>
  <si>
    <t xml:space="preserve"> +    29.458333334781596 * x</t>
  </si>
  <si>
    <t xml:space="preserve"> +     64.56666668066461 * x</t>
  </si>
  <si>
    <t xml:space="preserve"> -     4.354166667853229 * x^2</t>
  </si>
  <si>
    <t xml:space="preserve"> -    11.604166669748727 * x^2</t>
  </si>
  <si>
    <t xml:space="preserve"> -     4.520833334469769 * x^2</t>
  </si>
  <si>
    <t xml:space="preserve"> -    29.916666674500892 * x^2</t>
  </si>
  <si>
    <t xml:space="preserve"> -    0.0833333330461522 * x^3</t>
  </si>
  <si>
    <t xml:space="preserve"> +    1.8541666670689478 * x^3</t>
  </si>
  <si>
    <t xml:space="preserve"> -    0.6874999996066529 * x^3</t>
  </si>
  <si>
    <t xml:space="preserve"> +     7.145833333961459 * x^3</t>
  </si>
  <si>
    <t xml:space="preserve"> +   0.10416666665553202 * x^4</t>
  </si>
  <si>
    <t xml:space="preserve"> -   0.14583333321793268 * x^4</t>
  </si>
  <si>
    <t xml:space="preserve"> +    0.2708333332730645 * x^4</t>
  </si>
  <si>
    <t xml:space="preserve"> -    0.8333333328744414 * x^4</t>
  </si>
  <si>
    <t xml:space="preserve"> -  0.008333333336867471 * x^5</t>
  </si>
  <si>
    <t xml:space="preserve"> +  0.004166666639021022 * x^5</t>
  </si>
  <si>
    <t xml:space="preserve"> -  0.020833333330372142 * x^5</t>
  </si>
  <si>
    <t xml:space="preserve"> +  0.037499999908537356 * x^5</t>
  </si>
  <si>
    <t>Ratio(Dia/Thk.)</t>
  </si>
  <si>
    <t>Cylindrical</t>
  </si>
  <si>
    <t>Square</t>
  </si>
  <si>
    <t>2x1 Rectangular</t>
  </si>
  <si>
    <t>Motor phase</t>
  </si>
  <si>
    <t xml:space="preserve">Power factor (average value) </t>
  </si>
  <si>
    <t xml:space="preserve">from control sheet </t>
  </si>
  <si>
    <t xml:space="preserve">Name or designation of the drive motor </t>
  </si>
  <si>
    <t>kW</t>
  </si>
  <si>
    <t>Motor power (name plate)</t>
  </si>
  <si>
    <t>Pressure (for fans only)</t>
  </si>
  <si>
    <t>Flow (for fans only)</t>
  </si>
  <si>
    <t xml:space="preserve">Supply voltage </t>
  </si>
  <si>
    <t xml:space="preserve">Average current </t>
  </si>
  <si>
    <t>Motor driven system name designation -  (select one form the list below)</t>
  </si>
  <si>
    <t>Electric motor or fan Model</t>
  </si>
  <si>
    <t xml:space="preserve">Current </t>
  </si>
  <si>
    <t>Total</t>
  </si>
  <si>
    <t>Btu/hr</t>
  </si>
  <si>
    <t>ft^2</t>
  </si>
  <si>
    <t>deg. F.</t>
  </si>
  <si>
    <t>Deg. F</t>
  </si>
  <si>
    <t>Btu/hr-ft^2</t>
  </si>
  <si>
    <t xml:space="preserve">Calculations </t>
  </si>
  <si>
    <t>kg/nm^3</t>
  </si>
  <si>
    <t>Calculations - Rectangular</t>
  </si>
  <si>
    <t>A</t>
  </si>
  <si>
    <t>B</t>
  </si>
  <si>
    <t>Temp</t>
  </si>
  <si>
    <t>Xs air correction</t>
  </si>
  <si>
    <t>Av. Heat 1</t>
  </si>
  <si>
    <t xml:space="preserve">Pht. Air correction </t>
  </si>
  <si>
    <t>Cp air</t>
  </si>
  <si>
    <t>Calculations - 3rd Opening</t>
  </si>
  <si>
    <t>Calculations - 4th Opening</t>
  </si>
  <si>
    <t>Calculations - 5th Opening</t>
  </si>
  <si>
    <t>Initial Gas temperature (F)</t>
  </si>
  <si>
    <t>Final Gas temperature (F)</t>
  </si>
  <si>
    <t>Cp</t>
  </si>
  <si>
    <t>Sp. Vol</t>
  </si>
  <si>
    <t>Sp. Wt</t>
  </si>
  <si>
    <t>Sp. Gravity</t>
  </si>
  <si>
    <t>Mean CP</t>
  </si>
  <si>
    <t>Gas</t>
  </si>
  <si>
    <t>Temp (F)</t>
  </si>
  <si>
    <t>Temp ®</t>
  </si>
  <si>
    <t>Btu/(#mole.F)</t>
  </si>
  <si>
    <t>Mol wt</t>
  </si>
  <si>
    <t>Btu/(#F)</t>
  </si>
  <si>
    <t>SCF/#</t>
  </si>
  <si>
    <t>#/SCF</t>
  </si>
  <si>
    <t>wrt Air @stp</t>
  </si>
  <si>
    <t>Btu/SCF</t>
  </si>
  <si>
    <t>Oxygen</t>
  </si>
  <si>
    <t>Nitrogen</t>
  </si>
  <si>
    <t>Carbon Monoxide</t>
  </si>
  <si>
    <t>Hydrogen</t>
  </si>
  <si>
    <t>Water vapor (H2O)</t>
  </si>
  <si>
    <t>Carbon Dioxide</t>
  </si>
  <si>
    <t>Methane - CH4</t>
  </si>
  <si>
    <t>Methane - CH5</t>
  </si>
  <si>
    <t>Ethylene C2H4</t>
  </si>
  <si>
    <t>Ethylene C2H5</t>
  </si>
  <si>
    <t>Ethane C2H6</t>
  </si>
  <si>
    <t>Ethane C2H7</t>
  </si>
  <si>
    <t xml:space="preserve">Source - Gas Engineers Handbook </t>
  </si>
  <si>
    <t xml:space="preserve">For Air at 60 F., 80% Humidity </t>
  </si>
  <si>
    <t xml:space="preserve">Composition of gas mixture </t>
  </si>
  <si>
    <t>% Vol</t>
  </si>
  <si>
    <t>% mass</t>
  </si>
  <si>
    <t>Mean CP Btu/scf</t>
  </si>
  <si>
    <t>Cp-60 F</t>
  </si>
  <si>
    <t>Cp 1000F</t>
  </si>
  <si>
    <t xml:space="preserve">Oxygen </t>
  </si>
  <si>
    <t>Nitrogen &amp; Other</t>
  </si>
  <si>
    <t>Water vapor</t>
  </si>
  <si>
    <t>Mean value</t>
  </si>
  <si>
    <t>cp for air</t>
  </si>
  <si>
    <t>kJ/nm^3 C</t>
  </si>
  <si>
    <t>Btu/SCF-F</t>
  </si>
  <si>
    <t>Cp (Btu/scf -F)</t>
  </si>
  <si>
    <t>Cp (kJ/nm^3-C)</t>
  </si>
  <si>
    <t>Deg C</t>
  </si>
  <si>
    <t>Default</t>
  </si>
  <si>
    <t>Energy use - loss (Current)</t>
  </si>
  <si>
    <t>Energy use - loss (Modified)</t>
  </si>
  <si>
    <t>No</t>
  </si>
  <si>
    <t>Energy use or loss category</t>
  </si>
  <si>
    <t>Summary :</t>
  </si>
  <si>
    <t>English</t>
  </si>
  <si>
    <t>View PHAST Energy Usage Distribution</t>
  </si>
  <si>
    <t>Average surface temperature (measured)</t>
  </si>
  <si>
    <t>Ambient Temperature</t>
  </si>
  <si>
    <t>Total outside surface area</t>
  </si>
  <si>
    <t>Correction factor (based on local conditions)</t>
  </si>
  <si>
    <t>Data - User input</t>
  </si>
  <si>
    <t>Surface name or designation</t>
  </si>
  <si>
    <t>Survey / Initiation  Date:</t>
  </si>
  <si>
    <t>Plant - General Information</t>
  </si>
  <si>
    <t>Company name</t>
  </si>
  <si>
    <t>Plant name</t>
  </si>
  <si>
    <t>Plant address</t>
  </si>
  <si>
    <t>Street</t>
  </si>
  <si>
    <t>Zip or Postal Code</t>
  </si>
  <si>
    <t>Plant description</t>
  </si>
  <si>
    <t>Final product(s)</t>
  </si>
  <si>
    <t>Contact name</t>
  </si>
  <si>
    <t>Address (Street, City, Postal code)</t>
  </si>
  <si>
    <t>Phone number</t>
  </si>
  <si>
    <t>Fax number</t>
  </si>
  <si>
    <t>Email</t>
  </si>
  <si>
    <t>Currency in which costs are given</t>
  </si>
  <si>
    <t>Exchange Rate</t>
  </si>
  <si>
    <t>(Equivalent to US$1)</t>
  </si>
  <si>
    <t>Fuel (Energy Source) Information</t>
  </si>
  <si>
    <t>Fuel/Energy 1</t>
  </si>
  <si>
    <t>Fuel/Energy 2</t>
  </si>
  <si>
    <t>Fuel/Energy 3</t>
  </si>
  <si>
    <t>Fuel/Energy 4</t>
  </si>
  <si>
    <t>Fuel/Energy 5</t>
  </si>
  <si>
    <t>Fuel/Energy 6</t>
  </si>
  <si>
    <t>Name of Fuel/Energy Source used in the plant</t>
  </si>
  <si>
    <t>Heating value in the units stated above</t>
  </si>
  <si>
    <t>Unit for mass or quantity of fuel given below</t>
  </si>
  <si>
    <t>Cost of fuel/energy in the units above</t>
  </si>
  <si>
    <t>Other information if necessary</t>
  </si>
  <si>
    <t>Shape of opening</t>
  </si>
  <si>
    <t>Name or designation of the opening</t>
  </si>
  <si>
    <t>Number of openings of same size and shape</t>
  </si>
  <si>
    <t>Total opening area</t>
  </si>
  <si>
    <t>Average zone or radiation source temp.</t>
  </si>
  <si>
    <t>Wall thickness or opening depth (Thickness)</t>
  </si>
  <si>
    <t>View factor - user defined if known or from chart</t>
  </si>
  <si>
    <t>View factor calculated</t>
  </si>
  <si>
    <t>Ratio X (lowest of height or length/wall thickness)</t>
  </si>
  <si>
    <t>Radiation loss</t>
  </si>
  <si>
    <t>mm</t>
  </si>
  <si>
    <t>Other</t>
  </si>
  <si>
    <t>Volts</t>
  </si>
  <si>
    <t>Amps</t>
  </si>
  <si>
    <t>Total heat loss</t>
  </si>
  <si>
    <t>Note:</t>
  </si>
  <si>
    <t>Equipment  name or designation</t>
  </si>
  <si>
    <t xml:space="preserve">Note: Use positive (+ve) number for heat loss and negative (-ve) number for heat input or generation for the system  </t>
  </si>
  <si>
    <t>Round</t>
  </si>
  <si>
    <t xml:space="preserve">conv. Factor </t>
  </si>
  <si>
    <t>Calcualtions</t>
  </si>
  <si>
    <t xml:space="preserve">Power used </t>
  </si>
  <si>
    <t xml:space="preserve">Type of equipment </t>
  </si>
  <si>
    <t>Drop Down Menu</t>
  </si>
  <si>
    <t xml:space="preserve">Name of the equipment </t>
  </si>
  <si>
    <t xml:space="preserve">Cooling fan </t>
  </si>
  <si>
    <t>1) take the average amps</t>
  </si>
  <si>
    <t>Supply voltage (volts)</t>
  </si>
  <si>
    <t>2) multiply by square root of 3,</t>
  </si>
  <si>
    <t>Average current (amperes)</t>
  </si>
  <si>
    <t>3) multiply by the voltage (460; or whatever -- from the motor's nameplate).</t>
  </si>
  <si>
    <t>4) multiply by the power factor (from the motor's nameplate).  Assume 0.85 if you don't have that data available (or better yet consult the manufacturer's data).</t>
  </si>
  <si>
    <t>% Operating time (as % of cycle time)</t>
  </si>
  <si>
    <t>5) divide by one thousand</t>
  </si>
  <si>
    <t>Power used  (kW)</t>
  </si>
  <si>
    <t xml:space="preserve">Available heat based on higher calorific value of the fuel </t>
  </si>
  <si>
    <t xml:space="preserve">         Developed by E3M Inc. under contract with Oak Ridge National Laboratory</t>
  </si>
  <si>
    <t xml:space="preserve">               Developed by E3M Inc. under contract with Oak Ridge National Laboratory</t>
  </si>
  <si>
    <t>What is PHASTEx?</t>
  </si>
  <si>
    <t>View PHASTEx Summary Report</t>
  </si>
  <si>
    <t>View PHASTEx Energy Usage Distribution</t>
  </si>
  <si>
    <t>PHASTEx (Process Heating Assessment and Survey Tool - Excel)</t>
  </si>
  <si>
    <t>Please enter values in both Current and Modified columns.</t>
  </si>
  <si>
    <r>
      <t xml:space="preserve">MeanSpecific Heat of solid (Btu/lb. </t>
    </r>
    <r>
      <rPr>
        <vertAlign val="superscript"/>
        <sz val="10"/>
        <rFont val="Arial"/>
        <family val="2"/>
      </rPr>
      <t>0</t>
    </r>
    <r>
      <rPr>
        <sz val="10"/>
        <rFont val="Arial"/>
        <family val="2"/>
      </rPr>
      <t xml:space="preserve">F) </t>
    </r>
  </si>
  <si>
    <t>LatentHeatof Fusion Btu/lb.</t>
  </si>
  <si>
    <r>
      <t xml:space="preserve">MeanSpecific Heat Of Liquid (Btu/lb </t>
    </r>
    <r>
      <rPr>
        <vertAlign val="superscript"/>
        <sz val="10"/>
        <rFont val="Arial"/>
        <family val="2"/>
      </rPr>
      <t>0</t>
    </r>
    <r>
      <rPr>
        <sz val="10"/>
        <rFont val="Arial"/>
        <family val="2"/>
      </rPr>
      <t>F)</t>
    </r>
  </si>
  <si>
    <t>Average Pouring Temp (Deg. F)</t>
  </si>
  <si>
    <t xml:space="preserve">HtContentOf Solid At MeltingPoint (Btu/lb.) </t>
  </si>
  <si>
    <t xml:space="preserve">HtContentOf LiquidAt MeltingTemp (Btu/lb.) </t>
  </si>
  <si>
    <t>HtContentOf LiquidAt PouringTemp (Btu/lb.)</t>
  </si>
  <si>
    <t xml:space="preserve">LatentHeatOf Fusion Btu/lb. </t>
  </si>
  <si>
    <t>Boiling Point (Deg. F.)</t>
  </si>
  <si>
    <t>HtContentOf Solid At MeltingPoint  (Btu/lb.)</t>
  </si>
  <si>
    <t>HtContentOf LiquidAt MeltingTemp (Btu/lb.)</t>
  </si>
  <si>
    <t>HtContentOf LiquidAt PouringTemp  (Btu/lb.)</t>
  </si>
  <si>
    <t>Density (lb/cu.ft.)</t>
  </si>
  <si>
    <t>LatentHeatOf Fusion Btu/lb.</t>
  </si>
  <si>
    <t>HtContentOf Solid At MeltingPoint (Btu/lb.)</t>
  </si>
  <si>
    <t xml:space="preserve">MeanSpecific Heat of solid (Btu/lb. 0F) </t>
  </si>
  <si>
    <t>MeanSpecific Heat Of Liquid (Btu/lb 0F)</t>
  </si>
  <si>
    <t>lb/hr</t>
  </si>
  <si>
    <t>Production rate - average value (lb per hour)</t>
  </si>
  <si>
    <t xml:space="preserve">MMBtu/year </t>
  </si>
  <si>
    <t>MMBtu/year</t>
  </si>
  <si>
    <t xml:space="preserve">Btu/hr. </t>
  </si>
  <si>
    <t>Btu/(lb-F)</t>
  </si>
  <si>
    <t>Btu/lb</t>
  </si>
  <si>
    <t>`</t>
  </si>
  <si>
    <t>OTHER LIQUID</t>
  </si>
  <si>
    <t>gal/min</t>
  </si>
  <si>
    <t>(Btu/lb-F)</t>
  </si>
  <si>
    <t>SCFM</t>
  </si>
  <si>
    <t>lb/min</t>
  </si>
  <si>
    <t>(Btu/(lb-F)</t>
  </si>
  <si>
    <t>deg. F</t>
  </si>
  <si>
    <t>lb/ft^3</t>
  </si>
  <si>
    <t>lb/hr.</t>
  </si>
  <si>
    <t>lb/ft^3 or lb/gal</t>
  </si>
  <si>
    <t>ft^3/hr</t>
  </si>
  <si>
    <t>lb/SCF</t>
  </si>
  <si>
    <t>lb/SCF or lb/gal</t>
  </si>
  <si>
    <t>Btu/(SCF- deg. F)</t>
  </si>
  <si>
    <t>SCF/hr</t>
  </si>
  <si>
    <r>
      <t>Btu/ft</t>
    </r>
    <r>
      <rPr>
        <b/>
        <vertAlign val="superscript"/>
        <sz val="11"/>
        <color indexed="30"/>
        <rFont val="Arial"/>
        <family val="2"/>
      </rPr>
      <t>3</t>
    </r>
  </si>
  <si>
    <t>Psi</t>
  </si>
  <si>
    <r>
      <t>ft</t>
    </r>
    <r>
      <rPr>
        <vertAlign val="superscript"/>
        <sz val="11"/>
        <rFont val="Arial"/>
        <family val="2"/>
      </rPr>
      <t>2</t>
    </r>
  </si>
  <si>
    <t>ft2</t>
  </si>
  <si>
    <r>
      <t>Combustion air temperature (</t>
    </r>
    <r>
      <rPr>
        <vertAlign val="superscript"/>
        <sz val="10"/>
        <rFont val="Arial"/>
        <family val="2"/>
      </rPr>
      <t>o</t>
    </r>
    <r>
      <rPr>
        <sz val="10"/>
        <rFont val="Arial"/>
        <family val="2"/>
      </rPr>
      <t>F)</t>
    </r>
  </si>
  <si>
    <r>
      <t>Flue gas temperature (</t>
    </r>
    <r>
      <rPr>
        <vertAlign val="superscript"/>
        <sz val="10"/>
        <rFont val="Arial"/>
        <family val="2"/>
      </rPr>
      <t>o</t>
    </r>
    <r>
      <rPr>
        <sz val="10"/>
        <rFont val="Arial"/>
        <family val="2"/>
      </rPr>
      <t>F)</t>
    </r>
  </si>
  <si>
    <r>
      <t>Fuel temperature (</t>
    </r>
    <r>
      <rPr>
        <vertAlign val="superscript"/>
        <sz val="10"/>
        <rFont val="Arial"/>
        <family val="2"/>
      </rPr>
      <t>0</t>
    </r>
    <r>
      <rPr>
        <sz val="10"/>
        <rFont val="Arial"/>
        <family val="2"/>
      </rPr>
      <t>F)</t>
    </r>
  </si>
  <si>
    <r>
      <t>Ash discharge temperature (</t>
    </r>
    <r>
      <rPr>
        <vertAlign val="superscript"/>
        <sz val="10"/>
        <rFont val="Arial"/>
        <family val="2"/>
      </rPr>
      <t>o</t>
    </r>
    <r>
      <rPr>
        <sz val="10"/>
        <rFont val="Arial"/>
        <family val="2"/>
      </rPr>
      <t>F)</t>
    </r>
  </si>
  <si>
    <r>
      <t>ft</t>
    </r>
    <r>
      <rPr>
        <b/>
        <vertAlign val="superscript"/>
        <sz val="11"/>
        <color indexed="30"/>
        <rFont val="Arial"/>
        <family val="2"/>
      </rPr>
      <t>3</t>
    </r>
    <r>
      <rPr>
        <b/>
        <sz val="11"/>
        <color indexed="30"/>
        <rFont val="Arial"/>
        <family val="2"/>
      </rPr>
      <t xml:space="preserve"> air/m</t>
    </r>
    <r>
      <rPr>
        <b/>
        <vertAlign val="superscript"/>
        <sz val="11"/>
        <color indexed="30"/>
        <rFont val="Arial"/>
        <family val="2"/>
      </rPr>
      <t>3</t>
    </r>
    <r>
      <rPr>
        <b/>
        <sz val="11"/>
        <color indexed="30"/>
        <rFont val="Arial"/>
        <family val="2"/>
      </rPr>
      <t xml:space="preserve"> fuel gas</t>
    </r>
  </si>
  <si>
    <t>Btu/hour</t>
  </si>
  <si>
    <t>Natural Gas - East Ohio</t>
  </si>
  <si>
    <t>Weight of water for charged wet material (Btu/hr)</t>
  </si>
  <si>
    <t>Weight of solid dry material as charged  (Btu/hr)</t>
  </si>
  <si>
    <t>Weight of water for discharged wet material  (Btu/hr)</t>
  </si>
  <si>
    <t>Total weight of wet material at discharge  (Btu/hr)</t>
  </si>
  <si>
    <t xml:space="preserve">Sp. Heat of water (avg. value) Btu/(lb. F.) </t>
  </si>
  <si>
    <t>Heat of evaporation  (Btu/lb) for water</t>
  </si>
  <si>
    <t xml:space="preserve">Sp. Heat of water vapor or steam at atm. Pressure (avg. value) Btu/(lb. F.) </t>
  </si>
  <si>
    <t>Heating all water to boiling point (Btu/hr)</t>
  </si>
  <si>
    <t>Heat required for vaporization for water removed (Btu/hr)</t>
  </si>
  <si>
    <t>Heat for vapor superheat (to product final temp.) (Btu/hr)</t>
  </si>
  <si>
    <t>Heat required to bring retained water to water discharge temp. (Btu/hr)</t>
  </si>
  <si>
    <t>Heat required for solid material up to melting point  (Btu/hr)</t>
  </si>
  <si>
    <t>Heat required for melting  (Btu/hr)</t>
  </si>
  <si>
    <t>Heat required for superheating molten material (Btu/hr)</t>
  </si>
  <si>
    <t>Heat required for heating unmelted solid material(Btu/hr)</t>
  </si>
  <si>
    <t>Heat for reaction during heating  (Btu/hr)</t>
  </si>
  <si>
    <t>Heat required for solid-dry material (Btu/hr)</t>
  </si>
  <si>
    <t>Total heat required for charge material  (Btu/hr)</t>
  </si>
  <si>
    <t>Heat required for cooling the molten material  (Btu/hr)</t>
  </si>
  <si>
    <t>Heat required for cooling the remaining solid material (Btu/hr)</t>
  </si>
  <si>
    <t>lb./hr</t>
  </si>
  <si>
    <t>lb./hr.</t>
  </si>
  <si>
    <t>Btu/hr.</t>
  </si>
  <si>
    <t xml:space="preserve">Density of air at NTP (32 F, 1 atm.) </t>
  </si>
  <si>
    <t xml:space="preserve">Specific heat of air </t>
  </si>
  <si>
    <t>Btu/(#-F)</t>
  </si>
  <si>
    <t xml:space="preserve">Temp (F) </t>
  </si>
  <si>
    <t xml:space="preserve">Cp </t>
  </si>
  <si>
    <t>Temp - R</t>
  </si>
  <si>
    <t>Cpn2</t>
  </si>
  <si>
    <t>Cpo2</t>
  </si>
  <si>
    <t>Cpair</t>
  </si>
  <si>
    <t>Cp calculated</t>
  </si>
  <si>
    <t>Error</t>
  </si>
  <si>
    <t>Temp F</t>
  </si>
  <si>
    <t>Btu/(lb.F.)</t>
  </si>
  <si>
    <t>lb/scf</t>
  </si>
  <si>
    <t>Density of AIR @32 DEG. F</t>
  </si>
  <si>
    <t xml:space="preserve">This is constant at normal ambient temperature </t>
  </si>
  <si>
    <t xml:space="preserve">Density of air at NTP (32 C, 1 atm.) </t>
  </si>
  <si>
    <t>Flow rate of water  (GPM)</t>
  </si>
  <si>
    <t xml:space="preserve">Density of Gas or Liquid NTP (32 F, 1 atm.) </t>
  </si>
  <si>
    <t xml:space="preserve">Density of air at NTP (032 F, 1 atm.) </t>
  </si>
  <si>
    <t xml:space="preserve">Density of Gas or Liquid NTP (32 C, 1 atm) </t>
  </si>
  <si>
    <t>Flow rate of water  (gallons/min)</t>
  </si>
  <si>
    <t xml:space="preserve">Density of air at NTP (32 F, 1atm) </t>
  </si>
  <si>
    <t>Rectangular</t>
  </si>
  <si>
    <t>Wind velocity</t>
  </si>
  <si>
    <t>miles/hr.</t>
  </si>
  <si>
    <t xml:space="preserve">Values of C </t>
  </si>
  <si>
    <t xml:space="preserve">Surface description </t>
  </si>
  <si>
    <t>Horizontal cylinders</t>
  </si>
  <si>
    <t>Longer vertical cylinders</t>
  </si>
  <si>
    <t>Vertical plates</t>
  </si>
  <si>
    <t>Horizontal plate facing up, warmer than air</t>
  </si>
  <si>
    <t>Horizontal plate facing down, warmer than air</t>
  </si>
  <si>
    <t>Horizontal plate facing up, cooler than air</t>
  </si>
  <si>
    <t>Horizontal plate facing down, cooler than air</t>
  </si>
  <si>
    <t>mph</t>
  </si>
  <si>
    <r>
      <t>Moisture in air combustion lb H</t>
    </r>
    <r>
      <rPr>
        <vertAlign val="subscript"/>
        <sz val="10"/>
        <rFont val="Arial"/>
        <family val="2"/>
      </rPr>
      <t>2</t>
    </r>
    <r>
      <rPr>
        <sz val="10"/>
        <rFont val="Arial"/>
        <family val="2"/>
      </rPr>
      <t xml:space="preserve">O/lb of dry air  * </t>
    </r>
  </si>
  <si>
    <t xml:space="preserve">Table - Surface shape/orientation factor </t>
  </si>
  <si>
    <t xml:space="preserve">Value of X axis </t>
  </si>
  <si>
    <t>Inch</t>
  </si>
  <si>
    <r>
      <t xml:space="preserve">View factor - user defined if known or </t>
    </r>
    <r>
      <rPr>
        <u/>
        <sz val="11"/>
        <rFont val="Arial"/>
        <family val="2"/>
      </rPr>
      <t>from chart</t>
    </r>
  </si>
  <si>
    <t xml:space="preserve">View factor </t>
  </si>
  <si>
    <t>Thickness (Inch)</t>
  </si>
  <si>
    <t>Diameter (Inch)</t>
  </si>
  <si>
    <t>Opening length (Inch)</t>
  </si>
  <si>
    <t xml:space="preserve">Opening width (Inch) </t>
  </si>
  <si>
    <t>For Rectangular Opening</t>
  </si>
  <si>
    <t>For Cylindrical Opening</t>
  </si>
  <si>
    <t>Inch W.C.</t>
  </si>
  <si>
    <t>Total energy loss MM Btu/year</t>
  </si>
  <si>
    <t>Heat loss in hot gases Btu/hour</t>
  </si>
  <si>
    <t xml:space="preserve">Heat Loss * </t>
  </si>
  <si>
    <t>Heat Loss *</t>
  </si>
  <si>
    <t>* Based on assumptions: Wind velocity: 5 miles/hr., surface shape/orientation factor: 1.0.  For other conditions use "Wall Loss" section.</t>
  </si>
  <si>
    <t xml:space="preserve">Average temperature (F) </t>
  </si>
  <si>
    <t xml:space="preserve">Cpm air </t>
  </si>
  <si>
    <t>cpm</t>
  </si>
  <si>
    <t xml:space="preserve">Cpm </t>
  </si>
  <si>
    <t>Cpsv</t>
  </si>
  <si>
    <t>Cpm</t>
  </si>
  <si>
    <t>Mass specific heat Btu/(lb. F)</t>
  </si>
  <si>
    <t>cpsv</t>
  </si>
  <si>
    <t>Standard volume specific heat Btu/(scf. F)</t>
  </si>
  <si>
    <t xml:space="preserve">Plant General Information </t>
  </si>
  <si>
    <t>PHASTEx_- US Units For Excel v1.01.xls</t>
  </si>
  <si>
    <t xml:space="preserve">Correction factor </t>
  </si>
  <si>
    <t xml:space="preserve">Average Specific Heat </t>
  </si>
  <si>
    <t>Total Heat For All Charge Material (Btu/hr)</t>
  </si>
  <si>
    <t xml:space="preserve">Total Heat For All Charge Material (Btu/hr) </t>
  </si>
  <si>
    <t>Surface shape/orientation (select using dropdown menu)</t>
  </si>
  <si>
    <t xml:space="preserve">Surface shape/orientation factor </t>
  </si>
  <si>
    <t xml:space="preserve">Heat loss </t>
  </si>
  <si>
    <t xml:space="preserve">Btu/hr </t>
  </si>
  <si>
    <t>Water - 150 psig</t>
  </si>
  <si>
    <t>Steam - 50 psig, 400 degree F</t>
  </si>
  <si>
    <t>Steam - 150 psig, 500 degree F</t>
  </si>
  <si>
    <t xml:space="preserve">Steam - 600 psig, 700 degree F </t>
  </si>
  <si>
    <t>Charge (wet)-Feed Rate (lbs./hr)</t>
  </si>
  <si>
    <t>Initial Temp. (Deg. F.)</t>
  </si>
  <si>
    <t>Water Discharge Temp. (Deg. F.)</t>
  </si>
  <si>
    <t>Charge material discharge Temp. (Deg. F.)</t>
  </si>
  <si>
    <t>Heat of Reaction (Btu/lb.)</t>
  </si>
  <si>
    <t>Additional Heat Required (Btu/lb.)</t>
  </si>
  <si>
    <t>Heat Required (Btu/lb.)</t>
  </si>
  <si>
    <t>Possible energy saving measues to consider</t>
  </si>
  <si>
    <t>Charge - load material</t>
  </si>
  <si>
    <t xml:space="preserve">Explore possibilities of lowering the final product temperature  </t>
  </si>
  <si>
    <t>Preheating the charge or load material entering the furnace.</t>
  </si>
  <si>
    <t>Pre-drying to reduce moisture content of the load entering the furnace</t>
  </si>
  <si>
    <t>Maintain charge feed rate as close to the rated capacity as possible.</t>
  </si>
  <si>
    <t>Consider possibility of reducing endothermic reactions by controlling process conditions.</t>
  </si>
  <si>
    <t>Note: These energy saving measures are for guidance only.  Not all measures are applicable under all operating conditions.  There may additional measures when considering specific situations and the user is encouraged to review and apply the appropriate measures.</t>
  </si>
  <si>
    <t>Charge (Liquid)-Feed Rate (lbs./hr)</t>
  </si>
  <si>
    <t>Discharge Temp. (Deg. F.)</t>
  </si>
  <si>
    <t>Additional Heat Required (Btu/hr)</t>
  </si>
  <si>
    <t>Heat Required (Btu/hr.)</t>
  </si>
  <si>
    <t xml:space="preserve">Explore possibilites of lowering the final product temperature  </t>
  </si>
  <si>
    <t>Specific heat of vapor generated from the liquid</t>
  </si>
  <si>
    <t>Feed Rate for Gas Mixture (lbs./hr)</t>
  </si>
  <si>
    <t>Specific Heat of Vapor (Btu/(lb.-F))</t>
  </si>
  <si>
    <t>Fixture Weight (lbs/hr)</t>
  </si>
  <si>
    <t>Final Temp. (Deg. F.)</t>
  </si>
  <si>
    <t>Fixtures</t>
  </si>
  <si>
    <t xml:space="preserve">Review design of fixtures or baskets or other material handling to reduce weight </t>
  </si>
  <si>
    <t>Investigate alternate high strength material to reduce weight of the fixtures etc.</t>
  </si>
  <si>
    <t xml:space="preserve">Where possible reduce cooling of conveyors, belts, fixtures baskets etc. during their return from unloading to loading station. </t>
  </si>
  <si>
    <t>Flow Rate (scf/hr)*</t>
  </si>
  <si>
    <t>Heat Required ((Btu/hr)</t>
  </si>
  <si>
    <t>*scf = standard cubic feet</t>
  </si>
  <si>
    <t xml:space="preserve">Optimize (minimize) use of process atmosphere flow rate </t>
  </si>
  <si>
    <t>Preheat atmosphere to a higher temperature entering the furnace</t>
  </si>
  <si>
    <t>Air or Gas Flow (scf/min)*</t>
  </si>
  <si>
    <t>Water or Liquid Flow (US gallons/min)</t>
  </si>
  <si>
    <t>In Temp. (Deg. F.)</t>
  </si>
  <si>
    <t>Out Temp. (Deg. F.)</t>
  </si>
  <si>
    <t>Water/Air cooling</t>
  </si>
  <si>
    <t>Insulate water or air cooled parts where possible</t>
  </si>
  <si>
    <t xml:space="preserve">Look for cracks, breaks and erosion of insulation.  Repair and maintain furnace insulation.   </t>
  </si>
  <si>
    <t>Reduce or eliminate use of water cooled components by using high temperature materials for the components where possible.</t>
  </si>
  <si>
    <t>Average Surface Temp. (Deg. F.)</t>
  </si>
  <si>
    <t>Ambient Temp. (Deg. F.)</t>
  </si>
  <si>
    <t>Wind velocity (miles/hr.)</t>
  </si>
  <si>
    <t>This is average wind velocity over the entire surface.  For most indoor installation this can be assumed to be zero.  For outdoor installations it is necessary to measure wind velocity or use available data from other sources such as weather report.</t>
  </si>
  <si>
    <t>Outside surface Area (ft^2)</t>
  </si>
  <si>
    <t>Wall losses</t>
  </si>
  <si>
    <t xml:space="preserve">Use proper insulation and thickness to reduce furnace casing or surface temperature while rebuilding the furnace.  </t>
  </si>
  <si>
    <t>Consider use of low weight, fiber insulation when appropriate.</t>
  </si>
  <si>
    <t xml:space="preserve">Account for process atmosphere composition (i.e. presence of hydrogen) in the furnace. Select the insulation to provide barrier to gas penetration in the insulation voids. </t>
  </si>
  <si>
    <t>Reduce or eliminate external wall cooling if used.</t>
  </si>
  <si>
    <t>Total Opening Area (ft^2)</t>
  </si>
  <si>
    <t>Average zone or radiation source (Inside) Temp. (Deg. F.)</t>
  </si>
  <si>
    <t>Ambient (or outside) Temp. (Deg. F.)</t>
  </si>
  <si>
    <t>Furnace Wall Thickness or opening depth (inch)</t>
  </si>
  <si>
    <t>Length of Openings (inch)</t>
  </si>
  <si>
    <t>Diameter of Openings (inch)</t>
  </si>
  <si>
    <t>Height of Openings (inch)</t>
  </si>
  <si>
    <t>Fixed Opening Losses ((Btu/hr.)</t>
  </si>
  <si>
    <t>Fixed Opening Losses (Btu/hr.)</t>
  </si>
  <si>
    <t>Variable Opening Losses ((Btu/hr.)</t>
  </si>
  <si>
    <t>Variable Opening Losses (Btu/hr.)</t>
  </si>
  <si>
    <t>Radiation loss (Btu/hr.)</t>
  </si>
  <si>
    <t>Opening losses</t>
  </si>
  <si>
    <t>Use and maintain proper seals to eliminate or reduce size of openings. Repair and maintain the seals.</t>
  </si>
  <si>
    <t>Watch for proper closing and seals for doors, openings at moving or rotating parts such as rolls, conveyors, rotary kilns etc.   Provide and maintain seals.</t>
  </si>
  <si>
    <t>Consider use of "radiation shields" or sight glasses with covers to reduce radiation heat losses.</t>
  </si>
  <si>
    <t>Approx. Area (ft^2)</t>
  </si>
  <si>
    <t>Average Temp. (Deg. F.)</t>
  </si>
  <si>
    <t>Other - Additional Losses (Btu/hr.)</t>
  </si>
  <si>
    <t xml:space="preserve">Hot Gas Leakage (Exfiltration) </t>
  </si>
  <si>
    <r>
      <t>Hot Flue Gases Leakage Heat Loss from Oven or Furnace</t>
    </r>
    <r>
      <rPr>
        <sz val="10"/>
        <rFont val="Arial"/>
        <family val="2"/>
      </rPr>
      <t xml:space="preserve"> (Select "Yes" or "No")</t>
    </r>
  </si>
  <si>
    <t>Furnace draft (+  positive. pressure)  - (inch w.c.)*</t>
  </si>
  <si>
    <t xml:space="preserve">Furnace pressure measured at the level of the opening.  It is measured by using an inclined tube manometer or a digital gage.  Units of measurement is in terms of inch water column.  Hot gases leak out when the pressure is positive.  Cold air leaks into the furnace when pressure is negative. </t>
  </si>
  <si>
    <t>Opening area (ft^2)</t>
  </si>
  <si>
    <t xml:space="preserve">This is value of open area from where hot gases are leaking out.  </t>
  </si>
  <si>
    <t>Temperature of gases leaking from the furnace (Deg. F.)</t>
  </si>
  <si>
    <t xml:space="preserve">Temperature of gases leaking out of the opening.  In most cases it is safe and accurate enough to measure and use furnace (or zone) temperature for this value. </t>
  </si>
  <si>
    <t xml:space="preserve">Specific density of flue gases (relative to air =1.0) </t>
  </si>
  <si>
    <t xml:space="preserve">Specific density of gases at standard temperature - pressure (STP) measured relative to air using air specific density as 1.0 which translates as 0.0763 lb./scf. </t>
  </si>
  <si>
    <t>Ambient temperature (Deg. F.)</t>
  </si>
  <si>
    <t xml:space="preserve">Ambient temperature at the location where opening is present.  Normally this is room temperature in the area where furnace is located. </t>
  </si>
  <si>
    <t xml:space="preserve">Hot flue gas leakage heat loss (Btu/hr.) </t>
  </si>
  <si>
    <t xml:space="preserve">Heat content of hot gases leaking out of the furnace calculated in terms of Btu/hr. </t>
  </si>
  <si>
    <t>* w.c. Water column</t>
  </si>
  <si>
    <t xml:space="preserve">Eliminate, reduce or insulate hot parts (such as rolls, shafts, sticking, support components) that are sticking out of the furnace.  </t>
  </si>
  <si>
    <t xml:space="preserve">Eliminate or reduce size of the openings.  Use appropriate cover or shield for the openings. </t>
  </si>
  <si>
    <t xml:space="preserve">Control/maintain furnace pressure as close to zero as possible. Avoid excessive positive pressure or presence of openings to reduce or eliminate cold air leakage into the furnace or hot gas leaks from the furnace. </t>
  </si>
  <si>
    <t>Furnace Flue Gas Temp. (Deg. F.)</t>
  </si>
  <si>
    <r>
      <t>Measure flue gas temperature by using "proper" temperature probe. Type of temperature probe depends on flue gas temperature and composition at the point of measurement. In most cases a commercially available thermocouple probe is used. Click on "Look Up" button to get information on proper location of a temperature probe. If actual measurement is not possible then use the furnace zone temperature plus 25</t>
    </r>
    <r>
      <rPr>
        <vertAlign val="superscript"/>
        <sz val="10"/>
        <color indexed="8"/>
        <rFont val="Arial"/>
        <family val="2"/>
      </rPr>
      <t>0</t>
    </r>
    <r>
      <rPr>
        <sz val="10"/>
        <color indexed="8"/>
        <rFont val="Arial"/>
        <family val="2"/>
      </rPr>
      <t xml:space="preserve"> C. to 50</t>
    </r>
    <r>
      <rPr>
        <vertAlign val="superscript"/>
        <sz val="10"/>
        <color indexed="8"/>
        <rFont val="Arial"/>
        <family val="2"/>
      </rPr>
      <t>0</t>
    </r>
    <r>
      <rPr>
        <sz val="10"/>
        <color indexed="8"/>
        <rFont val="Arial"/>
        <family val="2"/>
      </rPr>
      <t xml:space="preserve"> C F as approximate value for flue gas temperature.</t>
    </r>
  </si>
  <si>
    <t>Combustion Air Temp. (Deg. F.)</t>
  </si>
  <si>
    <t>Available Heat Calculations</t>
  </si>
  <si>
    <t>For user defined available heat calculation)</t>
  </si>
  <si>
    <t xml:space="preserve">Fuel selection </t>
  </si>
  <si>
    <t xml:space="preserve">Use the fuel name and select type of fuel. Two options are available: gaseous fuel and solid/liquid fuel.  </t>
  </si>
  <si>
    <t xml:space="preserve">Use volumetric analysis for gaseous fuels or analysis by mass for solid and liquid fuels. </t>
  </si>
  <si>
    <t>Composition by mass or ultimate analysis</t>
  </si>
  <si>
    <t xml:space="preserve">Required information for two categories of fuels is listed below. </t>
  </si>
  <si>
    <t xml:space="preserve">These values can be obtained from the on-site lab analysis or by the fuel supplier.  For approximation it is possible to use "handbook" values for standard fuels such as different types of coals, fuel oils or biomass fuels. </t>
  </si>
  <si>
    <t>Gas composition - Volumetric Analysis</t>
  </si>
  <si>
    <t xml:space="preserve">These values can be obtained from the on-site lab analysis or by the fuel supplier.  For approximation it is possible to use "handbook" values for standard fuels such as natural gas, heavy hydrocarbons, manufactured gases or process by product fuels such as blast furnace gas, coke oven gas or refinery gas. different types of coals, fuel oils or biomass fuels. </t>
  </si>
  <si>
    <t>Fuel temperature  (Deg. F.)</t>
  </si>
  <si>
    <t xml:space="preserve">This can be measured.  In most cases fuel is supplied at near ambient temperature however in some cases it can be at a higher temperature when it is preheated. </t>
  </si>
  <si>
    <t>Combustion air temperature  (Deg. F.)</t>
  </si>
  <si>
    <t xml:space="preserve">This data is transferred from flue gas data and/or calculations carried out previously.  No need to enter this data. </t>
  </si>
  <si>
    <t>Flue gas temperature  (Deg. F.)</t>
  </si>
  <si>
    <t>Excess air used for combustion (%)</t>
  </si>
  <si>
    <t>Flue Gas Losses</t>
  </si>
  <si>
    <t xml:space="preserve">Maintain appropriate level of oxygen in flue gases by controlling air-fuel ratio for the burners. </t>
  </si>
  <si>
    <t>Maintain and control burner operations to eliminate formation of soot or combustible gases such as carbon monoxide and hydrogen in flue gases.</t>
  </si>
  <si>
    <t>Eliminate or reduce air leakage in the furnace. See "Opening Losses" section.</t>
  </si>
  <si>
    <t xml:space="preserve">Consider use of heat recovery from flue gases.  Consider use of various methods of heat recovery to reduce flue gas temperature leaving the heating system. </t>
  </si>
  <si>
    <t xml:space="preserve">Use preheated combustion air through use of recuperators or regenerators. </t>
  </si>
  <si>
    <t xml:space="preserve">Where appropriate, consider use of oxygen enrichment of combustion air to reduce mass of flue gases. </t>
  </si>
  <si>
    <t xml:space="preserve">Review process temperature settings and lower it where possible during part-load operations.  This can reduce flue gas temperature leaving the heating system. </t>
  </si>
  <si>
    <t>Pressure (for fans only) - psig</t>
  </si>
  <si>
    <t>Flow (for fans only) - (scfm)</t>
  </si>
  <si>
    <t xml:space="preserve">Supply voltage (Volts) </t>
  </si>
  <si>
    <t>Average current (Amps)</t>
  </si>
  <si>
    <t>Other power use (kW)</t>
  </si>
  <si>
    <t>Total power use (kW)</t>
  </si>
  <si>
    <t>Use variable speed drive where possible</t>
  </si>
  <si>
    <t>Improve power factor</t>
  </si>
  <si>
    <t xml:space="preserve">Reduce motor load through assessment of use of utilities (water, compressed air, hydraulics etc.) to eliminate waste and reduce usage where possible. </t>
  </si>
  <si>
    <t>Consider alternate drive system where possible</t>
  </si>
  <si>
    <r>
      <t xml:space="preserve">MeanSpecific Heat Of Vapor (Btu/(lb. </t>
    </r>
    <r>
      <rPr>
        <vertAlign val="superscript"/>
        <sz val="11"/>
        <rFont val="Arial"/>
        <family val="2"/>
      </rPr>
      <t>0</t>
    </r>
    <r>
      <rPr>
        <sz val="11"/>
        <rFont val="Arial"/>
        <family val="2"/>
      </rPr>
      <t xml:space="preserve">F)  </t>
    </r>
  </si>
  <si>
    <t>Name of the Material (Choose from List) or "Other" if not on list then Enter Thermal Properties In Boxes</t>
  </si>
  <si>
    <r>
      <t>MeanSpecific Heat of Gas (Btu/lb.</t>
    </r>
    <r>
      <rPr>
        <vertAlign val="superscript"/>
        <sz val="11"/>
        <rFont val="Arial"/>
        <family val="2"/>
      </rPr>
      <t>0</t>
    </r>
    <r>
      <rPr>
        <sz val="11"/>
        <rFont val="Arial"/>
        <family val="2"/>
      </rPr>
      <t xml:space="preserve">F) </t>
    </r>
  </si>
  <si>
    <r>
      <t>MeanSpecific Heat Of Vapor (Btu/lb.</t>
    </r>
    <r>
      <rPr>
        <vertAlign val="superscript"/>
        <sz val="11"/>
        <rFont val="Arial"/>
        <family val="2"/>
      </rPr>
      <t>0</t>
    </r>
    <r>
      <rPr>
        <sz val="11"/>
        <rFont val="Arial"/>
        <family val="2"/>
      </rPr>
      <t xml:space="preserve">F) </t>
    </r>
  </si>
  <si>
    <t>Name of the Material (Choose from List) or "Other" if not on list then Enter Material  Name and Thermal Properties In Boxes</t>
  </si>
  <si>
    <t>AIR</t>
  </si>
  <si>
    <t>(from control sheet)</t>
  </si>
  <si>
    <t>(from Control Sheet)</t>
  </si>
  <si>
    <t/>
  </si>
  <si>
    <t>Furnace draft (+ or - ve. pressure) inch. W.C.</t>
  </si>
  <si>
    <r>
      <t>Moisture in air combustion (lb. H</t>
    </r>
    <r>
      <rPr>
        <vertAlign val="subscript"/>
        <sz val="11"/>
        <rFont val="Arial"/>
        <family val="2"/>
      </rPr>
      <t>2</t>
    </r>
    <r>
      <rPr>
        <sz val="11"/>
        <rFont val="Arial"/>
        <family val="2"/>
      </rPr>
      <t>O/lb. of dry air *)</t>
    </r>
  </si>
  <si>
    <t>Energy Intensity for Charge Materials</t>
  </si>
  <si>
    <t>Required Fuel Energy Input</t>
  </si>
  <si>
    <t>Required Electrical Energy Input</t>
  </si>
  <si>
    <t xml:space="preserve">Electricity Used (average value) </t>
  </si>
  <si>
    <t>Energy Input from Fuel</t>
  </si>
  <si>
    <t xml:space="preserve">Energy Intensity for Charge Materials </t>
  </si>
  <si>
    <t>Developed by E3M Inc. under contract with Oak Ridge National Laboratory</t>
  </si>
  <si>
    <t>Heat Loss/Use</t>
  </si>
  <si>
    <t xml:space="preserve">Enter Matl Here </t>
  </si>
  <si>
    <t>Unlock</t>
  </si>
  <si>
    <r>
      <t>Btu/ft</t>
    </r>
    <r>
      <rPr>
        <vertAlign val="superscript"/>
        <sz val="11"/>
        <rFont val="Arial"/>
        <family val="2"/>
      </rPr>
      <t>3</t>
    </r>
  </si>
  <si>
    <r>
      <t>kcal/m</t>
    </r>
    <r>
      <rPr>
        <vertAlign val="superscript"/>
        <sz val="11"/>
        <rFont val="Arial"/>
        <family val="2"/>
      </rPr>
      <t>3</t>
    </r>
  </si>
  <si>
    <r>
      <t>ft</t>
    </r>
    <r>
      <rPr>
        <vertAlign val="superscript"/>
        <sz val="11"/>
        <rFont val="Arial"/>
        <family val="2"/>
      </rPr>
      <t>3</t>
    </r>
    <r>
      <rPr>
        <sz val="11"/>
        <rFont val="Arial"/>
        <family val="2"/>
      </rPr>
      <t xml:space="preserve"> air/ft</t>
    </r>
    <r>
      <rPr>
        <vertAlign val="superscript"/>
        <sz val="11"/>
        <rFont val="Arial"/>
        <family val="2"/>
      </rPr>
      <t>3</t>
    </r>
    <r>
      <rPr>
        <sz val="11"/>
        <rFont val="Arial"/>
        <family val="2"/>
      </rPr>
      <t xml:space="preserve"> fuel gas</t>
    </r>
  </si>
  <si>
    <t>0.248</t>
  </si>
  <si>
    <t>Water - std. atms. pressure</t>
  </si>
  <si>
    <t>0.15</t>
  </si>
  <si>
    <t>Alloy</t>
  </si>
  <si>
    <t>% XS Air</t>
  </si>
  <si>
    <t>kgce</t>
  </si>
  <si>
    <t>kcal</t>
  </si>
  <si>
    <t>Calculated</t>
  </si>
  <si>
    <t>City / State</t>
  </si>
  <si>
    <t>Unit for Heating Value</t>
  </si>
  <si>
    <t>Type (Fuel or Electricity)</t>
  </si>
  <si>
    <t>Coal</t>
  </si>
  <si>
    <t>User Defined</t>
  </si>
  <si>
    <t xml:space="preserve">PHASTEx - U.S. Units Version </t>
  </si>
  <si>
    <t xml:space="preserve">% Open time  </t>
  </si>
  <si>
    <t>Surface emissivity of the heat source (Typical - 0.9)</t>
  </si>
  <si>
    <t>Estimated Values</t>
  </si>
  <si>
    <t>Electricity Used (average value)</t>
  </si>
  <si>
    <t>Power Conversion</t>
  </si>
  <si>
    <t>HP</t>
  </si>
  <si>
    <t>Surface emissivity (Typical - 0.9)</t>
  </si>
  <si>
    <t>Emissivity of the source  (Typical - 0.9)</t>
  </si>
  <si>
    <t>Power factor (average value)  (Typical - 0.85)</t>
  </si>
  <si>
    <t>% Operating time (as % of total time) (Typical - 100%)</t>
  </si>
  <si>
    <t xml:space="preserve">**PHASTEx tool and its predecessor tool (PHAST) were conceived by Dr. Arvind Thekdi and developed by E3M Inc. in collaboration with Oak Ridge National Laboratory (ORNL).  Dr. Sachin Nimbalkar and Mr. Kiran Thirumaran of Oak Ridge National Laboratory (ORNL) and Dr. Jing Ke of Lawrence Berkeley National Laboratory (Berkeley Lab) contributed to the development work.  The project was supported by Advanced Manufacturing, Energy Efficiency and Renewable Energy Office of The U.S. Department of Energy.  The tool was tested by a team of experts from the ORNL and representatives from the US industrial companies.   </t>
  </si>
  <si>
    <t>Percent</t>
  </si>
  <si>
    <t xml:space="preserve">ENERGY SAVINGS (REDUCTION IN HEAT INPUT) RESULTING FROM THE MODIFICATIONS </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</si>
</sst>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1" formatCode="_(* #,##0_);_(* \(#,##0\);_(* &quot;-&quot;_);_(@_)"/>
    <numFmt numFmtId="44" formatCode="_(&quot;$&quot;* #,##0.00_);_(&quot;$&quot;* \(#,##0.00\);_(&quot;$&quot;* &quot;-&quot;??_);_(@_)"/>
    <numFmt numFmtId="43" formatCode="_(* #,##0.00_);_(* \(#,##0.00\);_(* &quot;-&quot;??_);_(@_)"/>
    <numFmt numFmtId="164" formatCode="#,##0.0"/>
    <numFmt numFmtId="165" formatCode="0.00000"/>
    <numFmt numFmtId="166" formatCode="0.000"/>
    <numFmt numFmtId="167" formatCode="_(* #,##0.0_);_(* \(#,##0.0\);_(* &quot;-&quot;??_);_(@_)"/>
    <numFmt numFmtId="168" formatCode="_(* #,##0_);_(* \(#,##0\);_(* &quot;-&quot;??_);_(@_)"/>
    <numFmt numFmtId="169" formatCode="#,##0.000"/>
    <numFmt numFmtId="170" formatCode="0.0"/>
    <numFmt numFmtId="171" formatCode="0.0%"/>
    <numFmt numFmtId="172" formatCode="_(* #,##0.000_);_(* \(#,##0.000\);_(* &quot;-&quot;??_);_(@_)"/>
    <numFmt numFmtId="173" formatCode="_(* #,##0.0000_);_(* \(#,##0.0000\);_(* &quot;-&quot;??_);_(@_)"/>
    <numFmt numFmtId="174" formatCode="#,##0.0_);\(#,##0.0\)"/>
    <numFmt numFmtId="175" formatCode="_(* #,##0.00000_);_(* \(#,##0.00000\);_(* &quot;-&quot;??_);_(@_)"/>
    <numFmt numFmtId="176" formatCode="#,##0.00000"/>
    <numFmt numFmtId="177" formatCode="_(* #,##0.0000000_);_(* \(#,##0.0000000\);_(* &quot;-&quot;??_);_(@_)"/>
    <numFmt numFmtId="178" formatCode="#,##0.0000"/>
    <numFmt numFmtId="179" formatCode="_(* #,##0.000000_);_(* \(#,##0.000000\);_(* &quot;-&quot;??_);_(@_)"/>
    <numFmt numFmtId="180" formatCode="0.000%"/>
    <numFmt numFmtId="181" formatCode="0.00000000"/>
    <numFmt numFmtId="182" formatCode="0.0000000"/>
    <numFmt numFmtId="183" formatCode="0.000000"/>
    <numFmt numFmtId="184" formatCode="0.0000"/>
    <numFmt numFmtId="185" formatCode="[$-409]mmmm\ d\,\ yyyy;@"/>
    <numFmt numFmtId="186" formatCode="#,##0.000_);\(#,##0.000\)"/>
    <numFmt numFmtId="187" formatCode="#,##0.00_ ;\-#,##0.00\ "/>
    <numFmt numFmtId="188" formatCode="_(&quot;$&quot;* #,##0_);_(&quot;$&quot;* \(#,##0\);_(&quot;$&quot;* &quot;-&quot;??_);_(@_)"/>
    <numFmt numFmtId="189" formatCode="#,##0.000000"/>
    <numFmt numFmtId="190" formatCode="#,##0.0;\-#,##0.0"/>
    <numFmt numFmtId="191" formatCode="0.0000%"/>
    <numFmt numFmtId="192" formatCode="_(* #,##0.00000000_);_(* \(#,##0.00000000\);_(* &quot;-&quot;??_);_(@_)"/>
    <numFmt numFmtId="193" formatCode="#,##0_ ;\-#,##0\ "/>
    <numFmt numFmtId="194" formatCode="[&lt;=9999999]###\-####;\(###\)\ ###\-####"/>
    <numFmt numFmtId="195" formatCode="&quot;$&quot;#,##0.000"/>
  </numFmts>
  <fonts count="169">
    <font>
      <sz val="10"/>
      <name val="Arial"/>
    </font>
    <font>
      <sz val="10"/>
      <name val="Arial"/>
      <family val="2"/>
    </font>
    <font>
      <b/>
      <sz val="12"/>
      <name val="Arial"/>
      <family val="2"/>
    </font>
    <font>
      <sz val="11"/>
      <name val="Arial Rounded MT Bold"/>
      <family val="2"/>
    </font>
    <font>
      <sz val="12"/>
      <name val="Arial Rounded MT Bold"/>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u/>
      <sz val="10"/>
      <color indexed="12"/>
      <name val="Arial"/>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b/>
      <sz val="9"/>
      <name val="Arial"/>
      <family val="2"/>
    </font>
    <font>
      <sz val="9"/>
      <name val="Arial"/>
      <family val="2"/>
    </font>
    <font>
      <i/>
      <sz val="8"/>
      <name val="Arial"/>
      <family val="2"/>
    </font>
    <font>
      <i/>
      <sz val="12"/>
      <name val="Arial"/>
      <family val="2"/>
    </font>
    <font>
      <b/>
      <sz val="11"/>
      <color indexed="12"/>
      <name val="Arial"/>
      <family val="2"/>
    </font>
    <font>
      <b/>
      <sz val="12"/>
      <color indexed="12"/>
      <name val="Arial"/>
      <family val="2"/>
    </font>
    <font>
      <sz val="10"/>
      <color indexed="12"/>
      <name val="Arial"/>
      <family val="2"/>
    </font>
    <font>
      <b/>
      <sz val="11"/>
      <name val="Arial"/>
      <family val="2"/>
    </font>
    <font>
      <b/>
      <sz val="10"/>
      <color indexed="12"/>
      <name val="Arial"/>
      <family val="2"/>
    </font>
    <font>
      <sz val="16"/>
      <name val="Arial"/>
      <family val="2"/>
    </font>
    <font>
      <b/>
      <sz val="14"/>
      <name val="Arial"/>
      <family val="2"/>
    </font>
    <font>
      <sz val="10"/>
      <color indexed="12"/>
      <name val="Arial"/>
      <family val="2"/>
    </font>
    <font>
      <sz val="8"/>
      <color indexed="12"/>
      <name val="Arial"/>
      <family val="2"/>
    </font>
    <font>
      <b/>
      <sz val="12"/>
      <color indexed="13"/>
      <name val="Arial"/>
      <family val="2"/>
    </font>
    <font>
      <b/>
      <sz val="10"/>
      <name val="Arial"/>
      <family val="2"/>
    </font>
    <font>
      <b/>
      <sz val="14"/>
      <color indexed="16"/>
      <name val="Arial"/>
      <family val="2"/>
    </font>
    <font>
      <sz val="14"/>
      <name val="Arial"/>
      <family val="2"/>
    </font>
    <font>
      <sz val="10"/>
      <color indexed="10"/>
      <name val="Arial"/>
      <family val="2"/>
    </font>
    <font>
      <sz val="10"/>
      <color indexed="13"/>
      <name val="Arial"/>
      <family val="2"/>
    </font>
    <font>
      <sz val="12"/>
      <name val="Arial"/>
      <family val="2"/>
    </font>
    <font>
      <b/>
      <sz val="16"/>
      <name val="Arial"/>
      <family val="2"/>
    </font>
    <font>
      <b/>
      <sz val="10"/>
      <color indexed="18"/>
      <name val="Arial"/>
      <family val="2"/>
    </font>
    <font>
      <b/>
      <sz val="12"/>
      <color indexed="18"/>
      <name val="Arial"/>
      <family val="2"/>
    </font>
    <font>
      <b/>
      <sz val="12"/>
      <color indexed="17"/>
      <name val="Arial"/>
      <family val="2"/>
    </font>
    <font>
      <sz val="11"/>
      <name val="Arial"/>
      <family val="2"/>
    </font>
    <font>
      <sz val="10"/>
      <name val="Arial"/>
      <family val="2"/>
    </font>
    <font>
      <b/>
      <i/>
      <sz val="12"/>
      <color indexed="13"/>
      <name val="Arial"/>
      <family val="2"/>
    </font>
    <font>
      <b/>
      <sz val="10"/>
      <color indexed="10"/>
      <name val="Arial"/>
      <family val="2"/>
    </font>
    <font>
      <sz val="12"/>
      <name val="Arial"/>
      <family val="2"/>
    </font>
    <font>
      <i/>
      <sz val="12"/>
      <color indexed="10"/>
      <name val="Arial"/>
      <family val="2"/>
    </font>
    <font>
      <b/>
      <sz val="12"/>
      <color indexed="12"/>
      <name val="Arial"/>
      <family val="2"/>
    </font>
    <font>
      <sz val="12"/>
      <color indexed="60"/>
      <name val="Arial"/>
      <family val="2"/>
    </font>
    <font>
      <sz val="10"/>
      <color indexed="8"/>
      <name val="Arial"/>
      <family val="2"/>
    </font>
    <font>
      <vertAlign val="superscript"/>
      <sz val="10"/>
      <color indexed="10"/>
      <name val="Arial"/>
      <family val="2"/>
    </font>
    <font>
      <b/>
      <sz val="10"/>
      <color indexed="17"/>
      <name val="Arial"/>
      <family val="2"/>
    </font>
    <font>
      <sz val="10"/>
      <color indexed="17"/>
      <name val="Arial"/>
      <family val="2"/>
    </font>
    <font>
      <b/>
      <sz val="8"/>
      <color indexed="81"/>
      <name val="Tahoma"/>
      <family val="2"/>
    </font>
    <font>
      <sz val="8"/>
      <color indexed="81"/>
      <name val="Tahoma"/>
      <family val="2"/>
    </font>
    <font>
      <b/>
      <i/>
      <sz val="10"/>
      <color indexed="12"/>
      <name val="Arial"/>
      <family val="2"/>
    </font>
    <font>
      <vertAlign val="superscript"/>
      <sz val="10"/>
      <color indexed="8"/>
      <name val="Arial"/>
      <family val="2"/>
    </font>
    <font>
      <b/>
      <sz val="8"/>
      <color indexed="12"/>
      <name val="Arial"/>
      <family val="2"/>
    </font>
    <font>
      <sz val="10"/>
      <color indexed="62"/>
      <name val="Arial"/>
      <family val="2"/>
    </font>
    <font>
      <b/>
      <sz val="10"/>
      <color indexed="56"/>
      <name val="Arial"/>
      <family val="2"/>
    </font>
    <font>
      <sz val="12"/>
      <color indexed="8"/>
      <name val="MS"/>
    </font>
    <font>
      <sz val="11"/>
      <color indexed="10"/>
      <name val="Arial"/>
      <family val="2"/>
    </font>
    <font>
      <vertAlign val="superscript"/>
      <sz val="11"/>
      <name val="Arial"/>
      <family val="2"/>
    </font>
    <font>
      <sz val="11"/>
      <color indexed="13"/>
      <name val="Arial"/>
      <family val="2"/>
    </font>
    <font>
      <b/>
      <sz val="14"/>
      <color indexed="12"/>
      <name val="Arial Rounded MT Bold"/>
      <family val="2"/>
    </font>
    <font>
      <b/>
      <sz val="12"/>
      <color indexed="56"/>
      <name val="Arial"/>
      <family val="2"/>
    </font>
    <font>
      <b/>
      <sz val="11"/>
      <color indexed="56"/>
      <name val="Arial"/>
      <family val="2"/>
    </font>
    <font>
      <b/>
      <sz val="12"/>
      <color indexed="56"/>
      <name val="Arial"/>
      <family val="2"/>
    </font>
    <font>
      <b/>
      <sz val="13.5"/>
      <color indexed="56"/>
      <name val="MS"/>
    </font>
    <font>
      <sz val="11"/>
      <color indexed="56"/>
      <name val="Arial"/>
      <family val="2"/>
    </font>
    <font>
      <sz val="10"/>
      <color indexed="18"/>
      <name val="Arial Rounded MT Bold"/>
      <family val="2"/>
    </font>
    <font>
      <sz val="10"/>
      <color indexed="18"/>
      <name val="Arial"/>
      <family val="2"/>
    </font>
    <font>
      <b/>
      <sz val="10"/>
      <color indexed="12"/>
      <name val="Arial"/>
      <family val="2"/>
    </font>
    <font>
      <b/>
      <sz val="14"/>
      <color indexed="18"/>
      <name val="Arial"/>
      <family val="2"/>
    </font>
    <font>
      <sz val="8"/>
      <name val="Arial"/>
      <family val="2"/>
    </font>
    <font>
      <vertAlign val="superscript"/>
      <sz val="10"/>
      <name val="Arial"/>
      <family val="2"/>
    </font>
    <font>
      <b/>
      <sz val="12"/>
      <color indexed="30"/>
      <name val="Arial"/>
      <family val="2"/>
    </font>
    <font>
      <vertAlign val="subscript"/>
      <sz val="10"/>
      <name val="Arial"/>
      <family val="2"/>
    </font>
    <font>
      <sz val="8"/>
      <name val="Calibri"/>
      <family val="2"/>
    </font>
    <font>
      <b/>
      <sz val="11"/>
      <color indexed="13"/>
      <name val="Arial"/>
      <family val="2"/>
    </font>
    <font>
      <i/>
      <sz val="10"/>
      <color indexed="12"/>
      <name val="Arial"/>
      <family val="2"/>
    </font>
    <font>
      <b/>
      <sz val="18"/>
      <color indexed="12"/>
      <name val="Arial"/>
      <family val="2"/>
    </font>
    <font>
      <vertAlign val="subscript"/>
      <sz val="12"/>
      <name val="Times New Roman"/>
      <family val="1"/>
    </font>
    <font>
      <sz val="12"/>
      <name val="Times New Roman"/>
      <family val="1"/>
    </font>
    <font>
      <i/>
      <sz val="10"/>
      <name val="Arial"/>
      <family val="2"/>
    </font>
    <font>
      <b/>
      <sz val="13.5"/>
      <color indexed="9"/>
      <name val="Arial"/>
      <family val="2"/>
    </font>
    <font>
      <sz val="10"/>
      <color indexed="9"/>
      <name val="Arial"/>
      <family val="2"/>
    </font>
    <font>
      <sz val="13.5"/>
      <name val="Arial"/>
      <family val="2"/>
    </font>
    <font>
      <vertAlign val="subscript"/>
      <sz val="13.5"/>
      <name val="Arial"/>
      <family val="2"/>
    </font>
    <font>
      <b/>
      <vertAlign val="subscript"/>
      <sz val="10"/>
      <name val="Arial"/>
      <family val="2"/>
    </font>
    <font>
      <sz val="10"/>
      <name val="Verdana"/>
      <family val="2"/>
    </font>
    <font>
      <sz val="9"/>
      <color indexed="81"/>
      <name val="Tahoma"/>
      <family val="2"/>
    </font>
    <font>
      <b/>
      <sz val="9"/>
      <color indexed="81"/>
      <name val="Tahoma"/>
      <family val="2"/>
    </font>
    <font>
      <sz val="10"/>
      <name val="Arial"/>
      <family val="2"/>
    </font>
    <font>
      <sz val="8"/>
      <name val="Arial"/>
      <family val="2"/>
    </font>
    <font>
      <b/>
      <sz val="14"/>
      <color indexed="30"/>
      <name val="Arial"/>
      <family val="2"/>
    </font>
    <font>
      <b/>
      <sz val="11"/>
      <color indexed="30"/>
      <name val="Arial"/>
      <family val="2"/>
    </font>
    <font>
      <b/>
      <vertAlign val="superscript"/>
      <sz val="11"/>
      <color indexed="30"/>
      <name val="Arial"/>
      <family val="2"/>
    </font>
    <font>
      <b/>
      <sz val="10"/>
      <color indexed="22"/>
      <name val="Arial"/>
      <family val="2"/>
    </font>
    <font>
      <sz val="10"/>
      <color indexed="30"/>
      <name val="Arial"/>
      <family val="2"/>
    </font>
    <font>
      <b/>
      <sz val="11"/>
      <color indexed="60"/>
      <name val="Arial"/>
      <family val="2"/>
    </font>
    <font>
      <b/>
      <sz val="16"/>
      <color indexed="56"/>
      <name val="Arial"/>
      <family val="2"/>
    </font>
    <font>
      <sz val="10"/>
      <color indexed="55"/>
      <name val="Arial"/>
      <family val="2"/>
    </font>
    <font>
      <sz val="11"/>
      <color indexed="55"/>
      <name val="Arial"/>
      <family val="2"/>
    </font>
    <font>
      <b/>
      <sz val="11"/>
      <color indexed="10"/>
      <name val="Arial"/>
      <family val="2"/>
    </font>
    <font>
      <b/>
      <sz val="10"/>
      <color indexed="55"/>
      <name val="Arial"/>
      <family val="2"/>
    </font>
    <font>
      <b/>
      <sz val="10"/>
      <color indexed="56"/>
      <name val="Calibri"/>
      <family val="2"/>
    </font>
    <font>
      <b/>
      <sz val="10"/>
      <color indexed="60"/>
      <name val="Arial"/>
      <family val="2"/>
    </font>
    <font>
      <sz val="12"/>
      <color indexed="56"/>
      <name val="Arial"/>
      <family val="2"/>
    </font>
    <font>
      <sz val="10"/>
      <color indexed="56"/>
      <name val="Arial"/>
      <family val="2"/>
    </font>
    <font>
      <sz val="10"/>
      <color indexed="81"/>
      <name val="Arial"/>
      <family val="2"/>
    </font>
    <font>
      <b/>
      <sz val="11"/>
      <color indexed="18"/>
      <name val="Arial"/>
      <family val="2"/>
    </font>
    <font>
      <u/>
      <sz val="11"/>
      <name val="Arial"/>
      <family val="2"/>
    </font>
    <font>
      <sz val="11"/>
      <color indexed="12"/>
      <name val="Arial"/>
      <family val="2"/>
    </font>
    <font>
      <sz val="12"/>
      <color indexed="16"/>
      <name val="Arial"/>
      <family val="2"/>
    </font>
    <font>
      <sz val="10"/>
      <name val="Arial"/>
      <family val="2"/>
    </font>
    <font>
      <sz val="11"/>
      <color theme="1"/>
      <name val="Calibri"/>
      <family val="2"/>
      <scheme val="minor"/>
    </font>
    <font>
      <sz val="10"/>
      <color theme="7" tint="0.39997558519241921"/>
      <name val="Arial"/>
      <family val="2"/>
    </font>
    <font>
      <sz val="10"/>
      <color theme="3" tint="0.59999389629810485"/>
      <name val="Arial"/>
      <family val="2"/>
    </font>
    <font>
      <b/>
      <i/>
      <sz val="11"/>
      <color rgb="FF0033CC"/>
      <name val="Arial"/>
      <family val="2"/>
    </font>
    <font>
      <b/>
      <sz val="11"/>
      <color rgb="FF0033CC"/>
      <name val="Arial"/>
      <family val="2"/>
    </font>
    <font>
      <sz val="11"/>
      <color rgb="FFFF0000"/>
      <name val="Arial"/>
      <family val="2"/>
    </font>
    <font>
      <sz val="10"/>
      <color rgb="FFFF0000"/>
      <name val="Arial"/>
      <family val="2"/>
    </font>
    <font>
      <b/>
      <sz val="20"/>
      <name val="MS"/>
    </font>
    <font>
      <sz val="11"/>
      <name val="Calibri"/>
      <family val="2"/>
      <scheme val="minor"/>
    </font>
    <font>
      <b/>
      <sz val="12"/>
      <color theme="1"/>
      <name val="Arial"/>
      <family val="2"/>
    </font>
    <font>
      <b/>
      <sz val="20"/>
      <color indexed="56"/>
      <name val="MS"/>
    </font>
    <font>
      <b/>
      <sz val="20"/>
      <color indexed="8"/>
      <name val="MS"/>
    </font>
    <font>
      <b/>
      <sz val="10"/>
      <color indexed="8"/>
      <name val="Arial"/>
      <family val="2"/>
    </font>
    <font>
      <sz val="10"/>
      <color theme="1"/>
      <name val="Arial"/>
      <family val="2"/>
    </font>
    <font>
      <sz val="11"/>
      <color indexed="60"/>
      <name val="Arial"/>
      <family val="2"/>
    </font>
    <font>
      <sz val="11"/>
      <color theme="4" tint="0.39997558519241921"/>
      <name val="Arial"/>
      <family val="2"/>
    </font>
    <font>
      <b/>
      <sz val="11"/>
      <color indexed="17"/>
      <name val="Arial"/>
      <family val="2"/>
    </font>
    <font>
      <b/>
      <sz val="11"/>
      <color theme="4" tint="0.39997558519241921"/>
      <name val="Arial"/>
      <family val="2"/>
    </font>
    <font>
      <b/>
      <sz val="11"/>
      <name val="Calibri"/>
      <family val="2"/>
    </font>
    <font>
      <sz val="11"/>
      <color indexed="62"/>
      <name val="Arial"/>
      <family val="2"/>
    </font>
    <font>
      <b/>
      <i/>
      <sz val="11"/>
      <name val="Arial"/>
      <family val="2"/>
    </font>
    <font>
      <u/>
      <sz val="11"/>
      <color rgb="FF1144AB"/>
      <name val="Arial"/>
      <family val="2"/>
    </font>
    <font>
      <i/>
      <u/>
      <sz val="11"/>
      <color rgb="FF0033CC"/>
      <name val="Arial"/>
      <family val="2"/>
    </font>
    <font>
      <b/>
      <i/>
      <u/>
      <sz val="11"/>
      <color indexed="12"/>
      <name val="Arial"/>
      <family val="2"/>
    </font>
    <font>
      <i/>
      <u/>
      <sz val="11"/>
      <name val="Arial"/>
      <family val="2"/>
    </font>
    <font>
      <b/>
      <i/>
      <u/>
      <sz val="11"/>
      <color rgb="FF0033CC"/>
      <name val="Arial"/>
      <family val="2"/>
    </font>
    <font>
      <sz val="11"/>
      <color rgb="FF0033CC"/>
      <name val="Arial"/>
      <family val="2"/>
    </font>
    <font>
      <u/>
      <sz val="11"/>
      <color indexed="12"/>
      <name val="Arial"/>
      <family val="2"/>
    </font>
    <font>
      <sz val="11"/>
      <color indexed="14"/>
      <name val="Arial"/>
      <family val="2"/>
    </font>
    <font>
      <b/>
      <sz val="11"/>
      <color indexed="48"/>
      <name val="Arial"/>
      <family val="2"/>
    </font>
    <font>
      <vertAlign val="subscript"/>
      <sz val="11"/>
      <name val="Arial"/>
      <family val="2"/>
    </font>
    <font>
      <i/>
      <sz val="11"/>
      <name val="Arial"/>
      <family val="2"/>
    </font>
    <font>
      <shadow/>
      <sz val="16"/>
      <color theme="3"/>
      <name val="Arial Rounded MT Bold"/>
      <family val="2"/>
    </font>
    <font>
      <sz val="16"/>
      <color theme="3"/>
      <name val="Arial"/>
      <family val="2"/>
    </font>
    <font>
      <sz val="10"/>
      <color theme="3"/>
      <name val="Arial Rounded MT Bold"/>
      <family val="2"/>
    </font>
    <font>
      <sz val="14"/>
      <color theme="3"/>
      <name val="Arial Rounded MT Bold"/>
      <family val="2"/>
    </font>
    <font>
      <sz val="14"/>
      <color theme="3"/>
      <name val="Arial"/>
      <family val="2"/>
    </font>
    <font>
      <b/>
      <sz val="14"/>
      <color theme="3"/>
      <name val="Arial Rounded MT Bold"/>
      <family val="2"/>
    </font>
    <font>
      <shadow/>
      <sz val="14"/>
      <color theme="3"/>
      <name val="Arial Rounded MT Bold"/>
      <family val="2"/>
    </font>
    <font>
      <b/>
      <u/>
      <sz val="14"/>
      <name val="Arial"/>
      <family val="2"/>
    </font>
    <font>
      <sz val="10"/>
      <color theme="4" tint="0.79998168889431442"/>
      <name val="Arial"/>
      <family val="2"/>
    </font>
    <font>
      <sz val="11"/>
      <color theme="0"/>
      <name val="Arial"/>
      <family val="2"/>
    </font>
    <font>
      <b/>
      <sz val="12"/>
      <color theme="3"/>
      <name val="Arial"/>
      <family val="2"/>
    </font>
  </fonts>
  <fills count="6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9"/>
        <bgColor indexed="64"/>
      </patternFill>
    </fill>
    <fill>
      <patternFill patternType="solid">
        <fgColor indexed="22"/>
        <bgColor indexed="64"/>
      </patternFill>
    </fill>
    <fill>
      <patternFill patternType="solid">
        <fgColor indexed="11"/>
        <bgColor indexed="64"/>
      </patternFill>
    </fill>
    <fill>
      <patternFill patternType="solid">
        <fgColor indexed="45"/>
        <bgColor indexed="64"/>
      </patternFill>
    </fill>
    <fill>
      <patternFill patternType="solid">
        <fgColor indexed="27"/>
        <bgColor indexed="64"/>
      </patternFill>
    </fill>
    <fill>
      <patternFill patternType="solid">
        <fgColor indexed="44"/>
        <bgColor indexed="64"/>
      </patternFill>
    </fill>
    <fill>
      <patternFill patternType="solid">
        <fgColor indexed="31"/>
        <bgColor indexed="64"/>
      </patternFill>
    </fill>
    <fill>
      <patternFill patternType="solid">
        <fgColor indexed="52"/>
        <bgColor indexed="64"/>
      </patternFill>
    </fill>
    <fill>
      <patternFill patternType="solid">
        <fgColor indexed="50"/>
        <bgColor indexed="64"/>
      </patternFill>
    </fill>
    <fill>
      <patternFill patternType="solid">
        <fgColor indexed="46"/>
        <bgColor indexed="64"/>
      </patternFill>
    </fill>
    <fill>
      <patternFill patternType="solid">
        <fgColor indexed="30"/>
        <bgColor indexed="64"/>
      </patternFill>
    </fill>
    <fill>
      <patternFill patternType="solid">
        <fgColor indexed="26"/>
        <bgColor indexed="64"/>
      </patternFill>
    </fill>
    <fill>
      <patternFill patternType="solid">
        <fgColor indexed="47"/>
        <bgColor indexed="64"/>
      </patternFill>
    </fill>
    <fill>
      <patternFill patternType="solid">
        <fgColor indexed="10"/>
        <bgColor indexed="64"/>
      </patternFill>
    </fill>
    <fill>
      <patternFill patternType="solid">
        <fgColor rgb="FFFFFFCC"/>
        <bgColor indexed="64"/>
      </patternFill>
    </fill>
    <fill>
      <patternFill patternType="solid">
        <fgColor theme="9" tint="0.79998168889431442"/>
        <bgColor indexed="64"/>
      </patternFill>
    </fill>
    <fill>
      <patternFill patternType="solid">
        <fgColor theme="2"/>
        <bgColor indexed="64"/>
      </patternFill>
    </fill>
    <fill>
      <patternFill patternType="solid">
        <fgColor rgb="FFCCFFFF"/>
        <bgColor indexed="64"/>
      </patternFill>
    </fill>
    <fill>
      <patternFill patternType="solid">
        <fgColor theme="0"/>
        <bgColor indexed="64"/>
      </patternFill>
    </fill>
    <fill>
      <patternFill patternType="solid">
        <fgColor rgb="FFFFFFFF"/>
        <bgColor indexed="64"/>
      </patternFill>
    </fill>
    <fill>
      <patternFill patternType="solid">
        <fgColor theme="3" tint="0.79998168889431442"/>
        <bgColor indexed="64"/>
      </patternFill>
    </fill>
    <fill>
      <patternFill patternType="solid">
        <fgColor rgb="FFCCFF99"/>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E5E5E5"/>
        <bgColor indexed="64"/>
      </patternFill>
    </fill>
    <fill>
      <patternFill patternType="solid">
        <fgColor theme="0" tint="-0.249977111117893"/>
        <bgColor indexed="64"/>
      </patternFill>
    </fill>
    <fill>
      <patternFill patternType="solid">
        <fgColor rgb="FFEAEAEA"/>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s>
  <borders count="2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dashed">
        <color indexed="64"/>
      </right>
      <top/>
      <bottom/>
      <diagonal/>
    </border>
    <border>
      <left style="medium">
        <color indexed="64"/>
      </left>
      <right style="dashed">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dashed">
        <color indexed="64"/>
      </right>
      <top style="medium">
        <color indexed="64"/>
      </top>
      <bottom style="medium">
        <color indexed="64"/>
      </bottom>
      <diagonal/>
    </border>
    <border>
      <left/>
      <right style="thin">
        <color indexed="64"/>
      </right>
      <top style="thin">
        <color indexed="64"/>
      </top>
      <bottom style="thin">
        <color indexed="64"/>
      </bottom>
      <diagonal/>
    </border>
    <border>
      <left style="double">
        <color indexed="64"/>
      </left>
      <right/>
      <top/>
      <bottom/>
      <diagonal/>
    </border>
    <border>
      <left/>
      <right/>
      <top style="medium">
        <color indexed="64"/>
      </top>
      <bottom style="medium">
        <color indexed="64"/>
      </bottom>
      <diagonal/>
    </border>
    <border>
      <left style="thin">
        <color indexed="64"/>
      </left>
      <right style="thin">
        <color indexed="64"/>
      </right>
      <top style="dashed">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double">
        <color indexed="64"/>
      </right>
      <top/>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44"/>
      </left>
      <right style="thin">
        <color indexed="44"/>
      </right>
      <top/>
      <bottom style="thin">
        <color indexed="44"/>
      </bottom>
      <diagonal/>
    </border>
    <border>
      <left style="thin">
        <color indexed="44"/>
      </left>
      <right style="thin">
        <color indexed="44"/>
      </right>
      <top style="thin">
        <color indexed="44"/>
      </top>
      <bottom style="thin">
        <color indexed="44"/>
      </bottom>
      <diagonal/>
    </border>
    <border>
      <left/>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thin">
        <color indexed="64"/>
      </top>
      <bottom style="dotted">
        <color indexed="64"/>
      </bottom>
      <diagonal/>
    </border>
    <border>
      <left/>
      <right style="thin">
        <color indexed="64"/>
      </right>
      <top/>
      <bottom style="thin">
        <color indexed="64"/>
      </bottom>
      <diagonal/>
    </border>
    <border>
      <left style="medium">
        <color indexed="8"/>
      </left>
      <right style="medium">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medium">
        <color indexed="8"/>
      </left>
      <right style="thin">
        <color indexed="8"/>
      </right>
      <top style="thin">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medium">
        <color indexed="8"/>
      </top>
      <bottom style="thin">
        <color indexed="8"/>
      </bottom>
      <diagonal/>
    </border>
    <border>
      <left style="medium">
        <color indexed="8"/>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64"/>
      </left>
      <right style="thin">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hair">
        <color indexed="64"/>
      </bottom>
      <diagonal/>
    </border>
    <border>
      <left style="thin">
        <color indexed="64"/>
      </left>
      <right style="medium">
        <color indexed="64"/>
      </right>
      <top style="dotted">
        <color indexed="64"/>
      </top>
      <bottom style="hair">
        <color indexed="64"/>
      </bottom>
      <diagonal/>
    </border>
    <border>
      <left style="thin">
        <color indexed="64"/>
      </left>
      <right style="thin">
        <color indexed="64"/>
      </right>
      <top style="hair">
        <color indexed="64"/>
      </top>
      <bottom style="dotted">
        <color indexed="64"/>
      </bottom>
      <diagonal/>
    </border>
    <border>
      <left style="thin">
        <color indexed="64"/>
      </left>
      <right style="medium">
        <color indexed="64"/>
      </right>
      <top style="hair">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dashed">
        <color indexed="64"/>
      </bottom>
      <diagonal/>
    </border>
    <border>
      <left style="thin">
        <color indexed="64"/>
      </left>
      <right/>
      <top style="dotted">
        <color indexed="64"/>
      </top>
      <bottom style="dotted">
        <color indexed="64"/>
      </bottom>
      <diagonal/>
    </border>
    <border>
      <left style="thin">
        <color indexed="64"/>
      </left>
      <right/>
      <top style="dotted">
        <color indexed="64"/>
      </top>
      <bottom/>
      <diagonal/>
    </border>
    <border>
      <left style="thin">
        <color indexed="64"/>
      </left>
      <right/>
      <top style="dotted">
        <color indexed="64"/>
      </top>
      <bottom style="thin">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top style="medium">
        <color indexed="64"/>
      </top>
      <bottom style="thin">
        <color indexed="64"/>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dotted">
        <color indexed="64"/>
      </bottom>
      <diagonal/>
    </border>
    <border>
      <left style="thin">
        <color indexed="64"/>
      </left>
      <right style="thin">
        <color indexed="64"/>
      </right>
      <top style="dashed">
        <color indexed="64"/>
      </top>
      <bottom style="thin">
        <color indexed="64"/>
      </bottom>
      <diagonal/>
    </border>
    <border>
      <left style="thin">
        <color indexed="64"/>
      </left>
      <right style="medium">
        <color indexed="64"/>
      </right>
      <top style="thin">
        <color indexed="64"/>
      </top>
      <bottom style="dash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dotted">
        <color indexed="64"/>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medium">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medium">
        <color indexed="64"/>
      </bottom>
      <diagonal/>
    </border>
    <border>
      <left/>
      <right style="thin">
        <color indexed="64"/>
      </right>
      <top style="medium">
        <color indexed="64"/>
      </top>
      <bottom style="medium">
        <color indexed="64"/>
      </bottom>
      <diagonal/>
    </border>
    <border>
      <left style="dashed">
        <color indexed="64"/>
      </left>
      <right/>
      <top style="medium">
        <color indexed="64"/>
      </top>
      <bottom style="medium">
        <color indexed="64"/>
      </bottom>
      <diagonal/>
    </border>
    <border>
      <left style="thin">
        <color indexed="64"/>
      </left>
      <right style="medium">
        <color indexed="64"/>
      </right>
      <top style="medium">
        <color indexed="64"/>
      </top>
      <bottom style="dashed">
        <color indexed="64"/>
      </bottom>
      <diagonal/>
    </border>
    <border>
      <left style="thin">
        <color indexed="64"/>
      </left>
      <right/>
      <top style="medium">
        <color indexed="64"/>
      </top>
      <bottom style="medium">
        <color indexed="64"/>
      </bottom>
      <diagonal/>
    </border>
    <border>
      <left/>
      <right/>
      <top style="dashed">
        <color indexed="64"/>
      </top>
      <bottom style="dashed">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44"/>
      </left>
      <right/>
      <top style="thin">
        <color indexed="44"/>
      </top>
      <bottom style="thin">
        <color indexed="44"/>
      </bottom>
      <diagonal/>
    </border>
    <border>
      <left/>
      <right style="thin">
        <color indexed="44"/>
      </right>
      <top style="thin">
        <color indexed="44"/>
      </top>
      <bottom style="thin">
        <color indexed="44"/>
      </bottom>
      <diagonal/>
    </border>
    <border>
      <left style="thin">
        <color indexed="44"/>
      </left>
      <right style="thin">
        <color indexed="44"/>
      </right>
      <top style="thin">
        <color indexed="44"/>
      </top>
      <bottom/>
      <diagonal/>
    </border>
    <border>
      <left style="medium">
        <color indexed="64"/>
      </left>
      <right/>
      <top style="dotted">
        <color indexed="64"/>
      </top>
      <bottom style="medium">
        <color indexed="64"/>
      </bottom>
      <diagonal/>
    </border>
    <border>
      <left style="thin">
        <color indexed="64"/>
      </left>
      <right style="thin">
        <color indexed="64"/>
      </right>
      <top style="dotted">
        <color indexed="64"/>
      </top>
      <bottom/>
      <diagonal/>
    </border>
    <border>
      <left style="dashed">
        <color indexed="64"/>
      </left>
      <right/>
      <top style="thin">
        <color indexed="64"/>
      </top>
      <bottom style="thin">
        <color indexed="64"/>
      </bottom>
      <diagonal/>
    </border>
    <border>
      <left style="medium">
        <color indexed="64"/>
      </left>
      <right style="thin">
        <color indexed="64"/>
      </right>
      <top style="thin">
        <color indexed="64"/>
      </top>
      <bottom style="dashed">
        <color indexed="64"/>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dashed">
        <color indexed="64"/>
      </top>
      <bottom style="medium">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style="dashed">
        <color indexed="64"/>
      </top>
      <bottom style="thin">
        <color indexed="64"/>
      </bottom>
      <diagonal/>
    </border>
    <border>
      <left style="medium">
        <color indexed="64"/>
      </left>
      <right/>
      <top style="dashed">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dashed">
        <color indexed="64"/>
      </top>
      <bottom style="dashed">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right/>
      <top style="thin">
        <color indexed="44"/>
      </top>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thin">
        <color indexed="64"/>
      </left>
      <right/>
      <top/>
      <bottom style="dotted">
        <color indexed="64"/>
      </bottom>
      <diagonal/>
    </border>
    <border>
      <left/>
      <right/>
      <top style="dotted">
        <color indexed="64"/>
      </top>
      <bottom/>
      <diagonal/>
    </border>
    <border>
      <left/>
      <right style="medium">
        <color indexed="64"/>
      </right>
      <top style="dotted">
        <color indexed="64"/>
      </top>
      <bottom/>
      <diagonal/>
    </border>
    <border>
      <left/>
      <right/>
      <top style="thin">
        <color indexed="64"/>
      </top>
      <bottom style="dotted">
        <color indexed="64"/>
      </bottom>
      <diagonal/>
    </border>
    <border>
      <left/>
      <right style="medium">
        <color indexed="64"/>
      </right>
      <top style="thin">
        <color indexed="64"/>
      </top>
      <bottom style="dotted">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dotted">
        <color indexed="64"/>
      </bottom>
      <diagonal/>
    </border>
    <border>
      <left style="medium">
        <color indexed="64"/>
      </left>
      <right/>
      <top style="thin">
        <color indexed="64"/>
      </top>
      <bottom style="dashed">
        <color indexed="64"/>
      </bottom>
      <diagonal/>
    </border>
    <border>
      <left style="medium">
        <color indexed="64"/>
      </left>
      <right/>
      <top style="dotted">
        <color indexed="64"/>
      </top>
      <bottom style="thin">
        <color indexed="64"/>
      </bottom>
      <diagonal/>
    </border>
    <border>
      <left style="thin">
        <color indexed="64"/>
      </left>
      <right/>
      <top style="dashed">
        <color indexed="64"/>
      </top>
      <bottom style="dashed">
        <color indexed="64"/>
      </bottom>
      <diagonal/>
    </border>
    <border>
      <left style="thin">
        <color indexed="64"/>
      </left>
      <right/>
      <top style="thin">
        <color indexed="64"/>
      </top>
      <bottom style="dashed">
        <color indexed="64"/>
      </bottom>
      <diagonal/>
    </border>
    <border>
      <left style="thin">
        <color indexed="64"/>
      </left>
      <right/>
      <top style="dashed">
        <color indexed="64"/>
      </top>
      <bottom style="thin">
        <color indexed="64"/>
      </bottom>
      <diagonal/>
    </border>
  </borders>
  <cellStyleXfs count="98">
    <xf numFmtId="0" fontId="0" fillId="0" borderId="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9" fillId="20" borderId="1" applyNumberFormat="0" applyAlignment="0" applyProtection="0"/>
    <xf numFmtId="0" fontId="10" fillId="21" borderId="2" applyNumberFormat="0" applyAlignment="0" applyProtection="0"/>
    <xf numFmtId="0" fontId="10" fillId="21" borderId="2" applyNumberFormat="0" applyAlignment="0" applyProtection="0"/>
    <xf numFmtId="43" fontId="1" fillId="0" borderId="0" applyFont="0" applyFill="0" applyBorder="0" applyAlignment="0" applyProtection="0"/>
    <xf numFmtId="43" fontId="52"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alignment vertical="top"/>
      <protection locked="0"/>
    </xf>
    <xf numFmtId="0" fontId="17" fillId="0" borderId="0" applyNumberFormat="0" applyFill="0" applyBorder="0" applyAlignment="0" applyProtection="0">
      <alignment vertical="top"/>
      <protection locked="0"/>
    </xf>
    <xf numFmtId="0" fontId="18" fillId="7" borderId="1" applyNumberFormat="0" applyAlignment="0" applyProtection="0"/>
    <xf numFmtId="0" fontId="18" fillId="7" borderId="1" applyNumberFormat="0" applyAlignment="0" applyProtection="0"/>
    <xf numFmtId="0" fontId="19" fillId="0" borderId="6" applyNumberFormat="0" applyFill="0" applyAlignment="0" applyProtection="0"/>
    <xf numFmtId="0" fontId="19" fillId="0" borderId="6" applyNumberFormat="0" applyFill="0" applyAlignment="0" applyProtection="0"/>
    <xf numFmtId="0" fontId="20" fillId="22" borderId="0" applyNumberFormat="0" applyBorder="0" applyAlignment="0" applyProtection="0"/>
    <xf numFmtId="0" fontId="20" fillId="22" borderId="0" applyNumberFormat="0" applyBorder="0" applyAlignment="0" applyProtection="0"/>
    <xf numFmtId="0" fontId="21" fillId="0" borderId="0"/>
    <xf numFmtId="0" fontId="126" fillId="0" borderId="0"/>
    <xf numFmtId="0" fontId="21" fillId="0" borderId="0"/>
    <xf numFmtId="0" fontId="59" fillId="0" borderId="0"/>
    <xf numFmtId="0" fontId="21" fillId="23" borderId="7" applyNumberFormat="0" applyFont="0" applyAlignment="0" applyProtection="0"/>
    <xf numFmtId="0" fontId="21" fillId="23" borderId="7" applyNumberFormat="0" applyFont="0" applyAlignment="0" applyProtection="0"/>
    <xf numFmtId="0" fontId="22" fillId="20" borderId="8" applyNumberFormat="0" applyAlignment="0" applyProtection="0"/>
    <xf numFmtId="0" fontId="22" fillId="20" borderId="8" applyNumberFormat="0" applyAlignment="0" applyProtection="0"/>
    <xf numFmtId="9" fontId="1" fillId="0" borderId="0" applyFont="0" applyFill="0" applyBorder="0" applyAlignment="0" applyProtection="0"/>
    <xf numFmtId="9" fontId="52"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0" borderId="9" applyNumberFormat="0" applyFill="0" applyAlignment="0" applyProtection="0"/>
    <xf numFmtId="0" fontId="24" fillId="0" borderId="9"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1" fillId="0" borderId="0"/>
  </cellStyleXfs>
  <cellXfs count="2857">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xf>
    <xf numFmtId="0" fontId="0" fillId="0" borderId="0" xfId="0" applyAlignment="1">
      <alignment vertical="center"/>
    </xf>
    <xf numFmtId="0" fontId="0" fillId="0" borderId="0" xfId="0" applyBorder="1" applyAlignment="1">
      <alignment vertical="center" wrapText="1"/>
    </xf>
    <xf numFmtId="0" fontId="21" fillId="0" borderId="0" xfId="0" applyFont="1" applyAlignment="1">
      <alignment vertical="center" wrapText="1"/>
    </xf>
    <xf numFmtId="0" fontId="0" fillId="0" borderId="0" xfId="0" applyAlignment="1"/>
    <xf numFmtId="3" fontId="0" fillId="0" borderId="0" xfId="0" applyNumberFormat="1"/>
    <xf numFmtId="0" fontId="0" fillId="0" borderId="0" xfId="0" applyBorder="1" applyAlignment="1">
      <alignment vertical="center"/>
    </xf>
    <xf numFmtId="0" fontId="0" fillId="0" borderId="0" xfId="0" applyFill="1" applyBorder="1"/>
    <xf numFmtId="0" fontId="35" fillId="0" borderId="0" xfId="0" applyFont="1" applyFill="1" applyBorder="1" applyAlignment="1">
      <alignment vertical="center" wrapText="1"/>
    </xf>
    <xf numFmtId="0" fontId="0" fillId="0" borderId="0" xfId="0" applyAlignment="1">
      <alignment horizontal="center" vertical="center"/>
    </xf>
    <xf numFmtId="0" fontId="0" fillId="0" borderId="0" xfId="0" applyBorder="1"/>
    <xf numFmtId="0" fontId="0" fillId="0" borderId="0" xfId="0" applyBorder="1" applyAlignment="1">
      <alignment horizontal="center"/>
    </xf>
    <xf numFmtId="43" fontId="0" fillId="0" borderId="0" xfId="0" applyNumberFormat="1" applyAlignment="1">
      <alignment vertical="center"/>
    </xf>
    <xf numFmtId="167" fontId="1" fillId="0" borderId="0" xfId="55" applyNumberFormat="1" applyAlignment="1">
      <alignment vertical="center"/>
    </xf>
    <xf numFmtId="173" fontId="1" fillId="0" borderId="0" xfId="55" applyNumberFormat="1" applyAlignment="1">
      <alignment vertical="center"/>
    </xf>
    <xf numFmtId="0" fontId="0" fillId="0" borderId="16" xfId="0" applyBorder="1" applyAlignment="1">
      <alignment vertical="center"/>
    </xf>
    <xf numFmtId="4" fontId="0" fillId="0" borderId="0" xfId="0" applyNumberFormat="1" applyAlignment="1">
      <alignment vertical="center" wrapText="1"/>
    </xf>
    <xf numFmtId="0" fontId="0" fillId="0" borderId="16" xfId="0" applyBorder="1" applyAlignment="1">
      <alignment vertical="center" wrapText="1"/>
    </xf>
    <xf numFmtId="173" fontId="1" fillId="0" borderId="0" xfId="55" applyNumberFormat="1"/>
    <xf numFmtId="0" fontId="0" fillId="27" borderId="20" xfId="0" applyFill="1" applyBorder="1"/>
    <xf numFmtId="0" fontId="0" fillId="27" borderId="21" xfId="0" applyFill="1" applyBorder="1"/>
    <xf numFmtId="0" fontId="0" fillId="27" borderId="22" xfId="0" applyFill="1" applyBorder="1"/>
    <xf numFmtId="0" fontId="0" fillId="27" borderId="23" xfId="0" applyFill="1" applyBorder="1"/>
    <xf numFmtId="0" fontId="0" fillId="25" borderId="24" xfId="0" applyFill="1" applyBorder="1" applyAlignment="1">
      <alignment vertical="center"/>
    </xf>
    <xf numFmtId="0" fontId="0" fillId="25" borderId="25" xfId="0" applyFill="1" applyBorder="1" applyAlignment="1">
      <alignment vertical="center"/>
    </xf>
    <xf numFmtId="173" fontId="1" fillId="25" borderId="25" xfId="55" applyNumberFormat="1" applyFill="1" applyBorder="1" applyAlignment="1">
      <alignment vertical="center"/>
    </xf>
    <xf numFmtId="173" fontId="5" fillId="25" borderId="25" xfId="55" applyNumberFormat="1" applyFont="1" applyFill="1" applyBorder="1" applyAlignment="1">
      <alignment vertical="center"/>
    </xf>
    <xf numFmtId="0" fontId="0" fillId="25" borderId="26" xfId="0" applyFill="1" applyBorder="1" applyAlignment="1">
      <alignment vertical="center"/>
    </xf>
    <xf numFmtId="0" fontId="0" fillId="25" borderId="27" xfId="0" applyFill="1" applyBorder="1" applyAlignment="1">
      <alignment vertical="center"/>
    </xf>
    <xf numFmtId="0" fontId="0" fillId="25" borderId="28" xfId="0" applyFill="1" applyBorder="1" applyAlignment="1">
      <alignment vertical="center"/>
    </xf>
    <xf numFmtId="173" fontId="1" fillId="25" borderId="28" xfId="55" applyNumberFormat="1" applyFill="1" applyBorder="1" applyAlignment="1">
      <alignment vertical="center"/>
    </xf>
    <xf numFmtId="0" fontId="5" fillId="25" borderId="29" xfId="0" applyFont="1" applyFill="1" applyBorder="1" applyAlignment="1">
      <alignment vertical="center"/>
    </xf>
    <xf numFmtId="173" fontId="1" fillId="25" borderId="30" xfId="55" applyNumberFormat="1" applyFill="1" applyBorder="1" applyAlignment="1">
      <alignment vertical="center"/>
    </xf>
    <xf numFmtId="0" fontId="0" fillId="0" borderId="31" xfId="0" applyBorder="1" applyAlignment="1">
      <alignment vertical="center"/>
    </xf>
    <xf numFmtId="0" fontId="0" fillId="0" borderId="32" xfId="0" applyBorder="1" applyAlignment="1">
      <alignment horizontal="center" vertical="center"/>
    </xf>
    <xf numFmtId="169" fontId="0" fillId="0" borderId="32" xfId="0" applyNumberFormat="1" applyBorder="1" applyAlignment="1">
      <alignment horizontal="center" vertical="center"/>
    </xf>
    <xf numFmtId="166" fontId="0" fillId="0" borderId="32" xfId="0" applyNumberFormat="1" applyBorder="1" applyAlignment="1">
      <alignment vertical="center"/>
    </xf>
    <xf numFmtId="173" fontId="1" fillId="0" borderId="32" xfId="55" applyNumberFormat="1" applyBorder="1" applyAlignment="1">
      <alignment vertical="center"/>
    </xf>
    <xf numFmtId="0" fontId="0" fillId="0" borderId="33" xfId="0" applyBorder="1" applyAlignment="1">
      <alignment vertical="center"/>
    </xf>
    <xf numFmtId="0" fontId="0" fillId="0" borderId="29" xfId="0" applyBorder="1" applyAlignment="1">
      <alignment horizontal="center" vertical="center"/>
    </xf>
    <xf numFmtId="169" fontId="0" fillId="0" borderId="29" xfId="0" applyNumberFormat="1" applyBorder="1" applyAlignment="1">
      <alignment horizontal="center" vertical="center"/>
    </xf>
    <xf numFmtId="166" fontId="0" fillId="0" borderId="29" xfId="0" applyNumberFormat="1" applyBorder="1" applyAlignment="1">
      <alignment vertical="center"/>
    </xf>
    <xf numFmtId="173" fontId="1" fillId="0" borderId="29" xfId="55" applyNumberFormat="1" applyBorder="1" applyAlignment="1">
      <alignment vertical="center"/>
    </xf>
    <xf numFmtId="0" fontId="0" fillId="0" borderId="27" xfId="0" applyBorder="1" applyAlignment="1">
      <alignment vertical="center"/>
    </xf>
    <xf numFmtId="0" fontId="0" fillId="0" borderId="28" xfId="0" applyBorder="1" applyAlignment="1">
      <alignment horizontal="center" vertical="center"/>
    </xf>
    <xf numFmtId="169" fontId="0" fillId="0" borderId="28" xfId="0" applyNumberFormat="1" applyBorder="1" applyAlignment="1">
      <alignment horizontal="center" vertical="center"/>
    </xf>
    <xf numFmtId="166" fontId="0" fillId="0" borderId="28" xfId="0" applyNumberFormat="1" applyBorder="1" applyAlignment="1">
      <alignment vertical="center"/>
    </xf>
    <xf numFmtId="173" fontId="1" fillId="0" borderId="28" xfId="55" applyNumberFormat="1" applyBorder="1" applyAlignment="1">
      <alignment vertical="center"/>
    </xf>
    <xf numFmtId="0" fontId="0" fillId="0" borderId="30" xfId="0" applyBorder="1" applyAlignment="1">
      <alignment vertical="center"/>
    </xf>
    <xf numFmtId="0" fontId="0" fillId="0" borderId="34" xfId="0" applyBorder="1" applyAlignment="1">
      <alignment vertical="center"/>
    </xf>
    <xf numFmtId="0" fontId="0" fillId="0" borderId="35" xfId="0" applyBorder="1" applyAlignment="1">
      <alignment horizontal="center" vertical="center"/>
    </xf>
    <xf numFmtId="169" fontId="0" fillId="0" borderId="35" xfId="0" applyNumberFormat="1" applyBorder="1" applyAlignment="1">
      <alignment horizontal="center" vertical="center"/>
    </xf>
    <xf numFmtId="166" fontId="0" fillId="0" borderId="35" xfId="0" applyNumberFormat="1" applyBorder="1" applyAlignment="1">
      <alignment vertical="center"/>
    </xf>
    <xf numFmtId="173" fontId="1" fillId="0" borderId="35" xfId="55" applyNumberFormat="1" applyBorder="1" applyAlignment="1">
      <alignment vertical="center"/>
    </xf>
    <xf numFmtId="173" fontId="1" fillId="0" borderId="11" xfId="55" applyNumberFormat="1" applyBorder="1" applyAlignment="1">
      <alignment vertical="center"/>
    </xf>
    <xf numFmtId="169" fontId="0" fillId="0" borderId="0" xfId="0" applyNumberFormat="1" applyAlignment="1">
      <alignment horizontal="center" vertical="center"/>
    </xf>
    <xf numFmtId="166" fontId="0" fillId="0" borderId="0" xfId="0" applyNumberFormat="1" applyAlignment="1">
      <alignment vertical="center"/>
    </xf>
    <xf numFmtId="0" fontId="34" fillId="0" borderId="20" xfId="0" applyFont="1" applyBorder="1" applyAlignment="1">
      <alignment vertical="center"/>
    </xf>
    <xf numFmtId="0" fontId="0" fillId="0" borderId="13" xfId="0" applyBorder="1" applyAlignment="1">
      <alignment vertical="center"/>
    </xf>
    <xf numFmtId="169" fontId="0" fillId="0" borderId="21" xfId="0" applyNumberFormat="1" applyBorder="1" applyAlignment="1">
      <alignment horizontal="center" vertical="center"/>
    </xf>
    <xf numFmtId="0" fontId="0" fillId="0" borderId="17" xfId="0" applyBorder="1" applyAlignment="1">
      <alignment vertical="center"/>
    </xf>
    <xf numFmtId="0" fontId="0" fillId="0" borderId="36" xfId="0" applyBorder="1" applyAlignment="1">
      <alignment vertical="center"/>
    </xf>
    <xf numFmtId="0" fontId="0" fillId="25" borderId="37" xfId="0" applyFill="1" applyBorder="1" applyAlignment="1">
      <alignment vertical="center"/>
    </xf>
    <xf numFmtId="173" fontId="1" fillId="25" borderId="37" xfId="55" applyNumberFormat="1" applyFill="1" applyBorder="1" applyAlignment="1">
      <alignment vertical="center"/>
    </xf>
    <xf numFmtId="173" fontId="0" fillId="0" borderId="0" xfId="0" applyNumberFormat="1" applyAlignment="1">
      <alignment vertical="center"/>
    </xf>
    <xf numFmtId="0" fontId="0" fillId="0" borderId="18" xfId="0" applyBorder="1" applyAlignment="1">
      <alignment vertical="center"/>
    </xf>
    <xf numFmtId="169" fontId="0" fillId="0" borderId="19" xfId="0" applyNumberFormat="1" applyBorder="1" applyAlignment="1">
      <alignment horizontal="center" vertical="center"/>
    </xf>
    <xf numFmtId="0" fontId="0" fillId="0" borderId="19" xfId="0" applyBorder="1" applyAlignment="1">
      <alignment vertical="center"/>
    </xf>
    <xf numFmtId="0" fontId="0" fillId="0" borderId="38"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173" fontId="1" fillId="25" borderId="28" xfId="55" applyNumberFormat="1" applyFont="1" applyFill="1" applyBorder="1" applyAlignment="1">
      <alignment vertical="center"/>
    </xf>
    <xf numFmtId="172" fontId="0" fillId="0" borderId="0" xfId="0" applyNumberFormat="1" applyAlignment="1">
      <alignment vertical="center"/>
    </xf>
    <xf numFmtId="172" fontId="0" fillId="27" borderId="39" xfId="0" applyNumberFormat="1" applyFill="1" applyBorder="1" applyAlignment="1">
      <alignment vertical="center"/>
    </xf>
    <xf numFmtId="172" fontId="0" fillId="27" borderId="22" xfId="0" applyNumberFormat="1" applyFill="1" applyBorder="1" applyAlignment="1">
      <alignment vertical="center"/>
    </xf>
    <xf numFmtId="173" fontId="1" fillId="0" borderId="0" xfId="55" applyNumberFormat="1" applyAlignment="1">
      <alignment vertical="center" wrapText="1"/>
    </xf>
    <xf numFmtId="168" fontId="0" fillId="0" borderId="0" xfId="55" applyNumberFormat="1" applyFont="1" applyAlignment="1">
      <alignment vertical="center"/>
    </xf>
    <xf numFmtId="173" fontId="1" fillId="0" borderId="0" xfId="55" applyNumberFormat="1" applyFont="1" applyAlignment="1">
      <alignment vertical="center"/>
    </xf>
    <xf numFmtId="172" fontId="38" fillId="28" borderId="40" xfId="0" applyNumberFormat="1" applyFont="1" applyFill="1" applyBorder="1" applyAlignment="1">
      <alignment vertical="center"/>
    </xf>
    <xf numFmtId="173" fontId="1" fillId="27" borderId="20" xfId="55" applyNumberFormat="1" applyFill="1" applyBorder="1" applyAlignment="1">
      <alignment vertical="center"/>
    </xf>
    <xf numFmtId="173" fontId="1" fillId="27" borderId="39" xfId="55" applyNumberFormat="1" applyFont="1" applyFill="1" applyBorder="1" applyAlignment="1">
      <alignment vertical="center"/>
    </xf>
    <xf numFmtId="173" fontId="1" fillId="25" borderId="41" xfId="55" applyNumberFormat="1" applyFill="1" applyBorder="1" applyAlignment="1">
      <alignment vertical="center"/>
    </xf>
    <xf numFmtId="173" fontId="1" fillId="25" borderId="42" xfId="55" applyNumberFormat="1" applyFont="1" applyFill="1" applyBorder="1" applyAlignment="1">
      <alignment vertical="center"/>
    </xf>
    <xf numFmtId="0" fontId="38" fillId="28" borderId="24" xfId="0" applyFont="1" applyFill="1" applyBorder="1" applyAlignment="1">
      <alignment vertical="center"/>
    </xf>
    <xf numFmtId="0" fontId="38" fillId="28" borderId="26" xfId="0" applyFont="1" applyFill="1" applyBorder="1" applyAlignment="1">
      <alignment vertical="center"/>
    </xf>
    <xf numFmtId="0" fontId="38" fillId="28" borderId="27" xfId="0" applyFont="1" applyFill="1" applyBorder="1" applyAlignment="1">
      <alignment vertical="center"/>
    </xf>
    <xf numFmtId="0" fontId="38" fillId="28" borderId="30" xfId="0" applyFont="1" applyFill="1" applyBorder="1" applyAlignment="1">
      <alignment vertical="center"/>
    </xf>
    <xf numFmtId="172" fontId="38" fillId="28" borderId="43" xfId="0" applyNumberFormat="1" applyFont="1" applyFill="1" applyBorder="1" applyAlignment="1">
      <alignment vertical="center"/>
    </xf>
    <xf numFmtId="175" fontId="38" fillId="28" borderId="40" xfId="0" applyNumberFormat="1" applyFont="1" applyFill="1" applyBorder="1" applyAlignment="1">
      <alignment vertical="center"/>
    </xf>
    <xf numFmtId="172" fontId="38" fillId="28" borderId="44" xfId="0" applyNumberFormat="1" applyFont="1" applyFill="1" applyBorder="1" applyAlignment="1">
      <alignment vertical="center"/>
    </xf>
    <xf numFmtId="175" fontId="38" fillId="28" borderId="23" xfId="0" applyNumberFormat="1" applyFont="1" applyFill="1" applyBorder="1" applyAlignment="1">
      <alignment vertical="center"/>
    </xf>
    <xf numFmtId="0" fontId="0" fillId="0" borderId="45" xfId="0" applyBorder="1" applyAlignment="1">
      <alignment vertical="center"/>
    </xf>
    <xf numFmtId="0" fontId="26" fillId="0" borderId="0" xfId="0" applyFont="1" applyFill="1" applyBorder="1" applyAlignment="1">
      <alignment horizontal="center" vertical="center"/>
    </xf>
    <xf numFmtId="0" fontId="0" fillId="0" borderId="0" xfId="0" applyAlignment="1">
      <alignment wrapText="1"/>
    </xf>
    <xf numFmtId="0" fontId="31" fillId="0" borderId="0" xfId="0" applyFont="1" applyFill="1" applyBorder="1" applyAlignment="1" applyProtection="1">
      <alignment horizontal="center" vertical="center" wrapText="1"/>
      <protection hidden="1"/>
    </xf>
    <xf numFmtId="43" fontId="1" fillId="0" borderId="0" xfId="55" applyFont="1" applyAlignment="1">
      <alignment vertical="center"/>
    </xf>
    <xf numFmtId="0" fontId="0" fillId="25" borderId="0" xfId="0" applyFill="1"/>
    <xf numFmtId="0" fontId="21" fillId="0" borderId="0" xfId="81"/>
    <xf numFmtId="0" fontId="2" fillId="0" borderId="0" xfId="81" applyFont="1"/>
    <xf numFmtId="0" fontId="21" fillId="0" borderId="0" xfId="81" applyFont="1"/>
    <xf numFmtId="0" fontId="44" fillId="0" borderId="0" xfId="81" applyFont="1"/>
    <xf numFmtId="0" fontId="44" fillId="0" borderId="0" xfId="81" applyFont="1" applyFill="1"/>
    <xf numFmtId="0" fontId="61" fillId="0" borderId="0" xfId="81" applyFont="1"/>
    <xf numFmtId="0" fontId="44" fillId="26" borderId="0" xfId="81" applyFont="1" applyFill="1"/>
    <xf numFmtId="0" fontId="21" fillId="26" borderId="0" xfId="81" applyFill="1"/>
    <xf numFmtId="0" fontId="21" fillId="0" borderId="16" xfId="81" applyFont="1" applyBorder="1"/>
    <xf numFmtId="0" fontId="21" fillId="0" borderId="16" xfId="81" applyFont="1" applyFill="1" applyBorder="1"/>
    <xf numFmtId="0" fontId="21" fillId="0" borderId="16" xfId="81" applyBorder="1"/>
    <xf numFmtId="0" fontId="21" fillId="24" borderId="16" xfId="81" applyFont="1" applyFill="1" applyBorder="1"/>
    <xf numFmtId="0" fontId="62" fillId="0" borderId="0" xfId="81" applyFont="1"/>
    <xf numFmtId="0" fontId="61" fillId="26" borderId="0" xfId="81" applyFont="1" applyFill="1"/>
    <xf numFmtId="0" fontId="26" fillId="28" borderId="16" xfId="81" applyFont="1" applyFill="1" applyBorder="1"/>
    <xf numFmtId="0" fontId="35" fillId="26" borderId="16" xfId="81" applyFont="1" applyFill="1" applyBorder="1"/>
    <xf numFmtId="0" fontId="35" fillId="26" borderId="16" xfId="81" applyFont="1" applyFill="1" applyBorder="1" applyAlignment="1">
      <alignment horizontal="center"/>
    </xf>
    <xf numFmtId="0" fontId="21" fillId="27" borderId="0" xfId="81" applyFill="1" applyAlignment="1">
      <alignment horizontal="center"/>
    </xf>
    <xf numFmtId="0" fontId="26" fillId="28" borderId="16" xfId="81" applyFont="1" applyFill="1" applyBorder="1" applyAlignment="1">
      <alignment horizontal="left" indent="1"/>
    </xf>
    <xf numFmtId="0" fontId="26" fillId="28" borderId="16" xfId="81" applyFont="1" applyFill="1" applyBorder="1" applyAlignment="1">
      <alignment horizontal="center"/>
    </xf>
    <xf numFmtId="0" fontId="65" fillId="26" borderId="0" xfId="81" applyFont="1" applyFill="1"/>
    <xf numFmtId="0" fontId="35" fillId="26" borderId="0" xfId="81" applyFont="1" applyFill="1"/>
    <xf numFmtId="0" fontId="21" fillId="0" borderId="16" xfId="81" applyBorder="1" applyAlignment="1">
      <alignment horizontal="center"/>
    </xf>
    <xf numFmtId="167" fontId="0" fillId="0" borderId="16" xfId="57" applyNumberFormat="1" applyFont="1" applyBorder="1" applyAlignment="1">
      <alignment horizontal="center"/>
    </xf>
    <xf numFmtId="43" fontId="0" fillId="0" borderId="16" xfId="57" applyFont="1" applyBorder="1"/>
    <xf numFmtId="0" fontId="59" fillId="31" borderId="59" xfId="84" applyFont="1" applyFill="1" applyBorder="1" applyAlignment="1">
      <alignment horizontal="center" vertical="center" wrapText="1"/>
    </xf>
    <xf numFmtId="0" fontId="59" fillId="31" borderId="16" xfId="84" applyFont="1" applyFill="1" applyBorder="1" applyAlignment="1">
      <alignment horizontal="center" vertical="center" wrapText="1"/>
    </xf>
    <xf numFmtId="2" fontId="59" fillId="31" borderId="16" xfId="84" applyNumberFormat="1" applyFont="1" applyFill="1" applyBorder="1" applyAlignment="1">
      <alignment horizontal="center" vertical="center" wrapText="1"/>
    </xf>
    <xf numFmtId="0" fontId="59" fillId="32" borderId="16" xfId="84" applyFont="1" applyFill="1" applyBorder="1" applyAlignment="1">
      <alignment horizontal="center" vertical="center" wrapText="1"/>
    </xf>
    <xf numFmtId="0" fontId="35" fillId="26" borderId="0" xfId="84" applyFont="1" applyFill="1" applyBorder="1" applyAlignment="1">
      <alignment horizontal="center" vertical="center" wrapText="1"/>
    </xf>
    <xf numFmtId="166" fontId="35" fillId="26" borderId="0" xfId="84" applyNumberFormat="1" applyFont="1" applyFill="1" applyBorder="1" applyAlignment="1">
      <alignment horizontal="center" vertical="center" wrapText="1"/>
    </xf>
    <xf numFmtId="0" fontId="67" fillId="26" borderId="0" xfId="84" applyFont="1" applyFill="1" applyBorder="1" applyAlignment="1">
      <alignment horizontal="center" vertical="center" wrapText="1"/>
    </xf>
    <xf numFmtId="0" fontId="21" fillId="26" borderId="16" xfId="81" applyFill="1" applyBorder="1"/>
    <xf numFmtId="0" fontId="35" fillId="26" borderId="0" xfId="84" applyFont="1" applyFill="1" applyBorder="1" applyAlignment="1">
      <alignment horizontal="left" vertical="center" wrapText="1"/>
    </xf>
    <xf numFmtId="0" fontId="59" fillId="31" borderId="60" xfId="84" applyFont="1" applyFill="1" applyBorder="1" applyAlignment="1">
      <alignment horizontal="center" vertical="center" wrapText="1"/>
    </xf>
    <xf numFmtId="2" fontId="59" fillId="31" borderId="60" xfId="84" applyNumberFormat="1" applyFont="1" applyFill="1" applyBorder="1" applyAlignment="1">
      <alignment horizontal="center" vertical="center" wrapText="1"/>
    </xf>
    <xf numFmtId="0" fontId="21" fillId="0" borderId="0" xfId="0" applyFont="1" applyAlignment="1">
      <alignment wrapText="1"/>
    </xf>
    <xf numFmtId="0" fontId="2" fillId="0" borderId="0" xfId="0" applyFont="1" applyFill="1" applyBorder="1" applyAlignment="1" applyProtection="1">
      <alignment horizontal="left" vertical="center"/>
      <protection hidden="1"/>
    </xf>
    <xf numFmtId="10" fontId="0" fillId="0" borderId="0" xfId="0" applyNumberFormat="1"/>
    <xf numFmtId="0" fontId="126" fillId="0" borderId="0" xfId="82"/>
    <xf numFmtId="0" fontId="126" fillId="0" borderId="0" xfId="82" applyAlignment="1">
      <alignment vertical="center"/>
    </xf>
    <xf numFmtId="0" fontId="126" fillId="0" borderId="0" xfId="82" applyAlignment="1">
      <alignment vertical="center" wrapText="1"/>
    </xf>
    <xf numFmtId="0" fontId="126" fillId="0" borderId="0" xfId="82" applyFill="1"/>
    <xf numFmtId="0" fontId="126" fillId="0" borderId="0" xfId="82" applyFill="1" applyAlignment="1">
      <alignment vertical="center"/>
    </xf>
    <xf numFmtId="0" fontId="0" fillId="0" borderId="73" xfId="0" applyBorder="1" applyAlignment="1"/>
    <xf numFmtId="0" fontId="35" fillId="0" borderId="39" xfId="0" applyFont="1" applyFill="1" applyBorder="1" applyAlignment="1">
      <alignment vertical="center" wrapText="1"/>
    </xf>
    <xf numFmtId="0" fontId="26" fillId="0" borderId="0" xfId="0" applyFont="1" applyAlignment="1">
      <alignment horizontal="center" vertical="center"/>
    </xf>
    <xf numFmtId="0" fontId="0" fillId="0" borderId="0" xfId="0" applyAlignment="1" applyProtection="1">
      <alignment vertical="center" wrapText="1"/>
      <protection locked="0"/>
    </xf>
    <xf numFmtId="0" fontId="51" fillId="0" borderId="16" xfId="0" applyFont="1" applyFill="1" applyBorder="1" applyAlignment="1">
      <alignment horizontal="center"/>
    </xf>
    <xf numFmtId="0" fontId="26" fillId="0" borderId="98" xfId="0" applyFont="1" applyBorder="1" applyAlignment="1" applyProtection="1">
      <alignment vertical="center" wrapText="1"/>
      <protection hidden="1"/>
    </xf>
    <xf numFmtId="0" fontId="26" fillId="0" borderId="99" xfId="0" applyFont="1" applyBorder="1" applyAlignment="1" applyProtection="1">
      <alignment vertical="center" wrapText="1"/>
      <protection hidden="1"/>
    </xf>
    <xf numFmtId="0" fontId="21" fillId="0" borderId="100" xfId="0" applyFont="1" applyBorder="1" applyAlignment="1" applyProtection="1">
      <alignment horizontal="left" vertical="center" indent="1"/>
      <protection hidden="1"/>
    </xf>
    <xf numFmtId="10" fontId="21" fillId="0" borderId="100" xfId="89" applyNumberFormat="1" applyFont="1" applyBorder="1" applyAlignment="1" applyProtection="1">
      <alignment horizontal="center" vertical="center"/>
      <protection locked="0"/>
    </xf>
    <xf numFmtId="0" fontId="21" fillId="0" borderId="96" xfId="0" applyFont="1" applyBorder="1" applyAlignment="1" applyProtection="1">
      <alignment horizontal="left" vertical="center" indent="1"/>
      <protection hidden="1"/>
    </xf>
    <xf numFmtId="0" fontId="21" fillId="0" borderId="96" xfId="0" applyFont="1" applyBorder="1" applyAlignment="1" applyProtection="1">
      <alignment horizontal="left" vertical="center" wrapText="1" indent="1"/>
      <protection hidden="1"/>
    </xf>
    <xf numFmtId="0" fontId="21" fillId="0" borderId="101" xfId="0" applyFont="1" applyBorder="1" applyAlignment="1" applyProtection="1">
      <alignment horizontal="left" vertical="center" wrapText="1" indent="1"/>
      <protection hidden="1"/>
    </xf>
    <xf numFmtId="0" fontId="21" fillId="0" borderId="16" xfId="0" applyFont="1" applyBorder="1" applyAlignment="1" applyProtection="1">
      <alignment horizontal="left" vertical="center" wrapText="1" indent="1"/>
      <protection hidden="1"/>
    </xf>
    <xf numFmtId="10" fontId="21" fillId="25" borderId="16" xfId="89" applyNumberFormat="1" applyFont="1" applyFill="1" applyBorder="1" applyAlignment="1" applyProtection="1">
      <alignment horizontal="center" vertical="center" wrapText="1"/>
      <protection locked="0"/>
    </xf>
    <xf numFmtId="0" fontId="21" fillId="0" borderId="58" xfId="0" applyFont="1" applyBorder="1" applyAlignment="1" applyProtection="1">
      <alignment horizontal="left" vertical="center" wrapText="1" indent="1"/>
      <protection hidden="1"/>
    </xf>
    <xf numFmtId="10" fontId="21" fillId="0" borderId="47" xfId="89" applyNumberFormat="1" applyFont="1" applyBorder="1" applyAlignment="1" applyProtection="1">
      <alignment horizontal="center" vertical="center" wrapText="1"/>
      <protection locked="0"/>
    </xf>
    <xf numFmtId="0" fontId="21" fillId="0" borderId="98" xfId="0" applyFont="1" applyBorder="1" applyAlignment="1" applyProtection="1">
      <alignment horizontal="left" vertical="center" wrapText="1" indent="1"/>
      <protection hidden="1"/>
    </xf>
    <xf numFmtId="10" fontId="21" fillId="0" borderId="99" xfId="89" applyNumberFormat="1" applyFont="1" applyBorder="1" applyAlignment="1" applyProtection="1">
      <alignment horizontal="center" vertical="center" wrapText="1"/>
      <protection locked="0"/>
    </xf>
    <xf numFmtId="10" fontId="21" fillId="0" borderId="16" xfId="89" applyNumberFormat="1" applyFont="1" applyBorder="1" applyAlignment="1" applyProtection="1">
      <alignment horizontal="center" vertical="center" wrapText="1"/>
      <protection locked="0"/>
    </xf>
    <xf numFmtId="0" fontId="21" fillId="0" borderId="102" xfId="0" applyFont="1" applyBorder="1" applyAlignment="1" applyProtection="1">
      <alignment horizontal="left" vertical="center" wrapText="1" indent="1"/>
      <protection hidden="1"/>
    </xf>
    <xf numFmtId="10" fontId="21" fillId="26" borderId="16" xfId="89" applyNumberFormat="1" applyFont="1" applyFill="1" applyBorder="1" applyAlignment="1" applyProtection="1">
      <alignment horizontal="center" vertical="center" wrapText="1"/>
      <protection locked="0"/>
    </xf>
    <xf numFmtId="0" fontId="0" fillId="26" borderId="0" xfId="0" applyFill="1" applyAlignment="1">
      <alignment vertical="center"/>
    </xf>
    <xf numFmtId="4" fontId="21" fillId="26" borderId="16" xfId="55" applyNumberFormat="1" applyFont="1" applyFill="1" applyBorder="1" applyAlignment="1" applyProtection="1">
      <alignment horizontal="center" vertical="center" wrapText="1"/>
      <protection locked="0"/>
    </xf>
    <xf numFmtId="4" fontId="21" fillId="24" borderId="16" xfId="55" applyNumberFormat="1" applyFont="1" applyFill="1" applyBorder="1" applyAlignment="1" applyProtection="1">
      <alignment horizontal="center" vertical="center" wrapText="1"/>
      <protection locked="0"/>
    </xf>
    <xf numFmtId="0" fontId="0" fillId="24" borderId="0" xfId="0" applyFill="1" applyBorder="1" applyAlignment="1">
      <alignment vertical="center"/>
    </xf>
    <xf numFmtId="0" fontId="0" fillId="24" borderId="0" xfId="0" applyFill="1" applyAlignment="1">
      <alignment vertical="center"/>
    </xf>
    <xf numFmtId="169" fontId="21" fillId="0" borderId="16" xfId="55" applyNumberFormat="1" applyFont="1" applyBorder="1" applyAlignment="1" applyProtection="1">
      <alignment horizontal="center" vertical="center" wrapText="1"/>
      <protection locked="0"/>
    </xf>
    <xf numFmtId="3" fontId="21" fillId="0" borderId="16" xfId="55" applyNumberFormat="1" applyFont="1" applyBorder="1" applyAlignment="1" applyProtection="1">
      <alignment horizontal="center" vertical="center" wrapText="1"/>
      <protection locked="0"/>
    </xf>
    <xf numFmtId="171" fontId="21" fillId="0" borderId="16" xfId="89" applyNumberFormat="1" applyFont="1" applyBorder="1" applyAlignment="1" applyProtection="1">
      <alignment horizontal="center" vertical="center" wrapText="1"/>
      <protection locked="0"/>
    </xf>
    <xf numFmtId="0" fontId="49" fillId="25" borderId="16" xfId="0" applyFont="1" applyFill="1" applyBorder="1"/>
    <xf numFmtId="171" fontId="49" fillId="25" borderId="16" xfId="89" applyNumberFormat="1" applyFont="1" applyFill="1" applyBorder="1" applyAlignment="1">
      <alignment horizontal="center"/>
    </xf>
    <xf numFmtId="171" fontId="49" fillId="25" borderId="16" xfId="89" applyNumberFormat="1" applyFont="1" applyFill="1" applyBorder="1" applyAlignment="1">
      <alignment horizontal="center" vertical="center"/>
    </xf>
    <xf numFmtId="0" fontId="5" fillId="0" borderId="0" xfId="0" applyFont="1"/>
    <xf numFmtId="0" fontId="89" fillId="24" borderId="0" xfId="0" applyFont="1" applyFill="1"/>
    <xf numFmtId="0" fontId="73" fillId="24" borderId="0" xfId="0" applyFont="1" applyFill="1"/>
    <xf numFmtId="0" fontId="0" fillId="24" borderId="0" xfId="0" applyFill="1"/>
    <xf numFmtId="168" fontId="21" fillId="0" borderId="0" xfId="55" applyNumberFormat="1" applyFont="1" applyAlignment="1">
      <alignment wrapText="1"/>
    </xf>
    <xf numFmtId="0" fontId="5" fillId="0" borderId="0" xfId="0" applyFont="1" applyAlignment="1">
      <alignment horizontal="left" wrapText="1"/>
    </xf>
    <xf numFmtId="0" fontId="35" fillId="0" borderId="32" xfId="0" applyFont="1" applyBorder="1" applyAlignment="1">
      <alignment horizontal="center" vertical="center" wrapText="1"/>
    </xf>
    <xf numFmtId="0" fontId="33" fillId="0" borderId="32" xfId="0" applyFont="1" applyBorder="1" applyAlignment="1">
      <alignment horizontal="center" vertical="center" wrapText="1"/>
    </xf>
    <xf numFmtId="0" fontId="35" fillId="0" borderId="16" xfId="0" applyFont="1" applyBorder="1" applyAlignment="1">
      <alignment horizontal="center" vertical="center" wrapText="1"/>
    </xf>
    <xf numFmtId="0" fontId="33" fillId="0" borderId="29" xfId="0" applyFont="1" applyBorder="1" applyAlignment="1">
      <alignment horizontal="center" vertical="center" wrapText="1"/>
    </xf>
    <xf numFmtId="0" fontId="33" fillId="0" borderId="16" xfId="0" applyFont="1" applyBorder="1" applyAlignment="1">
      <alignment horizontal="center" vertical="center" wrapText="1"/>
    </xf>
    <xf numFmtId="0" fontId="21" fillId="0" borderId="16" xfId="0" applyFont="1" applyBorder="1" applyAlignment="1">
      <alignment vertical="center" wrapText="1"/>
    </xf>
    <xf numFmtId="3" fontId="0" fillId="25" borderId="16" xfId="0" applyNumberFormat="1" applyFill="1" applyBorder="1" applyAlignment="1" applyProtection="1">
      <alignment horizontal="center" vertical="center" wrapText="1"/>
      <protection hidden="1"/>
    </xf>
    <xf numFmtId="0" fontId="5" fillId="0" borderId="16" xfId="0" applyFont="1" applyBorder="1" applyAlignment="1">
      <alignment horizontal="left" vertical="center" wrapText="1"/>
    </xf>
    <xf numFmtId="168" fontId="21" fillId="0" borderId="16" xfId="55" applyNumberFormat="1" applyFont="1" applyBorder="1" applyAlignment="1" applyProtection="1">
      <alignment vertical="center" wrapText="1"/>
      <protection locked="0"/>
    </xf>
    <xf numFmtId="1" fontId="21" fillId="25" borderId="16" xfId="55" applyNumberFormat="1" applyFont="1" applyFill="1" applyBorder="1" applyAlignment="1" applyProtection="1">
      <alignment horizontal="center" vertical="center" wrapText="1"/>
      <protection hidden="1"/>
    </xf>
    <xf numFmtId="168" fontId="21" fillId="28" borderId="16" xfId="55" applyNumberFormat="1" applyFont="1" applyFill="1" applyBorder="1" applyAlignment="1" applyProtection="1">
      <alignment vertical="center" wrapText="1"/>
      <protection locked="0"/>
    </xf>
    <xf numFmtId="168" fontId="21" fillId="28" borderId="16" xfId="55" applyNumberFormat="1" applyFont="1" applyFill="1" applyBorder="1" applyAlignment="1" applyProtection="1">
      <alignment vertical="center" wrapText="1"/>
      <protection hidden="1"/>
    </xf>
    <xf numFmtId="168" fontId="21" fillId="27" borderId="16" xfId="55" applyNumberFormat="1" applyFont="1" applyFill="1" applyBorder="1" applyAlignment="1" applyProtection="1">
      <alignment vertical="center" wrapText="1"/>
      <protection locked="0"/>
    </xf>
    <xf numFmtId="168" fontId="21" fillId="27" borderId="16" xfId="55" applyNumberFormat="1" applyFont="1" applyFill="1" applyBorder="1" applyAlignment="1" applyProtection="1">
      <alignment vertical="center" wrapText="1"/>
      <protection hidden="1"/>
    </xf>
    <xf numFmtId="3" fontId="21" fillId="27" borderId="16" xfId="55" applyNumberFormat="1" applyFont="1" applyFill="1" applyBorder="1" applyAlignment="1" applyProtection="1">
      <alignment horizontal="center" vertical="center" wrapText="1"/>
      <protection hidden="1"/>
    </xf>
    <xf numFmtId="3" fontId="21" fillId="27" borderId="16" xfId="55" applyNumberFormat="1" applyFont="1" applyFill="1" applyBorder="1" applyAlignment="1" applyProtection="1">
      <alignment horizontal="center" vertical="center" wrapText="1"/>
      <protection locked="0"/>
    </xf>
    <xf numFmtId="3" fontId="21" fillId="25" borderId="16" xfId="55" applyNumberFormat="1" applyFont="1" applyFill="1" applyBorder="1" applyAlignment="1" applyProtection="1">
      <alignment horizontal="center" vertical="center" wrapText="1"/>
      <protection hidden="1"/>
    </xf>
    <xf numFmtId="0" fontId="0" fillId="0" borderId="58" xfId="0" applyBorder="1" applyAlignment="1">
      <alignment vertical="center" wrapText="1"/>
    </xf>
    <xf numFmtId="0" fontId="0" fillId="0" borderId="16" xfId="0" applyFill="1" applyBorder="1" applyAlignment="1">
      <alignment vertical="center" wrapText="1"/>
    </xf>
    <xf numFmtId="168" fontId="21" fillId="27" borderId="16" xfId="55" applyNumberFormat="1" applyFont="1" applyFill="1" applyBorder="1" applyAlignment="1">
      <alignment vertical="center" wrapText="1"/>
    </xf>
    <xf numFmtId="168" fontId="0" fillId="0" borderId="0" xfId="0" applyNumberFormat="1" applyAlignment="1">
      <alignment vertical="center"/>
    </xf>
    <xf numFmtId="169" fontId="21" fillId="25" borderId="16" xfId="55" applyNumberFormat="1" applyFont="1" applyFill="1" applyBorder="1" applyAlignment="1" applyProtection="1">
      <alignment horizontal="center" vertical="center" wrapText="1"/>
      <protection hidden="1"/>
    </xf>
    <xf numFmtId="168" fontId="21" fillId="28" borderId="16" xfId="55" applyNumberFormat="1" applyFont="1" applyFill="1" applyBorder="1" applyAlignment="1">
      <alignment vertical="center" wrapText="1"/>
    </xf>
    <xf numFmtId="9" fontId="21" fillId="0" borderId="16" xfId="89" applyFont="1" applyBorder="1" applyAlignment="1" applyProtection="1">
      <alignment horizontal="center" vertical="center" wrapText="1"/>
      <protection locked="0"/>
    </xf>
    <xf numFmtId="9" fontId="21" fillId="27" borderId="16" xfId="89" applyFont="1" applyFill="1" applyBorder="1" applyAlignment="1" applyProtection="1">
      <alignment horizontal="center" vertical="center" wrapText="1"/>
      <protection hidden="1"/>
    </xf>
    <xf numFmtId="168" fontId="35" fillId="0" borderId="16" xfId="55" applyNumberFormat="1" applyFont="1" applyFill="1" applyBorder="1" applyAlignment="1" applyProtection="1">
      <alignment horizontal="center" vertical="center" wrapText="1"/>
      <protection hidden="1"/>
    </xf>
    <xf numFmtId="171" fontId="26" fillId="25" borderId="16" xfId="89" applyNumberFormat="1" applyFont="1" applyFill="1" applyBorder="1" applyAlignment="1" applyProtection="1">
      <alignment horizontal="center" vertical="center" wrapText="1"/>
      <protection hidden="1"/>
    </xf>
    <xf numFmtId="3" fontId="21" fillId="0" borderId="16" xfId="55" applyNumberFormat="1" applyFont="1" applyFill="1" applyBorder="1" applyAlignment="1" applyProtection="1">
      <alignment horizontal="center" vertical="center" wrapText="1"/>
      <protection locked="0"/>
    </xf>
    <xf numFmtId="44" fontId="21" fillId="0" borderId="16" xfId="59" applyFont="1" applyFill="1" applyBorder="1" applyAlignment="1" applyProtection="1">
      <alignment vertical="center" wrapText="1"/>
      <protection locked="0"/>
    </xf>
    <xf numFmtId="44" fontId="21" fillId="27" borderId="16" xfId="59" applyFont="1" applyFill="1" applyBorder="1" applyAlignment="1" applyProtection="1">
      <alignment vertical="center" wrapText="1"/>
      <protection hidden="1"/>
    </xf>
    <xf numFmtId="3" fontId="26" fillId="25" borderId="16" xfId="55" applyNumberFormat="1" applyFont="1" applyFill="1" applyBorder="1" applyAlignment="1" applyProtection="1">
      <alignment horizontal="center" vertical="center" wrapText="1"/>
      <protection hidden="1"/>
    </xf>
    <xf numFmtId="188" fontId="26" fillId="25" borderId="16" xfId="59" applyNumberFormat="1" applyFont="1" applyFill="1" applyBorder="1" applyAlignment="1" applyProtection="1">
      <alignment horizontal="center" vertical="center" wrapText="1"/>
      <protection hidden="1"/>
    </xf>
    <xf numFmtId="168" fontId="21" fillId="0" borderId="0" xfId="55" applyNumberFormat="1" applyFont="1" applyFill="1" applyAlignment="1">
      <alignment vertical="center" wrapText="1"/>
    </xf>
    <xf numFmtId="0" fontId="5" fillId="0" borderId="0" xfId="0" applyFont="1" applyAlignment="1">
      <alignment horizontal="left" vertical="center" wrapText="1"/>
    </xf>
    <xf numFmtId="0" fontId="33" fillId="0" borderId="39" xfId="0" applyFont="1" applyBorder="1" applyAlignment="1">
      <alignment vertical="center" wrapText="1"/>
    </xf>
    <xf numFmtId="0" fontId="33" fillId="0" borderId="0" xfId="0" applyFont="1" applyBorder="1" applyAlignment="1">
      <alignment vertical="center" wrapText="1"/>
    </xf>
    <xf numFmtId="168" fontId="33" fillId="28" borderId="40" xfId="55" applyNumberFormat="1" applyFont="1" applyFill="1" applyBorder="1" applyAlignment="1">
      <alignment vertical="center" wrapText="1"/>
    </xf>
    <xf numFmtId="168" fontId="33" fillId="28" borderId="0" xfId="55" applyNumberFormat="1" applyFont="1" applyFill="1" applyBorder="1" applyAlignment="1">
      <alignment vertical="center" wrapText="1"/>
    </xf>
    <xf numFmtId="0" fontId="33" fillId="0" borderId="39" xfId="0" applyFont="1" applyFill="1" applyBorder="1" applyAlignment="1">
      <alignment vertical="center" wrapText="1"/>
    </xf>
    <xf numFmtId="0" fontId="33" fillId="0" borderId="0" xfId="0" applyFont="1" applyFill="1" applyBorder="1" applyAlignment="1">
      <alignment vertical="center" wrapText="1"/>
    </xf>
    <xf numFmtId="0" fontId="90" fillId="0" borderId="39" xfId="0" applyFont="1" applyFill="1" applyBorder="1" applyAlignment="1">
      <alignment vertical="center" wrapText="1"/>
    </xf>
    <xf numFmtId="0" fontId="90" fillId="0" borderId="0" xfId="0" applyFont="1" applyFill="1" applyBorder="1" applyAlignment="1">
      <alignment vertical="center" wrapText="1"/>
    </xf>
    <xf numFmtId="175" fontId="65" fillId="28" borderId="40" xfId="55" applyNumberFormat="1" applyFont="1" applyFill="1" applyBorder="1" applyAlignment="1">
      <alignment vertical="center" wrapText="1"/>
    </xf>
    <xf numFmtId="175" fontId="65" fillId="28" borderId="0" xfId="55" applyNumberFormat="1" applyFont="1" applyFill="1" applyBorder="1" applyAlignment="1">
      <alignment vertical="center" wrapText="1"/>
    </xf>
    <xf numFmtId="175" fontId="0" fillId="0" borderId="0" xfId="0" applyNumberFormat="1" applyAlignment="1">
      <alignment vertical="center"/>
    </xf>
    <xf numFmtId="171" fontId="35" fillId="28" borderId="40" xfId="89" applyNumberFormat="1" applyFont="1" applyFill="1" applyBorder="1" applyAlignment="1">
      <alignment vertical="center" wrapText="1"/>
    </xf>
    <xf numFmtId="171" fontId="35" fillId="28" borderId="0" xfId="89" applyNumberFormat="1" applyFont="1" applyFill="1" applyBorder="1" applyAlignment="1">
      <alignment vertical="center" wrapText="1"/>
    </xf>
    <xf numFmtId="0" fontId="33" fillId="0" borderId="22" xfId="0" applyFont="1" applyFill="1" applyBorder="1" applyAlignment="1">
      <alignment vertical="center" wrapText="1"/>
    </xf>
    <xf numFmtId="0" fontId="33" fillId="0" borderId="45" xfId="0" applyFont="1" applyFill="1" applyBorder="1" applyAlignment="1">
      <alignment vertical="center" wrapText="1"/>
    </xf>
    <xf numFmtId="168" fontId="33" fillId="0" borderId="23" xfId="55" applyNumberFormat="1" applyFont="1" applyFill="1" applyBorder="1" applyAlignment="1">
      <alignment vertical="center" wrapText="1"/>
    </xf>
    <xf numFmtId="168" fontId="33" fillId="0" borderId="0" xfId="55" applyNumberFormat="1" applyFont="1" applyFill="1" applyBorder="1" applyAlignment="1">
      <alignment vertical="center" wrapText="1"/>
    </xf>
    <xf numFmtId="168" fontId="21" fillId="0" borderId="0" xfId="55" applyNumberFormat="1" applyFont="1" applyAlignment="1">
      <alignment vertical="center" wrapText="1"/>
    </xf>
    <xf numFmtId="0" fontId="91" fillId="26" borderId="0" xfId="0" applyFont="1" applyFill="1" applyAlignment="1">
      <alignment vertical="center"/>
    </xf>
    <xf numFmtId="168" fontId="21" fillId="0" borderId="0" xfId="55" applyNumberFormat="1" applyFont="1" applyAlignment="1">
      <alignment vertical="center"/>
    </xf>
    <xf numFmtId="172" fontId="21" fillId="0" borderId="0" xfId="55" applyNumberFormat="1" applyFont="1" applyAlignment="1">
      <alignment vertical="center" wrapText="1"/>
    </xf>
    <xf numFmtId="189" fontId="5" fillId="0" borderId="0" xfId="0" applyNumberFormat="1" applyFont="1" applyAlignment="1">
      <alignment horizontal="left" vertical="center" wrapText="1"/>
    </xf>
    <xf numFmtId="0" fontId="31" fillId="0" borderId="0" xfId="0" applyFont="1" applyAlignment="1">
      <alignment horizontal="center" vertical="center"/>
    </xf>
    <xf numFmtId="0" fontId="31" fillId="0" borderId="98" xfId="0" applyFont="1" applyBorder="1" applyAlignment="1">
      <alignment horizontal="center" vertical="center"/>
    </xf>
    <xf numFmtId="0" fontId="31" fillId="0" borderId="73" xfId="0" applyFont="1" applyBorder="1" applyAlignment="1">
      <alignment horizontal="center" vertical="center"/>
    </xf>
    <xf numFmtId="0" fontId="31" fillId="0" borderId="99" xfId="0" applyFont="1" applyBorder="1" applyAlignment="1">
      <alignment horizontal="center" vertical="center"/>
    </xf>
    <xf numFmtId="0" fontId="31" fillId="0" borderId="68" xfId="0" applyFont="1" applyBorder="1" applyAlignment="1">
      <alignment horizontal="center" vertical="center"/>
    </xf>
    <xf numFmtId="0" fontId="31" fillId="0" borderId="0" xfId="0" applyFont="1" applyBorder="1" applyAlignment="1">
      <alignment horizontal="center" vertical="center"/>
    </xf>
    <xf numFmtId="0" fontId="31" fillId="0" borderId="42" xfId="0" applyFont="1" applyBorder="1" applyAlignment="1">
      <alignment horizontal="center" vertical="center"/>
    </xf>
    <xf numFmtId="172" fontId="31" fillId="0" borderId="0" xfId="55" applyNumberFormat="1" applyFont="1" applyAlignment="1">
      <alignment horizontal="center" vertical="center"/>
    </xf>
    <xf numFmtId="0" fontId="31" fillId="0" borderId="86" xfId="0" applyFont="1" applyBorder="1" applyAlignment="1">
      <alignment horizontal="center" vertical="center"/>
    </xf>
    <xf numFmtId="0" fontId="31" fillId="0" borderId="84" xfId="0" applyFont="1" applyBorder="1" applyAlignment="1">
      <alignment horizontal="center" vertical="center"/>
    </xf>
    <xf numFmtId="0" fontId="31" fillId="0" borderId="103" xfId="0" applyFont="1" applyBorder="1" applyAlignment="1">
      <alignment horizontal="center" vertical="center"/>
    </xf>
    <xf numFmtId="0" fontId="34" fillId="0" borderId="0" xfId="0" applyFont="1" applyAlignment="1" applyProtection="1">
      <alignment vertical="center" wrapText="1"/>
      <protection hidden="1"/>
    </xf>
    <xf numFmtId="168" fontId="34" fillId="0" borderId="0" xfId="55" applyNumberFormat="1" applyFont="1" applyAlignment="1" applyProtection="1">
      <alignment vertical="center" wrapText="1"/>
      <protection hidden="1"/>
    </xf>
    <xf numFmtId="0" fontId="34" fillId="0" borderId="0" xfId="0" applyFont="1" applyAlignment="1" applyProtection="1">
      <alignment horizontal="left" vertical="center" wrapText="1"/>
      <protection hidden="1"/>
    </xf>
    <xf numFmtId="0" fontId="5" fillId="0" borderId="0" xfId="0" applyFont="1" applyAlignment="1">
      <alignment vertical="center" wrapText="1"/>
    </xf>
    <xf numFmtId="0" fontId="21" fillId="0" borderId="0" xfId="0" applyFont="1" applyAlignment="1" applyProtection="1">
      <alignment vertical="center"/>
      <protection hidden="1"/>
    </xf>
    <xf numFmtId="10" fontId="21" fillId="0" borderId="0" xfId="89" applyNumberFormat="1" applyFont="1" applyAlignment="1" applyProtection="1">
      <alignment horizontal="center" vertical="center"/>
      <protection locked="0"/>
    </xf>
    <xf numFmtId="43" fontId="21" fillId="0" borderId="0" xfId="55" applyFont="1" applyAlignment="1" applyProtection="1">
      <alignment horizontal="center" vertical="center"/>
      <protection locked="0"/>
    </xf>
    <xf numFmtId="189" fontId="21" fillId="0" borderId="0" xfId="55" applyNumberFormat="1" applyFont="1" applyAlignment="1" applyProtection="1">
      <alignment horizontal="center" vertical="center"/>
      <protection hidden="1"/>
    </xf>
    <xf numFmtId="189" fontId="21" fillId="27" borderId="0" xfId="55" applyNumberFormat="1" applyFont="1" applyFill="1" applyAlignment="1" applyProtection="1">
      <alignment horizontal="center" vertical="center"/>
      <protection hidden="1"/>
    </xf>
    <xf numFmtId="4" fontId="21" fillId="0" borderId="0" xfId="0" applyNumberFormat="1" applyFont="1" applyAlignment="1" applyProtection="1">
      <alignment horizontal="center" vertical="center"/>
      <protection hidden="1"/>
    </xf>
    <xf numFmtId="189" fontId="0" fillId="0" borderId="0" xfId="0" applyNumberFormat="1" applyAlignment="1">
      <alignment vertical="center"/>
    </xf>
    <xf numFmtId="189" fontId="21" fillId="0" borderId="0" xfId="0" applyNumberFormat="1" applyFont="1" applyAlignment="1" applyProtection="1">
      <alignment horizontal="center" vertical="center"/>
      <protection hidden="1"/>
    </xf>
    <xf numFmtId="189" fontId="21" fillId="27" borderId="0" xfId="0" applyNumberFormat="1" applyFont="1" applyFill="1" applyAlignment="1" applyProtection="1">
      <alignment horizontal="center" vertical="center"/>
      <protection hidden="1"/>
    </xf>
    <xf numFmtId="0" fontId="21" fillId="0" borderId="0" xfId="0" applyFont="1" applyAlignment="1" applyProtection="1">
      <alignment vertical="center" wrapText="1"/>
      <protection hidden="1"/>
    </xf>
    <xf numFmtId="189" fontId="21" fillId="0" borderId="0" xfId="55" applyNumberFormat="1" applyFont="1" applyAlignment="1" applyProtection="1">
      <alignment horizontal="center" vertical="center" wrapText="1"/>
      <protection hidden="1"/>
    </xf>
    <xf numFmtId="10" fontId="21" fillId="0" borderId="0" xfId="89" applyNumberFormat="1" applyFont="1" applyAlignment="1" applyProtection="1">
      <alignment horizontal="center" vertical="center" wrapText="1"/>
      <protection locked="0"/>
    </xf>
    <xf numFmtId="189" fontId="21" fillId="27" borderId="0" xfId="55" applyNumberFormat="1" applyFont="1" applyFill="1" applyAlignment="1" applyProtection="1">
      <alignment horizontal="center" vertical="center" wrapText="1"/>
      <protection hidden="1"/>
    </xf>
    <xf numFmtId="4" fontId="21" fillId="0" borderId="0" xfId="0" applyNumberFormat="1" applyFont="1" applyAlignment="1" applyProtection="1">
      <alignment horizontal="center" vertical="center" wrapText="1"/>
      <protection hidden="1"/>
    </xf>
    <xf numFmtId="0" fontId="21" fillId="0" borderId="16" xfId="0" applyFont="1" applyBorder="1" applyAlignment="1" applyProtection="1">
      <alignment vertical="center" wrapText="1"/>
      <protection hidden="1"/>
    </xf>
    <xf numFmtId="189" fontId="21" fillId="0" borderId="16" xfId="55" applyNumberFormat="1" applyFont="1" applyBorder="1" applyAlignment="1" applyProtection="1">
      <alignment horizontal="center" vertical="center" wrapText="1"/>
      <protection hidden="1"/>
    </xf>
    <xf numFmtId="43" fontId="21" fillId="0" borderId="16" xfId="55" applyFont="1" applyBorder="1" applyAlignment="1" applyProtection="1">
      <alignment horizontal="center" vertical="center" wrapText="1"/>
      <protection hidden="1"/>
    </xf>
    <xf numFmtId="189" fontId="21" fillId="27" borderId="16" xfId="55" applyNumberFormat="1" applyFont="1" applyFill="1" applyBorder="1" applyAlignment="1" applyProtection="1">
      <alignment horizontal="center" vertical="center" wrapText="1"/>
      <protection hidden="1"/>
    </xf>
    <xf numFmtId="10" fontId="21" fillId="0" borderId="32" xfId="89" applyNumberFormat="1" applyFont="1" applyBorder="1" applyAlignment="1" applyProtection="1">
      <alignment horizontal="center" vertical="center" wrapText="1"/>
      <protection locked="0"/>
    </xf>
    <xf numFmtId="189" fontId="21" fillId="0" borderId="32" xfId="55" applyNumberFormat="1" applyFont="1" applyBorder="1" applyAlignment="1" applyProtection="1">
      <alignment horizontal="center" vertical="center" wrapText="1"/>
      <protection hidden="1"/>
    </xf>
    <xf numFmtId="189" fontId="21" fillId="27" borderId="32" xfId="55" applyNumberFormat="1" applyFont="1" applyFill="1" applyBorder="1" applyAlignment="1" applyProtection="1">
      <alignment horizontal="center" vertical="center" wrapText="1"/>
      <protection hidden="1"/>
    </xf>
    <xf numFmtId="10" fontId="21" fillId="37" borderId="16" xfId="89" applyNumberFormat="1" applyFont="1" applyFill="1" applyBorder="1" applyAlignment="1" applyProtection="1">
      <alignment horizontal="center" vertical="center" wrapText="1"/>
      <protection locked="0"/>
    </xf>
    <xf numFmtId="189" fontId="21" fillId="37" borderId="16" xfId="55" applyNumberFormat="1" applyFont="1" applyFill="1" applyBorder="1" applyAlignment="1" applyProtection="1">
      <alignment horizontal="center" vertical="center" wrapText="1"/>
      <protection hidden="1"/>
    </xf>
    <xf numFmtId="4" fontId="21" fillId="37" borderId="16" xfId="0" applyNumberFormat="1" applyFont="1" applyFill="1" applyBorder="1" applyAlignment="1" applyProtection="1">
      <alignment horizontal="center" vertical="center" wrapText="1"/>
      <protection hidden="1"/>
    </xf>
    <xf numFmtId="9" fontId="21" fillId="30" borderId="0" xfId="89" applyFont="1" applyFill="1" applyAlignment="1" applyProtection="1">
      <alignment horizontal="center" vertical="center" wrapText="1"/>
      <protection locked="0"/>
    </xf>
    <xf numFmtId="43" fontId="21" fillId="0" borderId="0" xfId="55" applyFont="1" applyAlignment="1" applyProtection="1">
      <alignment horizontal="center" vertical="center" wrapText="1"/>
      <protection locked="0"/>
    </xf>
    <xf numFmtId="172" fontId="21" fillId="0" borderId="0" xfId="55" applyNumberFormat="1" applyFont="1" applyAlignment="1" applyProtection="1">
      <alignment horizontal="center" vertical="center" wrapText="1"/>
      <protection locked="0"/>
    </xf>
    <xf numFmtId="179" fontId="0" fillId="0" borderId="0" xfId="0" applyNumberFormat="1" applyAlignment="1">
      <alignment vertical="center"/>
    </xf>
    <xf numFmtId="43" fontId="1" fillId="0" borderId="0" xfId="55" applyNumberFormat="1" applyFont="1" applyAlignment="1">
      <alignment vertical="center"/>
    </xf>
    <xf numFmtId="43" fontId="21" fillId="30" borderId="0" xfId="55" applyFont="1" applyFill="1" applyAlignment="1" applyProtection="1">
      <alignment horizontal="center" vertical="center" wrapText="1"/>
      <protection locked="0"/>
    </xf>
    <xf numFmtId="43" fontId="1" fillId="30" borderId="0" xfId="55" applyFont="1" applyFill="1" applyAlignment="1">
      <alignment vertical="center" wrapText="1"/>
    </xf>
    <xf numFmtId="10" fontId="0" fillId="0" borderId="0" xfId="0" applyNumberFormat="1" applyAlignment="1">
      <alignment vertical="center" wrapText="1"/>
    </xf>
    <xf numFmtId="168" fontId="5" fillId="0" borderId="0" xfId="55" applyNumberFormat="1" applyFont="1" applyAlignment="1">
      <alignment vertical="center" wrapText="1"/>
    </xf>
    <xf numFmtId="177" fontId="21" fillId="0" borderId="0" xfId="55" applyNumberFormat="1" applyFont="1" applyAlignment="1">
      <alignment vertical="center" wrapText="1"/>
    </xf>
    <xf numFmtId="0" fontId="0" fillId="0" borderId="20" xfId="0" applyBorder="1" applyAlignment="1">
      <alignment vertical="center" wrapText="1"/>
    </xf>
    <xf numFmtId="9" fontId="21" fillId="0" borderId="21" xfId="55" applyNumberFormat="1" applyFont="1" applyBorder="1" applyAlignment="1">
      <alignment vertical="center" wrapText="1"/>
    </xf>
    <xf numFmtId="43" fontId="21" fillId="0" borderId="0" xfId="55" applyFont="1" applyBorder="1" applyAlignment="1">
      <alignment vertical="center" wrapText="1"/>
    </xf>
    <xf numFmtId="0" fontId="21" fillId="0" borderId="39" xfId="0" applyFont="1" applyBorder="1" applyAlignment="1">
      <alignment vertical="center" wrapText="1"/>
    </xf>
    <xf numFmtId="173" fontId="21" fillId="0" borderId="40" xfId="55" applyNumberFormat="1" applyFont="1" applyBorder="1" applyAlignment="1">
      <alignment vertical="center" wrapText="1"/>
    </xf>
    <xf numFmtId="173" fontId="21" fillId="0" borderId="0" xfId="55" applyNumberFormat="1" applyFont="1" applyBorder="1" applyAlignment="1">
      <alignment vertical="center" wrapText="1"/>
    </xf>
    <xf numFmtId="0" fontId="21" fillId="0" borderId="22" xfId="0" applyFont="1" applyBorder="1" applyAlignment="1">
      <alignment vertical="center" wrapText="1"/>
    </xf>
    <xf numFmtId="173" fontId="21" fillId="0" borderId="23" xfId="55" applyNumberFormat="1" applyFont="1" applyBorder="1" applyAlignment="1">
      <alignment vertical="center" wrapText="1"/>
    </xf>
    <xf numFmtId="0" fontId="21" fillId="0" borderId="20" xfId="0" applyFont="1" applyBorder="1" applyAlignment="1">
      <alignment vertical="center"/>
    </xf>
    <xf numFmtId="0" fontId="21" fillId="0" borderId="13" xfId="0" applyFont="1" applyBorder="1" applyAlignment="1">
      <alignment vertical="center"/>
    </xf>
    <xf numFmtId="0" fontId="21" fillId="0" borderId="21" xfId="0" applyFont="1" applyBorder="1" applyAlignment="1">
      <alignment vertical="center"/>
    </xf>
    <xf numFmtId="0" fontId="0" fillId="0" borderId="39" xfId="0" applyBorder="1" applyAlignment="1">
      <alignment vertical="center"/>
    </xf>
    <xf numFmtId="43" fontId="0" fillId="0" borderId="0" xfId="0" applyNumberFormat="1" applyBorder="1" applyAlignment="1">
      <alignment vertical="center"/>
    </xf>
    <xf numFmtId="173" fontId="0" fillId="0" borderId="40" xfId="0" applyNumberFormat="1" applyBorder="1" applyAlignment="1">
      <alignment vertical="center"/>
    </xf>
    <xf numFmtId="0" fontId="0" fillId="0" borderId="22" xfId="0" applyBorder="1" applyAlignment="1">
      <alignment vertical="center"/>
    </xf>
    <xf numFmtId="43" fontId="0" fillId="0" borderId="45" xfId="0" applyNumberFormat="1" applyBorder="1" applyAlignment="1">
      <alignment vertical="center"/>
    </xf>
    <xf numFmtId="173" fontId="0" fillId="0" borderId="23" xfId="0" applyNumberFormat="1" applyBorder="1" applyAlignment="1">
      <alignment vertical="center"/>
    </xf>
    <xf numFmtId="0" fontId="32" fillId="26" borderId="20" xfId="0" applyFont="1" applyFill="1" applyBorder="1" applyAlignment="1" applyProtection="1">
      <alignment horizontal="center" vertical="center" wrapText="1"/>
      <protection hidden="1"/>
    </xf>
    <xf numFmtId="0" fontId="32" fillId="26" borderId="13" xfId="0" applyFont="1" applyFill="1" applyBorder="1" applyAlignment="1" applyProtection="1">
      <alignment horizontal="center" vertical="center" wrapText="1"/>
      <protection hidden="1"/>
    </xf>
    <xf numFmtId="168" fontId="32" fillId="26" borderId="13" xfId="55" applyNumberFormat="1" applyFont="1" applyFill="1" applyBorder="1" applyAlignment="1" applyProtection="1">
      <alignment horizontal="center" vertical="center" wrapText="1"/>
      <protection hidden="1"/>
    </xf>
    <xf numFmtId="177" fontId="32" fillId="26" borderId="13" xfId="55" applyNumberFormat="1" applyFont="1" applyFill="1" applyBorder="1" applyAlignment="1" applyProtection="1">
      <alignment horizontal="center" vertical="center" wrapText="1"/>
      <protection hidden="1"/>
    </xf>
    <xf numFmtId="4" fontId="32" fillId="26" borderId="21" xfId="0" applyNumberFormat="1" applyFont="1" applyFill="1" applyBorder="1" applyAlignment="1" applyProtection="1">
      <alignment horizontal="center" vertical="center" wrapText="1"/>
      <protection hidden="1"/>
    </xf>
    <xf numFmtId="180" fontId="21" fillId="0" borderId="0" xfId="89" applyNumberFormat="1" applyFont="1" applyAlignment="1">
      <alignment vertical="center"/>
    </xf>
    <xf numFmtId="0" fontId="31" fillId="0" borderId="39" xfId="0" applyFont="1" applyBorder="1" applyAlignment="1" applyProtection="1">
      <alignment vertical="center" wrapText="1"/>
      <protection hidden="1"/>
    </xf>
    <xf numFmtId="0" fontId="31" fillId="0" borderId="0" xfId="0" applyFont="1" applyBorder="1" applyAlignment="1" applyProtection="1">
      <alignment vertical="center" wrapText="1"/>
      <protection hidden="1"/>
    </xf>
    <xf numFmtId="176" fontId="31" fillId="0" borderId="0" xfId="55" applyNumberFormat="1" applyFont="1" applyBorder="1" applyAlignment="1" applyProtection="1">
      <alignment horizontal="center" vertical="center" wrapText="1"/>
      <protection hidden="1"/>
    </xf>
    <xf numFmtId="178" fontId="31" fillId="0" borderId="40" xfId="0" applyNumberFormat="1" applyFont="1" applyFill="1" applyBorder="1" applyAlignment="1" applyProtection="1">
      <alignment horizontal="center" vertical="center" wrapText="1"/>
      <protection hidden="1"/>
    </xf>
    <xf numFmtId="10" fontId="1" fillId="0" borderId="0" xfId="89" applyNumberFormat="1" applyFont="1" applyAlignment="1">
      <alignment vertical="center"/>
    </xf>
    <xf numFmtId="0" fontId="31" fillId="35" borderId="39" xfId="0" applyFont="1" applyFill="1" applyBorder="1" applyAlignment="1" applyProtection="1">
      <alignment vertical="center" wrapText="1"/>
      <protection hidden="1"/>
    </xf>
    <xf numFmtId="0" fontId="31" fillId="35" borderId="0" xfId="0" applyFont="1" applyFill="1" applyBorder="1" applyAlignment="1" applyProtection="1">
      <alignment vertical="center" wrapText="1"/>
      <protection hidden="1"/>
    </xf>
    <xf numFmtId="171" fontId="31" fillId="35" borderId="0" xfId="89" applyNumberFormat="1" applyFont="1" applyFill="1" applyBorder="1" applyAlignment="1" applyProtection="1">
      <alignment horizontal="center" vertical="center" wrapText="1"/>
      <protection hidden="1"/>
    </xf>
    <xf numFmtId="171" fontId="31" fillId="35" borderId="40" xfId="89" applyNumberFormat="1" applyFont="1" applyFill="1" applyBorder="1" applyAlignment="1" applyProtection="1">
      <alignment horizontal="center" vertical="center" wrapText="1"/>
      <protection hidden="1"/>
    </xf>
    <xf numFmtId="0" fontId="31" fillId="37" borderId="39" xfId="0" applyFont="1" applyFill="1" applyBorder="1" applyAlignment="1" applyProtection="1">
      <alignment vertical="center" wrapText="1"/>
      <protection hidden="1"/>
    </xf>
    <xf numFmtId="0" fontId="31" fillId="37" borderId="0" xfId="0" applyFont="1" applyFill="1" applyBorder="1" applyAlignment="1" applyProtection="1">
      <alignment vertical="center" wrapText="1"/>
      <protection hidden="1"/>
    </xf>
    <xf numFmtId="171" fontId="31" fillId="37" borderId="0" xfId="89" applyNumberFormat="1" applyFont="1" applyFill="1" applyBorder="1" applyAlignment="1" applyProtection="1">
      <alignment horizontal="center" vertical="center" wrapText="1"/>
      <protection hidden="1"/>
    </xf>
    <xf numFmtId="171" fontId="31" fillId="37" borderId="40" xfId="89" applyNumberFormat="1" applyFont="1" applyFill="1" applyBorder="1" applyAlignment="1" applyProtection="1">
      <alignment horizontal="center" vertical="center" wrapText="1"/>
      <protection hidden="1"/>
    </xf>
    <xf numFmtId="0" fontId="33" fillId="0" borderId="0" xfId="0" applyFont="1" applyBorder="1" applyAlignment="1" applyProtection="1">
      <alignment vertical="center" wrapText="1"/>
      <protection hidden="1"/>
    </xf>
    <xf numFmtId="4" fontId="33" fillId="38" borderId="0" xfId="55" applyNumberFormat="1" applyFont="1" applyFill="1" applyBorder="1" applyAlignment="1" applyProtection="1">
      <alignment horizontal="center" vertical="center" wrapText="1"/>
      <protection hidden="1"/>
    </xf>
    <xf numFmtId="4" fontId="31" fillId="0" borderId="40" xfId="0" applyNumberFormat="1" applyFont="1" applyBorder="1" applyAlignment="1" applyProtection="1">
      <alignment horizontal="center" vertical="center" wrapText="1"/>
      <protection hidden="1"/>
    </xf>
    <xf numFmtId="0" fontId="33" fillId="0" borderId="39" xfId="0" applyFont="1" applyBorder="1" applyAlignment="1" applyProtection="1">
      <alignment vertical="center" wrapText="1"/>
      <protection hidden="1"/>
    </xf>
    <xf numFmtId="4" fontId="39" fillId="0" borderId="0" xfId="55" applyNumberFormat="1" applyFont="1" applyBorder="1" applyAlignment="1" applyProtection="1">
      <alignment horizontal="center" vertical="center" wrapText="1"/>
      <protection hidden="1"/>
    </xf>
    <xf numFmtId="4" fontId="33" fillId="0" borderId="0" xfId="55" applyNumberFormat="1" applyFont="1" applyBorder="1" applyAlignment="1" applyProtection="1">
      <alignment horizontal="center" vertical="center" wrapText="1"/>
      <protection hidden="1"/>
    </xf>
    <xf numFmtId="4" fontId="39" fillId="0" borderId="40" xfId="0" applyNumberFormat="1" applyFont="1" applyBorder="1" applyAlignment="1" applyProtection="1">
      <alignment horizontal="center" vertical="center" wrapText="1"/>
      <protection hidden="1"/>
    </xf>
    <xf numFmtId="4" fontId="31" fillId="0" borderId="0" xfId="55" applyNumberFormat="1" applyFont="1" applyBorder="1" applyAlignment="1" applyProtection="1">
      <alignment horizontal="center" vertical="center" wrapText="1"/>
      <protection hidden="1"/>
    </xf>
    <xf numFmtId="4" fontId="35" fillId="0" borderId="0" xfId="55" applyNumberFormat="1" applyFont="1" applyBorder="1" applyAlignment="1" applyProtection="1">
      <alignment horizontal="center" vertical="center" wrapText="1"/>
      <protection hidden="1"/>
    </xf>
    <xf numFmtId="4" fontId="39" fillId="38" borderId="40" xfId="0" applyNumberFormat="1" applyFont="1" applyFill="1" applyBorder="1" applyAlignment="1" applyProtection="1">
      <alignment horizontal="center" vertical="center" wrapText="1"/>
      <protection hidden="1"/>
    </xf>
    <xf numFmtId="0" fontId="0" fillId="0" borderId="22" xfId="0" applyBorder="1" applyAlignment="1" applyProtection="1">
      <alignment vertical="center" wrapText="1"/>
      <protection hidden="1"/>
    </xf>
    <xf numFmtId="0" fontId="0" fillId="0" borderId="45" xfId="0" applyBorder="1" applyAlignment="1" applyProtection="1">
      <alignment vertical="center" wrapText="1"/>
      <protection hidden="1"/>
    </xf>
    <xf numFmtId="2" fontId="35" fillId="0" borderId="45" xfId="55" applyNumberFormat="1" applyFont="1" applyBorder="1" applyAlignment="1" applyProtection="1">
      <alignment horizontal="center" vertical="center" wrapText="1"/>
      <protection hidden="1"/>
    </xf>
    <xf numFmtId="168" fontId="21" fillId="38" borderId="45" xfId="55" applyNumberFormat="1" applyFont="1" applyFill="1" applyBorder="1" applyAlignment="1" applyProtection="1">
      <alignment vertical="center" wrapText="1"/>
      <protection hidden="1"/>
    </xf>
    <xf numFmtId="0" fontId="5" fillId="38" borderId="23" xfId="0" applyFont="1" applyFill="1" applyBorder="1" applyAlignment="1" applyProtection="1">
      <alignment horizontal="left" vertical="center" wrapText="1"/>
      <protection hidden="1"/>
    </xf>
    <xf numFmtId="178" fontId="0" fillId="0" borderId="0" xfId="0" applyNumberFormat="1" applyAlignment="1">
      <alignment vertical="center"/>
    </xf>
    <xf numFmtId="0" fontId="21" fillId="0" borderId="98" xfId="0" applyFont="1" applyBorder="1" applyAlignment="1">
      <alignment vertical="center" wrapText="1"/>
    </xf>
    <xf numFmtId="0" fontId="0" fillId="0" borderId="73" xfId="0" applyBorder="1" applyAlignment="1">
      <alignment vertical="center" wrapText="1"/>
    </xf>
    <xf numFmtId="0" fontId="0" fillId="0" borderId="99" xfId="0" applyBorder="1" applyAlignment="1">
      <alignment vertical="center" wrapText="1"/>
    </xf>
    <xf numFmtId="0" fontId="21" fillId="0" borderId="68" xfId="0" applyFont="1" applyBorder="1" applyAlignment="1">
      <alignment vertical="center" wrapText="1"/>
    </xf>
    <xf numFmtId="0" fontId="0" fillId="0" borderId="42" xfId="0" applyBorder="1" applyAlignment="1">
      <alignment vertical="center" wrapText="1"/>
    </xf>
    <xf numFmtId="0" fontId="21" fillId="0" borderId="0" xfId="0" applyFont="1" applyBorder="1" applyAlignment="1">
      <alignment vertical="center" wrapText="1"/>
    </xf>
    <xf numFmtId="43" fontId="0" fillId="0" borderId="42" xfId="0" applyNumberFormat="1" applyBorder="1" applyAlignment="1">
      <alignment vertical="center" wrapText="1"/>
    </xf>
    <xf numFmtId="168" fontId="21" fillId="25" borderId="0" xfId="55" applyNumberFormat="1" applyFont="1" applyFill="1" applyAlignment="1">
      <alignment vertical="center" wrapText="1"/>
    </xf>
    <xf numFmtId="173" fontId="21" fillId="25" borderId="0" xfId="55" applyNumberFormat="1" applyFont="1" applyFill="1" applyAlignment="1">
      <alignment vertical="center" wrapText="1"/>
    </xf>
    <xf numFmtId="0" fontId="5" fillId="25" borderId="0" xfId="0" applyFont="1" applyFill="1" applyAlignment="1">
      <alignment horizontal="left" vertical="center" wrapText="1"/>
    </xf>
    <xf numFmtId="0" fontId="0" fillId="25" borderId="0" xfId="0" applyFill="1" applyAlignment="1">
      <alignment vertical="center"/>
    </xf>
    <xf numFmtId="43" fontId="0" fillId="25" borderId="0" xfId="0" applyNumberFormat="1" applyFill="1" applyAlignment="1">
      <alignment vertical="center"/>
    </xf>
    <xf numFmtId="4" fontId="0" fillId="0" borderId="42" xfId="0" applyNumberFormat="1" applyBorder="1" applyAlignment="1">
      <alignment vertical="center" wrapText="1"/>
    </xf>
    <xf numFmtId="168" fontId="21" fillId="0" borderId="98" xfId="55" applyNumberFormat="1" applyFont="1" applyBorder="1" applyAlignment="1">
      <alignment vertical="center" wrapText="1"/>
    </xf>
    <xf numFmtId="168" fontId="21" fillId="0" borderId="73" xfId="55" applyNumberFormat="1" applyFont="1" applyBorder="1" applyAlignment="1">
      <alignment vertical="center" wrapText="1"/>
    </xf>
    <xf numFmtId="173" fontId="21" fillId="0" borderId="73" xfId="55" applyNumberFormat="1" applyFont="1" applyBorder="1" applyAlignment="1">
      <alignment vertical="center" wrapText="1"/>
    </xf>
    <xf numFmtId="0" fontId="5" fillId="0" borderId="73" xfId="0" applyFont="1" applyBorder="1" applyAlignment="1">
      <alignment horizontal="left" vertical="center" wrapText="1"/>
    </xf>
    <xf numFmtId="0" fontId="0" fillId="0" borderId="73" xfId="0" applyBorder="1" applyAlignment="1">
      <alignment vertical="center"/>
    </xf>
    <xf numFmtId="0" fontId="0" fillId="0" borderId="99" xfId="0" applyBorder="1" applyAlignment="1">
      <alignment vertical="center"/>
    </xf>
    <xf numFmtId="0" fontId="21" fillId="0" borderId="86" xfId="0" applyFont="1" applyBorder="1" applyAlignment="1">
      <alignment vertical="center" wrapText="1"/>
    </xf>
    <xf numFmtId="0" fontId="0" fillId="0" borderId="84" xfId="0" applyBorder="1" applyAlignment="1">
      <alignment vertical="center" wrapText="1"/>
    </xf>
    <xf numFmtId="0" fontId="21" fillId="0" borderId="84" xfId="0" applyFont="1" applyBorder="1" applyAlignment="1">
      <alignment vertical="center" wrapText="1"/>
    </xf>
    <xf numFmtId="43" fontId="0" fillId="0" borderId="103" xfId="0" applyNumberFormat="1" applyBorder="1" applyAlignment="1">
      <alignment vertical="center" wrapText="1"/>
    </xf>
    <xf numFmtId="168" fontId="21" fillId="0" borderId="86" xfId="55" applyNumberFormat="1" applyFont="1" applyBorder="1" applyAlignment="1">
      <alignment vertical="center" wrapText="1"/>
    </xf>
    <xf numFmtId="168" fontId="21" fillId="0" borderId="84" xfId="55" applyNumberFormat="1" applyFont="1" applyBorder="1" applyAlignment="1">
      <alignment vertical="center" wrapText="1"/>
    </xf>
    <xf numFmtId="172" fontId="21" fillId="0" borderId="84" xfId="55" applyNumberFormat="1" applyFont="1" applyBorder="1" applyAlignment="1">
      <alignment vertical="center" wrapText="1"/>
    </xf>
    <xf numFmtId="0" fontId="5" fillId="0" borderId="84" xfId="0" applyFont="1" applyBorder="1" applyAlignment="1">
      <alignment horizontal="left" vertical="center" wrapText="1"/>
    </xf>
    <xf numFmtId="0" fontId="0" fillId="0" borderId="84" xfId="0" applyBorder="1" applyAlignment="1">
      <alignment vertical="center"/>
    </xf>
    <xf numFmtId="0" fontId="0" fillId="0" borderId="103" xfId="0" applyBorder="1" applyAlignment="1">
      <alignment vertical="center"/>
    </xf>
    <xf numFmtId="0" fontId="37" fillId="0" borderId="0" xfId="0" applyFont="1" applyAlignment="1">
      <alignment vertical="center" wrapText="1"/>
    </xf>
    <xf numFmtId="171" fontId="37" fillId="0" borderId="0" xfId="89" applyNumberFormat="1" applyFont="1" applyAlignment="1">
      <alignment vertical="center" wrapText="1"/>
    </xf>
    <xf numFmtId="168" fontId="21" fillId="39" borderId="0" xfId="55" applyNumberFormat="1" applyFont="1" applyFill="1" applyAlignment="1">
      <alignment vertical="center" wrapText="1"/>
    </xf>
    <xf numFmtId="0" fontId="5" fillId="39" borderId="0" xfId="0" applyFont="1" applyFill="1" applyAlignment="1">
      <alignment horizontal="left" vertical="center" wrapText="1"/>
    </xf>
    <xf numFmtId="0" fontId="0" fillId="39" borderId="0" xfId="0" applyFill="1" applyAlignment="1">
      <alignment vertical="center"/>
    </xf>
    <xf numFmtId="172" fontId="21" fillId="39" borderId="0" xfId="55" applyNumberFormat="1" applyFont="1" applyFill="1" applyAlignment="1">
      <alignment vertical="center" wrapText="1"/>
    </xf>
    <xf numFmtId="171" fontId="21" fillId="0" borderId="0" xfId="89" applyNumberFormat="1" applyFont="1" applyAlignment="1">
      <alignment vertical="center" wrapText="1"/>
    </xf>
    <xf numFmtId="171" fontId="1" fillId="0" borderId="0" xfId="89" applyNumberFormat="1" applyFont="1" applyAlignment="1">
      <alignment vertical="center" wrapText="1"/>
    </xf>
    <xf numFmtId="176" fontId="5" fillId="0" borderId="0" xfId="0" applyNumberFormat="1" applyFont="1" applyAlignment="1">
      <alignment horizontal="left" vertical="center" wrapText="1"/>
    </xf>
    <xf numFmtId="0" fontId="26" fillId="0" borderId="16" xfId="0" applyFont="1" applyBorder="1" applyAlignment="1">
      <alignment horizontal="center" vertical="center" wrapText="1"/>
    </xf>
    <xf numFmtId="0" fontId="26" fillId="0" borderId="0" xfId="0" applyFont="1" applyBorder="1" applyAlignment="1">
      <alignment horizontal="center" vertical="center" wrapText="1"/>
    </xf>
    <xf numFmtId="176" fontId="0" fillId="0" borderId="0" xfId="0" applyNumberFormat="1" applyAlignment="1">
      <alignment vertical="center"/>
    </xf>
    <xf numFmtId="0" fontId="93" fillId="0" borderId="16" xfId="0" applyFont="1" applyBorder="1" applyAlignment="1">
      <alignment vertical="center" wrapText="1"/>
    </xf>
    <xf numFmtId="0" fontId="93" fillId="0" borderId="16" xfId="0" applyFont="1" applyBorder="1" applyAlignment="1">
      <alignment horizontal="center" vertical="center" wrapText="1"/>
    </xf>
    <xf numFmtId="0" fontId="93" fillId="0" borderId="0" xfId="0" applyFont="1" applyBorder="1" applyAlignment="1">
      <alignment horizontal="center" vertical="center" wrapText="1"/>
    </xf>
    <xf numFmtId="0" fontId="93" fillId="0" borderId="0" xfId="0" applyFont="1"/>
    <xf numFmtId="0" fontId="37" fillId="0" borderId="0" xfId="0" applyFont="1" applyAlignment="1"/>
    <xf numFmtId="0" fontId="51" fillId="0" borderId="0" xfId="0" applyFont="1" applyAlignment="1">
      <alignment wrapText="1"/>
    </xf>
    <xf numFmtId="168" fontId="51" fillId="0" borderId="0" xfId="55" applyNumberFormat="1" applyFont="1" applyAlignment="1">
      <alignment wrapText="1"/>
    </xf>
    <xf numFmtId="0" fontId="0" fillId="0" borderId="68" xfId="0" applyBorder="1" applyAlignment="1">
      <alignment wrapText="1"/>
    </xf>
    <xf numFmtId="0" fontId="0" fillId="0" borderId="0" xfId="0" applyBorder="1" applyAlignment="1">
      <alignment wrapText="1"/>
    </xf>
    <xf numFmtId="0" fontId="0" fillId="0" borderId="42" xfId="0" applyBorder="1" applyAlignment="1">
      <alignment wrapText="1"/>
    </xf>
    <xf numFmtId="0" fontId="0" fillId="0" borderId="86" xfId="0" applyBorder="1" applyAlignment="1">
      <alignment wrapText="1"/>
    </xf>
    <xf numFmtId="0" fontId="0" fillId="0" borderId="84" xfId="0" applyBorder="1" applyAlignment="1">
      <alignment wrapText="1"/>
    </xf>
    <xf numFmtId="0" fontId="0" fillId="0" borderId="103" xfId="0" applyBorder="1" applyAlignment="1">
      <alignment wrapText="1"/>
    </xf>
    <xf numFmtId="0" fontId="95" fillId="40" borderId="104" xfId="0" applyFont="1" applyFill="1" applyBorder="1" applyAlignment="1">
      <alignment wrapText="1"/>
    </xf>
    <xf numFmtId="0" fontId="96" fillId="40" borderId="105" xfId="0" applyFont="1" applyFill="1" applyBorder="1" applyAlignment="1">
      <alignment horizontal="center" wrapText="1"/>
    </xf>
    <xf numFmtId="0" fontId="96" fillId="40" borderId="106" xfId="0" applyFont="1" applyFill="1" applyBorder="1" applyAlignment="1">
      <alignment horizontal="center" wrapText="1"/>
    </xf>
    <xf numFmtId="0" fontId="96" fillId="40" borderId="107" xfId="0" applyFont="1" applyFill="1" applyBorder="1" applyAlignment="1">
      <alignment horizontal="center" wrapText="1"/>
    </xf>
    <xf numFmtId="0" fontId="97" fillId="35" borderId="108" xfId="0" applyFont="1" applyFill="1" applyBorder="1" applyAlignment="1">
      <alignment horizontal="center" wrapText="1"/>
    </xf>
    <xf numFmtId="0" fontId="97" fillId="35" borderId="104" xfId="0" applyFont="1" applyFill="1" applyBorder="1" applyAlignment="1">
      <alignment horizontal="center" wrapText="1"/>
    </xf>
    <xf numFmtId="0" fontId="97" fillId="35" borderId="109" xfId="0" applyFont="1" applyFill="1" applyBorder="1" applyAlignment="1">
      <alignment horizontal="center" wrapText="1"/>
    </xf>
    <xf numFmtId="0" fontId="26" fillId="35" borderId="108" xfId="0" applyFont="1" applyFill="1" applyBorder="1" applyAlignment="1">
      <alignment horizontal="center" wrapText="1"/>
    </xf>
    <xf numFmtId="0" fontId="26" fillId="35" borderId="104" xfId="0" applyFont="1" applyFill="1" applyBorder="1" applyAlignment="1">
      <alignment horizontal="center" wrapText="1"/>
    </xf>
    <xf numFmtId="0" fontId="26" fillId="35" borderId="109" xfId="0" applyFont="1" applyFill="1" applyBorder="1" applyAlignment="1">
      <alignment horizontal="center" wrapText="1"/>
    </xf>
    <xf numFmtId="173" fontId="21" fillId="0" borderId="0" xfId="55" applyNumberFormat="1" applyFont="1" applyAlignment="1">
      <alignment wrapText="1"/>
    </xf>
    <xf numFmtId="0" fontId="26" fillId="36" borderId="108" xfId="0" applyFont="1" applyFill="1" applyBorder="1" applyAlignment="1">
      <alignment horizontal="center" wrapText="1"/>
    </xf>
    <xf numFmtId="0" fontId="26" fillId="36" borderId="104" xfId="0" applyFont="1" applyFill="1" applyBorder="1" applyAlignment="1">
      <alignment horizontal="center" wrapText="1"/>
    </xf>
    <xf numFmtId="0" fontId="26" fillId="36" borderId="109" xfId="0" applyFont="1" applyFill="1" applyBorder="1" applyAlignment="1">
      <alignment horizontal="center" wrapText="1"/>
    </xf>
    <xf numFmtId="0" fontId="21" fillId="31" borderId="108" xfId="0" applyFont="1" applyFill="1" applyBorder="1" applyAlignment="1">
      <alignment horizontal="center" wrapText="1"/>
    </xf>
    <xf numFmtId="0" fontId="21" fillId="31" borderId="104" xfId="0" applyFont="1" applyFill="1" applyBorder="1" applyAlignment="1">
      <alignment horizontal="center" wrapText="1"/>
    </xf>
    <xf numFmtId="0" fontId="100" fillId="31" borderId="104" xfId="0" applyFont="1" applyFill="1" applyBorder="1" applyAlignment="1">
      <alignment horizontal="center" wrapText="1"/>
    </xf>
    <xf numFmtId="0" fontId="21" fillId="31" borderId="109" xfId="0" applyFont="1" applyFill="1" applyBorder="1" applyAlignment="1">
      <alignment horizontal="center" wrapText="1"/>
    </xf>
    <xf numFmtId="0" fontId="21" fillId="31" borderId="110" xfId="0" applyFont="1" applyFill="1" applyBorder="1" applyAlignment="1">
      <alignment horizontal="center" wrapText="1"/>
    </xf>
    <xf numFmtId="0" fontId="21" fillId="31" borderId="111" xfId="0" applyFont="1" applyFill="1" applyBorder="1" applyAlignment="1">
      <alignment horizontal="center" wrapText="1"/>
    </xf>
    <xf numFmtId="0" fontId="100" fillId="31" borderId="111" xfId="0" applyFont="1" applyFill="1" applyBorder="1" applyAlignment="1">
      <alignment horizontal="center" wrapText="1"/>
    </xf>
    <xf numFmtId="0" fontId="21" fillId="31" borderId="112" xfId="0" applyFont="1" applyFill="1" applyBorder="1" applyAlignment="1">
      <alignment horizontal="center" wrapText="1"/>
    </xf>
    <xf numFmtId="0" fontId="51" fillId="0" borderId="0" xfId="0" applyFont="1" applyAlignment="1">
      <alignment vertical="center"/>
    </xf>
    <xf numFmtId="171" fontId="51" fillId="0" borderId="0" xfId="89" applyNumberFormat="1" applyFont="1" applyAlignment="1">
      <alignment vertical="center"/>
    </xf>
    <xf numFmtId="0" fontId="5" fillId="0" borderId="0" xfId="0" applyFont="1" applyAlignment="1">
      <alignment horizontal="left" vertical="center"/>
    </xf>
    <xf numFmtId="0" fontId="21" fillId="0" borderId="0" xfId="0" applyFont="1" applyAlignment="1">
      <alignment vertical="center"/>
    </xf>
    <xf numFmtId="171" fontId="1" fillId="0" borderId="0" xfId="89" applyNumberFormat="1" applyFont="1" applyAlignment="1">
      <alignment vertical="center"/>
    </xf>
    <xf numFmtId="9" fontId="1" fillId="0" borderId="0" xfId="89" applyFont="1" applyAlignment="1">
      <alignment vertical="center"/>
    </xf>
    <xf numFmtId="43" fontId="1" fillId="0" borderId="0" xfId="55" applyFont="1" applyAlignment="1">
      <alignment wrapText="1"/>
    </xf>
    <xf numFmtId="43" fontId="21" fillId="0" borderId="0" xfId="55" applyFont="1" applyAlignment="1">
      <alignment wrapText="1"/>
    </xf>
    <xf numFmtId="172" fontId="21" fillId="0" borderId="0" xfId="55" applyNumberFormat="1" applyFont="1" applyAlignment="1">
      <alignment wrapText="1"/>
    </xf>
    <xf numFmtId="9" fontId="21" fillId="0" borderId="0" xfId="89" applyFont="1" applyAlignment="1" applyProtection="1">
      <alignment horizontal="center" vertical="center" wrapText="1"/>
      <protection locked="0"/>
    </xf>
    <xf numFmtId="43" fontId="1" fillId="0" borderId="0" xfId="55" applyFont="1" applyAlignment="1">
      <alignment vertical="center" wrapText="1"/>
    </xf>
    <xf numFmtId="173" fontId="21" fillId="0" borderId="0" xfId="55" applyNumberFormat="1" applyFont="1"/>
    <xf numFmtId="173" fontId="21" fillId="0" borderId="0" xfId="55" applyNumberFormat="1" applyFont="1" applyAlignment="1">
      <alignment vertical="center"/>
    </xf>
    <xf numFmtId="173" fontId="21" fillId="25" borderId="25" xfId="55" applyNumberFormat="1" applyFont="1" applyFill="1" applyBorder="1" applyAlignment="1">
      <alignment vertical="center"/>
    </xf>
    <xf numFmtId="173" fontId="21" fillId="25" borderId="28" xfId="55" applyNumberFormat="1" applyFont="1" applyFill="1" applyBorder="1" applyAlignment="1">
      <alignment vertical="center"/>
    </xf>
    <xf numFmtId="173" fontId="21" fillId="25" borderId="30" xfId="55" applyNumberFormat="1" applyFont="1" applyFill="1" applyBorder="1" applyAlignment="1">
      <alignment vertical="center"/>
    </xf>
    <xf numFmtId="173" fontId="21" fillId="0" borderId="32" xfId="55" applyNumberFormat="1" applyFont="1" applyBorder="1" applyAlignment="1">
      <alignment vertical="center"/>
    </xf>
    <xf numFmtId="43" fontId="0" fillId="0" borderId="29" xfId="0" applyNumberFormat="1" applyBorder="1" applyAlignment="1">
      <alignment horizontal="center" vertical="center"/>
    </xf>
    <xf numFmtId="173" fontId="21" fillId="0" borderId="29" xfId="55" applyNumberFormat="1" applyFont="1" applyBorder="1" applyAlignment="1">
      <alignment vertical="center"/>
    </xf>
    <xf numFmtId="173" fontId="21" fillId="0" borderId="16" xfId="55" applyNumberFormat="1" applyFont="1" applyBorder="1" applyAlignment="1">
      <alignment vertical="center"/>
    </xf>
    <xf numFmtId="173" fontId="21" fillId="0" borderId="28" xfId="55" applyNumberFormat="1" applyFont="1" applyBorder="1" applyAlignment="1">
      <alignment vertical="center"/>
    </xf>
    <xf numFmtId="173" fontId="21" fillId="0" borderId="35" xfId="55" applyNumberFormat="1" applyFont="1" applyBorder="1" applyAlignment="1">
      <alignment vertical="center"/>
    </xf>
    <xf numFmtId="173" fontId="21" fillId="0" borderId="11" xfId="55" applyNumberFormat="1" applyFont="1" applyBorder="1" applyAlignment="1">
      <alignment vertical="center"/>
    </xf>
    <xf numFmtId="173" fontId="21" fillId="25" borderId="37" xfId="55" applyNumberFormat="1" applyFont="1" applyFill="1" applyBorder="1" applyAlignment="1">
      <alignment vertical="center"/>
    </xf>
    <xf numFmtId="43" fontId="0" fillId="26" borderId="0" xfId="0" applyNumberFormat="1" applyFill="1" applyAlignment="1">
      <alignment vertical="center"/>
    </xf>
    <xf numFmtId="43" fontId="0" fillId="35" borderId="16" xfId="0" applyNumberFormat="1" applyFill="1" applyBorder="1"/>
    <xf numFmtId="0" fontId="0" fillId="35" borderId="16" xfId="0" applyFill="1" applyBorder="1" applyAlignment="1">
      <alignment horizontal="center" vertical="center"/>
    </xf>
    <xf numFmtId="169" fontId="0" fillId="35" borderId="16" xfId="0" applyNumberFormat="1" applyFill="1" applyBorder="1" applyAlignment="1">
      <alignment horizontal="center" vertical="center"/>
    </xf>
    <xf numFmtId="166" fontId="0" fillId="35" borderId="16" xfId="0" applyNumberFormat="1" applyFill="1" applyBorder="1" applyAlignment="1">
      <alignment vertical="center"/>
    </xf>
    <xf numFmtId="173" fontId="21" fillId="35" borderId="16" xfId="55" applyNumberFormat="1" applyFont="1" applyFill="1" applyBorder="1" applyAlignment="1">
      <alignment vertical="center"/>
    </xf>
    <xf numFmtId="43" fontId="0" fillId="24" borderId="0" xfId="0" applyNumberFormat="1" applyFill="1"/>
    <xf numFmtId="0" fontId="0" fillId="24" borderId="0" xfId="0" applyFill="1" applyBorder="1" applyAlignment="1">
      <alignment horizontal="center" vertical="center"/>
    </xf>
    <xf numFmtId="169" fontId="0" fillId="24" borderId="0" xfId="0" applyNumberFormat="1" applyFill="1" applyBorder="1" applyAlignment="1">
      <alignment horizontal="center" vertical="center"/>
    </xf>
    <xf numFmtId="166" fontId="0" fillId="24" borderId="0" xfId="0" applyNumberFormat="1" applyFill="1" applyBorder="1" applyAlignment="1">
      <alignment vertical="center"/>
    </xf>
    <xf numFmtId="173" fontId="21" fillId="24" borderId="0" xfId="55" applyNumberFormat="1" applyFont="1" applyFill="1" applyBorder="1" applyAlignment="1">
      <alignment vertical="center"/>
    </xf>
    <xf numFmtId="10" fontId="1" fillId="25" borderId="0" xfId="89" applyNumberFormat="1" applyFont="1" applyFill="1"/>
    <xf numFmtId="10" fontId="1" fillId="0" borderId="0" xfId="89" applyNumberFormat="1" applyFont="1"/>
    <xf numFmtId="11" fontId="0" fillId="0" borderId="0" xfId="0" applyNumberFormat="1"/>
    <xf numFmtId="173" fontId="1" fillId="0" borderId="0" xfId="55" applyNumberFormat="1" applyFont="1"/>
    <xf numFmtId="9" fontId="21" fillId="0" borderId="0" xfId="89" applyFont="1"/>
    <xf numFmtId="0" fontId="26" fillId="34" borderId="98" xfId="0" applyFont="1" applyFill="1" applyBorder="1" applyAlignment="1">
      <alignment vertical="center"/>
    </xf>
    <xf numFmtId="0" fontId="26" fillId="34" borderId="99" xfId="0" applyFont="1" applyFill="1" applyBorder="1" applyAlignment="1">
      <alignment vertical="center"/>
    </xf>
    <xf numFmtId="0" fontId="34" fillId="33" borderId="86" xfId="0" applyFont="1" applyFill="1" applyBorder="1" applyAlignment="1" applyProtection="1">
      <alignment vertical="center" wrapText="1"/>
      <protection hidden="1"/>
    </xf>
    <xf numFmtId="0" fontId="0" fillId="33" borderId="103" xfId="0" applyFill="1" applyBorder="1" applyAlignment="1">
      <alignment vertical="center" wrapText="1"/>
    </xf>
    <xf numFmtId="0" fontId="0" fillId="24" borderId="16" xfId="0" applyFill="1" applyBorder="1" applyAlignment="1">
      <alignment vertical="center"/>
    </xf>
    <xf numFmtId="0" fontId="21" fillId="36" borderId="98" xfId="0" applyFont="1" applyFill="1" applyBorder="1" applyAlignment="1" applyProtection="1">
      <alignment horizontal="left" vertical="center" wrapText="1"/>
      <protection hidden="1"/>
    </xf>
    <xf numFmtId="0" fontId="0" fillId="0" borderId="99" xfId="0" applyBorder="1" applyAlignment="1"/>
    <xf numFmtId="0" fontId="21" fillId="36" borderId="86" xfId="0" applyFont="1" applyFill="1" applyBorder="1" applyAlignment="1" applyProtection="1">
      <alignment horizontal="left" vertical="center" wrapText="1"/>
      <protection hidden="1"/>
    </xf>
    <xf numFmtId="0" fontId="0" fillId="36" borderId="84" xfId="0" applyFill="1" applyBorder="1" applyAlignment="1">
      <alignment horizontal="left" vertical="center"/>
    </xf>
    <xf numFmtId="0" fontId="21" fillId="0" borderId="16" xfId="0" applyFont="1" applyBorder="1" applyAlignment="1"/>
    <xf numFmtId="0" fontId="0" fillId="0" borderId="16" xfId="0" applyBorder="1" applyAlignment="1"/>
    <xf numFmtId="0" fontId="0" fillId="0" borderId="16" xfId="0" applyBorder="1"/>
    <xf numFmtId="0" fontId="46" fillId="24" borderId="16" xfId="0" applyFont="1" applyFill="1" applyBorder="1" applyAlignment="1">
      <alignment horizontal="left" vertical="center" indent="1"/>
    </xf>
    <xf numFmtId="0" fontId="34" fillId="34" borderId="18" xfId="0" applyFont="1" applyFill="1" applyBorder="1" applyAlignment="1" applyProtection="1">
      <alignment horizontal="center" vertical="center" wrapText="1"/>
      <protection locked="0"/>
    </xf>
    <xf numFmtId="0" fontId="34" fillId="34" borderId="16" xfId="0" applyFont="1" applyFill="1" applyBorder="1" applyAlignment="1" applyProtection="1">
      <alignment horizontal="center" vertical="center" wrapText="1"/>
      <protection locked="0"/>
    </xf>
    <xf numFmtId="0" fontId="0" fillId="24" borderId="32" xfId="0" applyFill="1" applyBorder="1"/>
    <xf numFmtId="0" fontId="34" fillId="34" borderId="113" xfId="0" applyFont="1" applyFill="1" applyBorder="1" applyAlignment="1" applyProtection="1">
      <alignment horizontal="left" vertical="center" indent="1"/>
      <protection hidden="1"/>
    </xf>
    <xf numFmtId="180" fontId="34" fillId="34" borderId="100" xfId="89" applyNumberFormat="1" applyFont="1" applyFill="1" applyBorder="1" applyAlignment="1" applyProtection="1">
      <alignment horizontal="center" vertical="center"/>
      <protection locked="0"/>
    </xf>
    <xf numFmtId="0" fontId="0" fillId="24" borderId="28" xfId="0" applyFill="1" applyBorder="1"/>
    <xf numFmtId="0" fontId="34" fillId="34" borderId="114" xfId="0" applyFont="1" applyFill="1" applyBorder="1" applyAlignment="1" applyProtection="1">
      <alignment horizontal="left" vertical="center" indent="1"/>
      <protection hidden="1"/>
    </xf>
    <xf numFmtId="0" fontId="94" fillId="24" borderId="32" xfId="0" applyFont="1" applyFill="1" applyBorder="1"/>
    <xf numFmtId="0" fontId="1" fillId="0" borderId="0" xfId="0" applyFont="1"/>
    <xf numFmtId="0" fontId="34" fillId="34" borderId="114" xfId="0" applyFont="1" applyFill="1" applyBorder="1" applyAlignment="1" applyProtection="1">
      <alignment horizontal="left" vertical="center" wrapText="1" indent="1"/>
      <protection hidden="1"/>
    </xf>
    <xf numFmtId="0" fontId="94" fillId="24" borderId="28" xfId="0" applyFont="1" applyFill="1" applyBorder="1"/>
    <xf numFmtId="0" fontId="94" fillId="24" borderId="29" xfId="0" applyFont="1" applyFill="1" applyBorder="1"/>
    <xf numFmtId="0" fontId="34" fillId="34" borderId="114" xfId="0" applyFont="1" applyFill="1" applyBorder="1" applyAlignment="1" applyProtection="1">
      <alignment horizontal="left" vertical="center" wrapText="1"/>
      <protection hidden="1"/>
    </xf>
    <xf numFmtId="180" fontId="34" fillId="34" borderId="96" xfId="89" applyNumberFormat="1" applyFont="1" applyFill="1" applyBorder="1" applyAlignment="1" applyProtection="1">
      <alignment horizontal="center" vertical="center" wrapText="1"/>
      <protection hidden="1"/>
    </xf>
    <xf numFmtId="0" fontId="48" fillId="34" borderId="115" xfId="0" applyFont="1" applyFill="1" applyBorder="1" applyAlignment="1" applyProtection="1">
      <alignment horizontal="left" vertical="center" wrapText="1" indent="1"/>
      <protection hidden="1"/>
    </xf>
    <xf numFmtId="10" fontId="48" fillId="34" borderId="101" xfId="0" applyNumberFormat="1" applyFont="1" applyFill="1" applyBorder="1" applyAlignment="1" applyProtection="1">
      <alignment horizontal="center"/>
      <protection hidden="1"/>
    </xf>
    <xf numFmtId="0" fontId="0" fillId="24" borderId="29" xfId="0" applyFill="1" applyBorder="1"/>
    <xf numFmtId="0" fontId="1" fillId="34" borderId="0" xfId="0" applyFont="1" applyFill="1"/>
    <xf numFmtId="9" fontId="1" fillId="34" borderId="0" xfId="89" applyFont="1" applyFill="1" applyAlignment="1">
      <alignment horizontal="center"/>
    </xf>
    <xf numFmtId="9" fontId="103" fillId="34" borderId="0" xfId="89" applyFont="1" applyFill="1"/>
    <xf numFmtId="0" fontId="0" fillId="34" borderId="0" xfId="0" applyFill="1"/>
    <xf numFmtId="0" fontId="0" fillId="34" borderId="0" xfId="0" applyFill="1" applyAlignment="1">
      <alignment horizontal="center"/>
    </xf>
    <xf numFmtId="0" fontId="34" fillId="34" borderId="100" xfId="0" applyFont="1" applyFill="1" applyBorder="1" applyAlignment="1">
      <alignment horizontal="left" indent="1"/>
    </xf>
    <xf numFmtId="0" fontId="34" fillId="34" borderId="100" xfId="0" applyFont="1" applyFill="1" applyBorder="1" applyAlignment="1">
      <alignment horizontal="center"/>
    </xf>
    <xf numFmtId="0" fontId="34" fillId="34" borderId="100" xfId="0" applyFont="1" applyFill="1" applyBorder="1" applyAlignment="1" applyProtection="1">
      <alignment horizontal="center"/>
      <protection locked="0"/>
    </xf>
    <xf numFmtId="0" fontId="34" fillId="34" borderId="96" xfId="0" applyFont="1" applyFill="1" applyBorder="1" applyAlignment="1">
      <alignment horizontal="left" indent="1"/>
    </xf>
    <xf numFmtId="0" fontId="34" fillId="34" borderId="96" xfId="0" applyFont="1" applyFill="1" applyBorder="1" applyAlignment="1">
      <alignment horizontal="center"/>
    </xf>
    <xf numFmtId="0" fontId="34" fillId="34" borderId="101" xfId="0" applyFont="1" applyFill="1" applyBorder="1" applyAlignment="1">
      <alignment horizontal="left" indent="1"/>
    </xf>
    <xf numFmtId="0" fontId="34" fillId="34" borderId="101" xfId="0" applyFont="1" applyFill="1" applyBorder="1" applyAlignment="1">
      <alignment horizontal="center"/>
    </xf>
    <xf numFmtId="9" fontId="34" fillId="34" borderId="101" xfId="89" applyFont="1" applyFill="1" applyBorder="1" applyAlignment="1" applyProtection="1">
      <alignment horizontal="center"/>
      <protection locked="0"/>
    </xf>
    <xf numFmtId="9" fontId="34" fillId="0" borderId="0" xfId="89" applyFont="1" applyFill="1" applyBorder="1" applyAlignment="1" applyProtection="1">
      <alignment horizontal="center"/>
      <protection locked="0"/>
    </xf>
    <xf numFmtId="0" fontId="34" fillId="34" borderId="29" xfId="0" applyFont="1" applyFill="1" applyBorder="1" applyAlignment="1">
      <alignment horizontal="left" indent="1"/>
    </xf>
    <xf numFmtId="0" fontId="34" fillId="34" borderId="29" xfId="0" applyFont="1" applyFill="1" applyBorder="1" applyAlignment="1">
      <alignment horizontal="center"/>
    </xf>
    <xf numFmtId="0" fontId="34" fillId="34" borderId="29" xfId="0" applyFont="1" applyFill="1" applyBorder="1"/>
    <xf numFmtId="0" fontId="1" fillId="24" borderId="0" xfId="0" applyFont="1" applyFill="1" applyBorder="1"/>
    <xf numFmtId="0" fontId="1" fillId="24" borderId="0" xfId="0" applyFont="1" applyFill="1"/>
    <xf numFmtId="0" fontId="106" fillId="41" borderId="114" xfId="0" applyFont="1" applyFill="1" applyBorder="1" applyAlignment="1" applyProtection="1">
      <alignment horizontal="left" vertical="center" indent="1"/>
      <protection hidden="1"/>
    </xf>
    <xf numFmtId="0" fontId="106" fillId="41" borderId="96" xfId="0" applyFont="1" applyFill="1" applyBorder="1" applyAlignment="1" applyProtection="1">
      <alignment horizontal="center" vertical="center"/>
      <protection hidden="1"/>
    </xf>
    <xf numFmtId="171" fontId="106" fillId="41" borderId="116" xfId="0" applyNumberFormat="1" applyFont="1" applyFill="1" applyBorder="1" applyAlignment="1" applyProtection="1">
      <alignment horizontal="center" vertical="center"/>
      <protection hidden="1"/>
    </xf>
    <xf numFmtId="0" fontId="106" fillId="41" borderId="117" xfId="0" applyFont="1" applyFill="1" applyBorder="1" applyAlignment="1" applyProtection="1">
      <alignment horizontal="center" vertical="center" wrapText="1"/>
      <protection hidden="1"/>
    </xf>
    <xf numFmtId="37" fontId="106" fillId="41" borderId="118" xfId="55" applyNumberFormat="1" applyFont="1" applyFill="1" applyBorder="1" applyAlignment="1" applyProtection="1">
      <alignment horizontal="center" vertical="center" wrapText="1"/>
      <protection hidden="1"/>
    </xf>
    <xf numFmtId="0" fontId="1" fillId="0" borderId="0" xfId="0" applyFont="1" applyAlignment="1">
      <alignment vertical="center" wrapText="1"/>
    </xf>
    <xf numFmtId="0" fontId="106" fillId="41" borderId="119" xfId="0" applyFont="1" applyFill="1" applyBorder="1" applyAlignment="1" applyProtection="1">
      <alignment horizontal="center" vertical="center" wrapText="1"/>
      <protection hidden="1"/>
    </xf>
    <xf numFmtId="37" fontId="106" fillId="41" borderId="120" xfId="55" applyNumberFormat="1" applyFont="1" applyFill="1" applyBorder="1" applyAlignment="1" applyProtection="1">
      <alignment horizontal="center" vertical="center" wrapText="1"/>
      <protection hidden="1"/>
    </xf>
    <xf numFmtId="10" fontId="106" fillId="41" borderId="116" xfId="89" applyNumberFormat="1" applyFont="1" applyFill="1" applyBorder="1" applyAlignment="1" applyProtection="1">
      <alignment horizontal="center" vertical="center"/>
      <protection hidden="1"/>
    </xf>
    <xf numFmtId="0" fontId="106" fillId="41" borderId="114" xfId="0" applyFont="1" applyFill="1" applyBorder="1" applyAlignment="1" applyProtection="1">
      <alignment horizontal="left" vertical="center" wrapText="1" indent="1"/>
      <protection hidden="1"/>
    </xf>
    <xf numFmtId="39" fontId="106" fillId="41" borderId="116" xfId="55" applyNumberFormat="1" applyFont="1" applyFill="1" applyBorder="1" applyAlignment="1" applyProtection="1">
      <alignment horizontal="center" vertical="center" wrapText="1"/>
      <protection hidden="1"/>
    </xf>
    <xf numFmtId="0" fontId="106" fillId="41" borderId="121" xfId="0" applyFont="1" applyFill="1" applyBorder="1" applyAlignment="1" applyProtection="1">
      <alignment horizontal="left" vertical="center" indent="1"/>
      <protection hidden="1"/>
    </xf>
    <xf numFmtId="39" fontId="106" fillId="41" borderId="122" xfId="55" applyNumberFormat="1" applyFont="1" applyFill="1" applyBorder="1" applyAlignment="1" applyProtection="1">
      <alignment horizontal="center" vertical="center"/>
      <protection hidden="1"/>
    </xf>
    <xf numFmtId="0" fontId="0" fillId="0" borderId="0" xfId="0" applyFont="1" applyAlignment="1">
      <alignment vertical="center" wrapText="1"/>
    </xf>
    <xf numFmtId="0" fontId="0" fillId="0" borderId="16" xfId="0" applyBorder="1" applyAlignment="1">
      <alignment wrapText="1"/>
    </xf>
    <xf numFmtId="10" fontId="26" fillId="27" borderId="16" xfId="89" applyNumberFormat="1" applyFont="1" applyFill="1" applyBorder="1" applyAlignment="1">
      <alignment horizontal="center" wrapText="1"/>
    </xf>
    <xf numFmtId="43" fontId="26" fillId="27" borderId="16" xfId="55" applyFont="1" applyFill="1" applyBorder="1" applyAlignment="1">
      <alignment horizontal="center" wrapText="1"/>
    </xf>
    <xf numFmtId="43" fontId="103" fillId="0" borderId="0" xfId="55" applyFont="1" applyAlignment="1">
      <alignment horizontal="center" wrapText="1"/>
    </xf>
    <xf numFmtId="0" fontId="0" fillId="0" borderId="0" xfId="0" applyAlignment="1">
      <alignment horizontal="center" wrapText="1"/>
    </xf>
    <xf numFmtId="0" fontId="26" fillId="0" borderId="16" xfId="0" applyFont="1" applyBorder="1" applyAlignment="1">
      <alignment wrapText="1"/>
    </xf>
    <xf numFmtId="0" fontId="26" fillId="27" borderId="16" xfId="0" applyFont="1" applyFill="1" applyBorder="1" applyAlignment="1">
      <alignment wrapText="1"/>
    </xf>
    <xf numFmtId="43" fontId="1" fillId="0" borderId="0" xfId="55" applyFont="1" applyAlignment="1">
      <alignment horizontal="center" wrapText="1"/>
    </xf>
    <xf numFmtId="0" fontId="1" fillId="0" borderId="0" xfId="0" applyFont="1" applyAlignment="1">
      <alignment horizontal="center" wrapText="1"/>
    </xf>
    <xf numFmtId="0" fontId="34" fillId="0" borderId="16" xfId="0" applyFont="1" applyBorder="1"/>
    <xf numFmtId="9" fontId="34" fillId="0" borderId="16" xfId="89" applyFont="1" applyBorder="1"/>
    <xf numFmtId="0" fontId="0" fillId="27" borderId="16" xfId="0" applyFill="1" applyBorder="1"/>
    <xf numFmtId="166" fontId="0" fillId="27" borderId="16" xfId="0" applyNumberFormat="1" applyFill="1" applyBorder="1"/>
    <xf numFmtId="172" fontId="109" fillId="27" borderId="16" xfId="55" applyNumberFormat="1" applyFont="1" applyFill="1" applyBorder="1" applyAlignment="1">
      <alignment horizontal="center"/>
    </xf>
    <xf numFmtId="172" fontId="103" fillId="27" borderId="16" xfId="55" applyNumberFormat="1" applyFont="1" applyFill="1" applyBorder="1" applyAlignment="1">
      <alignment horizontal="center"/>
    </xf>
    <xf numFmtId="43" fontId="103" fillId="27" borderId="16" xfId="55" applyFont="1" applyFill="1" applyBorder="1" applyAlignment="1">
      <alignment horizontal="center"/>
    </xf>
    <xf numFmtId="172" fontId="103" fillId="0" borderId="0" xfId="55" applyNumberFormat="1" applyFont="1" applyAlignment="1">
      <alignment horizontal="center"/>
    </xf>
    <xf numFmtId="43" fontId="0" fillId="0" borderId="0" xfId="0" applyNumberFormat="1" applyAlignment="1">
      <alignment horizontal="center"/>
    </xf>
    <xf numFmtId="9" fontId="103" fillId="0" borderId="16" xfId="89" applyFont="1" applyBorder="1"/>
    <xf numFmtId="10" fontId="103" fillId="27" borderId="16" xfId="89" applyNumberFormat="1" applyFont="1" applyFill="1" applyBorder="1" applyAlignment="1">
      <alignment horizontal="center"/>
    </xf>
    <xf numFmtId="0" fontId="1" fillId="0" borderId="16" xfId="0" applyFont="1" applyBorder="1" applyAlignment="1">
      <alignment vertical="center" wrapText="1"/>
    </xf>
    <xf numFmtId="9" fontId="0" fillId="0" borderId="16" xfId="0" applyNumberFormat="1" applyBorder="1" applyAlignment="1">
      <alignment vertical="center" wrapText="1"/>
    </xf>
    <xf numFmtId="172" fontId="0" fillId="27" borderId="16" xfId="0" applyNumberFormat="1" applyFill="1" applyBorder="1" applyAlignment="1">
      <alignment vertical="center" wrapText="1"/>
    </xf>
    <xf numFmtId="172" fontId="103" fillId="27" borderId="16" xfId="55" applyNumberFormat="1" applyFont="1" applyFill="1" applyBorder="1" applyAlignment="1">
      <alignment horizontal="center" vertical="center" wrapText="1"/>
    </xf>
    <xf numFmtId="43" fontId="103" fillId="27" borderId="16" xfId="55" applyFont="1" applyFill="1" applyBorder="1" applyAlignment="1">
      <alignment horizontal="center" vertical="center" wrapText="1"/>
    </xf>
    <xf numFmtId="172" fontId="103" fillId="0" borderId="0" xfId="55" applyNumberFormat="1" applyFont="1" applyAlignment="1">
      <alignment horizontal="center" vertical="center" wrapText="1"/>
    </xf>
    <xf numFmtId="43" fontId="0" fillId="0" borderId="0" xfId="0" applyNumberFormat="1" applyAlignment="1">
      <alignment horizontal="center" vertical="center" wrapText="1"/>
    </xf>
    <xf numFmtId="0" fontId="0" fillId="27" borderId="16" xfId="0" applyFill="1" applyBorder="1" applyAlignment="1">
      <alignment horizontal="center"/>
    </xf>
    <xf numFmtId="0" fontId="76" fillId="0" borderId="16" xfId="0" applyFont="1" applyBorder="1" applyAlignment="1">
      <alignment vertical="center" wrapText="1"/>
    </xf>
    <xf numFmtId="172" fontId="76" fillId="27" borderId="16" xfId="0" applyNumberFormat="1" applyFont="1" applyFill="1" applyBorder="1" applyAlignment="1">
      <alignment vertical="center" wrapText="1"/>
    </xf>
    <xf numFmtId="0" fontId="1" fillId="34" borderId="16" xfId="0" applyFont="1" applyFill="1" applyBorder="1"/>
    <xf numFmtId="0" fontId="0" fillId="34" borderId="16" xfId="0" applyFill="1" applyBorder="1"/>
    <xf numFmtId="10" fontId="103" fillId="27" borderId="16" xfId="89" applyNumberFormat="1" applyFont="1" applyFill="1" applyBorder="1"/>
    <xf numFmtId="171" fontId="103" fillId="27" borderId="16" xfId="89" applyNumberFormat="1" applyFont="1" applyFill="1" applyBorder="1"/>
    <xf numFmtId="43" fontId="103" fillId="0" borderId="0" xfId="55" applyFont="1" applyAlignment="1">
      <alignment horizontal="center"/>
    </xf>
    <xf numFmtId="0" fontId="1" fillId="0" borderId="16" xfId="0" applyFont="1" applyBorder="1"/>
    <xf numFmtId="43" fontId="0" fillId="27" borderId="16" xfId="0" applyNumberFormat="1" applyFill="1" applyBorder="1"/>
    <xf numFmtId="43" fontId="0" fillId="27" borderId="16" xfId="0" applyNumberFormat="1" applyFill="1" applyBorder="1" applyAlignment="1">
      <alignment horizontal="center"/>
    </xf>
    <xf numFmtId="43" fontId="103" fillId="27" borderId="16" xfId="89" applyNumberFormat="1" applyFont="1" applyFill="1" applyBorder="1" applyAlignment="1">
      <alignment horizontal="center"/>
    </xf>
    <xf numFmtId="0" fontId="34" fillId="42" borderId="16" xfId="0" applyFont="1" applyFill="1" applyBorder="1"/>
    <xf numFmtId="171" fontId="34" fillId="27" borderId="16" xfId="89" applyNumberFormat="1" applyFont="1" applyFill="1" applyBorder="1"/>
    <xf numFmtId="0" fontId="1" fillId="0" borderId="0" xfId="0" applyFont="1" applyAlignment="1">
      <alignment horizontal="center"/>
    </xf>
    <xf numFmtId="10" fontId="34" fillId="27" borderId="16" xfId="89" applyNumberFormat="1" applyFont="1" applyFill="1" applyBorder="1"/>
    <xf numFmtId="10" fontId="34" fillId="27" borderId="16" xfId="89" applyNumberFormat="1" applyFont="1" applyFill="1" applyBorder="1" applyAlignment="1">
      <alignment horizontal="center"/>
    </xf>
    <xf numFmtId="10" fontId="103" fillId="0" borderId="0" xfId="89" applyNumberFormat="1" applyFont="1" applyAlignment="1">
      <alignment horizontal="center"/>
    </xf>
    <xf numFmtId="43" fontId="0" fillId="0" borderId="0" xfId="0" applyNumberFormat="1"/>
    <xf numFmtId="0" fontId="110" fillId="0" borderId="16" xfId="0" applyFont="1" applyBorder="1"/>
    <xf numFmtId="10" fontId="26" fillId="0" borderId="0" xfId="89" applyNumberFormat="1" applyFont="1" applyAlignment="1">
      <alignment horizontal="center"/>
    </xf>
    <xf numFmtId="173" fontId="26" fillId="0" borderId="0" xfId="55" applyNumberFormat="1" applyFont="1" applyAlignment="1">
      <alignment horizontal="center"/>
    </xf>
    <xf numFmtId="43" fontId="26" fillId="0" borderId="0" xfId="55" applyFont="1" applyAlignment="1">
      <alignment horizontal="center"/>
    </xf>
    <xf numFmtId="0" fontId="110" fillId="0" borderId="16" xfId="0" applyFont="1" applyFill="1" applyBorder="1"/>
    <xf numFmtId="43" fontId="110" fillId="0" borderId="16" xfId="55" applyFont="1" applyBorder="1"/>
    <xf numFmtId="43" fontId="110" fillId="0" borderId="16" xfId="0" applyNumberFormat="1" applyFont="1" applyBorder="1"/>
    <xf numFmtId="0" fontId="110" fillId="0" borderId="16" xfId="0" applyFont="1" applyFill="1" applyBorder="1" applyAlignment="1">
      <alignment vertical="center" wrapText="1"/>
    </xf>
    <xf numFmtId="0" fontId="110" fillId="0" borderId="16" xfId="0" applyFont="1" applyBorder="1" applyAlignment="1">
      <alignment vertical="center" wrapText="1"/>
    </xf>
    <xf numFmtId="43" fontId="110" fillId="0" borderId="16" xfId="0" applyNumberFormat="1" applyFont="1" applyBorder="1" applyAlignment="1">
      <alignment vertical="center" wrapText="1"/>
    </xf>
    <xf numFmtId="10" fontId="103" fillId="0" borderId="0" xfId="89" applyNumberFormat="1" applyFont="1" applyAlignment="1">
      <alignment horizontal="center" vertical="center" wrapText="1"/>
    </xf>
    <xf numFmtId="43" fontId="103" fillId="0" borderId="0" xfId="55" applyFont="1" applyAlignment="1">
      <alignment horizontal="center" vertical="center" wrapText="1"/>
    </xf>
    <xf numFmtId="0" fontId="1" fillId="0" borderId="0" xfId="0" applyFont="1" applyFill="1" applyBorder="1"/>
    <xf numFmtId="43" fontId="103" fillId="0" borderId="84" xfId="55" applyFont="1" applyBorder="1" applyAlignment="1">
      <alignment vertical="center"/>
    </xf>
    <xf numFmtId="0" fontId="1" fillId="42" borderId="16" xfId="0" applyFont="1" applyFill="1" applyBorder="1" applyAlignment="1">
      <alignment horizontal="center" vertical="center"/>
    </xf>
    <xf numFmtId="0" fontId="1" fillId="42" borderId="16" xfId="0" applyFont="1" applyFill="1" applyBorder="1" applyAlignment="1">
      <alignment vertical="center"/>
    </xf>
    <xf numFmtId="0" fontId="0" fillId="42" borderId="16" xfId="0" applyFill="1" applyBorder="1" applyAlignment="1">
      <alignment vertical="center"/>
    </xf>
    <xf numFmtId="0" fontId="1" fillId="39" borderId="16" xfId="0" applyFont="1" applyFill="1" applyBorder="1" applyAlignment="1">
      <alignment horizontal="center" vertical="center"/>
    </xf>
    <xf numFmtId="0" fontId="0" fillId="39" borderId="16" xfId="0" applyFill="1" applyBorder="1" applyAlignment="1"/>
    <xf numFmtId="0" fontId="34" fillId="0" borderId="18" xfId="0" applyFont="1" applyBorder="1" applyAlignment="1" applyProtection="1">
      <alignment horizontal="center" vertical="center" wrapText="1"/>
      <protection locked="0"/>
    </xf>
    <xf numFmtId="0" fontId="34" fillId="0" borderId="47" xfId="0" applyFont="1" applyBorder="1" applyAlignment="1" applyProtection="1">
      <alignment horizontal="center" vertical="center" wrapText="1"/>
      <protection locked="0"/>
    </xf>
    <xf numFmtId="0" fontId="34" fillId="0" borderId="16" xfId="0" applyFont="1" applyBorder="1" applyAlignment="1" applyProtection="1">
      <alignment horizontal="center" vertical="center" wrapText="1"/>
      <protection locked="0"/>
    </xf>
    <xf numFmtId="10" fontId="34" fillId="25" borderId="16" xfId="89" applyNumberFormat="1" applyFont="1" applyFill="1" applyBorder="1" applyAlignment="1" applyProtection="1">
      <alignment horizontal="center" vertical="center" wrapText="1"/>
      <protection locked="0"/>
    </xf>
    <xf numFmtId="43" fontId="34" fillId="25" borderId="16" xfId="55" applyFont="1" applyFill="1" applyBorder="1" applyAlignment="1" applyProtection="1">
      <alignment horizontal="center" vertical="center" wrapText="1"/>
      <protection locked="0"/>
    </xf>
    <xf numFmtId="0" fontId="1" fillId="0" borderId="123" xfId="0" applyFont="1" applyBorder="1" applyAlignment="1">
      <alignment horizontal="center"/>
    </xf>
    <xf numFmtId="0" fontId="1" fillId="0" borderId="124" xfId="0" applyFont="1" applyBorder="1" applyAlignment="1">
      <alignment horizontal="center"/>
    </xf>
    <xf numFmtId="0" fontId="0" fillId="42" borderId="16" xfId="0" applyFill="1" applyBorder="1" applyAlignment="1" applyProtection="1">
      <alignment horizontal="center" vertical="center" wrapText="1"/>
      <protection locked="0"/>
    </xf>
    <xf numFmtId="0" fontId="0" fillId="42" borderId="16" xfId="0" applyFill="1" applyBorder="1" applyAlignment="1" applyProtection="1">
      <alignment vertical="center" wrapText="1"/>
      <protection locked="0"/>
    </xf>
    <xf numFmtId="0" fontId="0" fillId="39" borderId="16" xfId="0" applyFill="1" applyBorder="1" applyAlignment="1" applyProtection="1">
      <alignment vertical="center" wrapText="1"/>
      <protection locked="0"/>
    </xf>
    <xf numFmtId="0" fontId="0" fillId="39" borderId="16" xfId="0" applyFill="1" applyBorder="1" applyAlignment="1" applyProtection="1">
      <alignment horizontal="center" vertical="center" wrapText="1"/>
      <protection locked="0"/>
    </xf>
    <xf numFmtId="0" fontId="1" fillId="39" borderId="16" xfId="0" applyFont="1" applyFill="1" applyBorder="1" applyAlignment="1" applyProtection="1">
      <alignment vertical="center" wrapText="1"/>
      <protection locked="0"/>
    </xf>
    <xf numFmtId="0" fontId="34" fillId="0" borderId="18" xfId="0" applyFont="1" applyBorder="1" applyAlignment="1" applyProtection="1">
      <alignment horizontal="left" vertical="center" indent="1"/>
      <protection hidden="1"/>
    </xf>
    <xf numFmtId="0" fontId="34" fillId="0" borderId="47" xfId="0" applyFont="1" applyBorder="1" applyAlignment="1" applyProtection="1">
      <alignment horizontal="left" vertical="center" indent="1"/>
      <protection hidden="1"/>
    </xf>
    <xf numFmtId="180" fontId="34" fillId="0" borderId="16" xfId="89" applyNumberFormat="1" applyFont="1" applyBorder="1" applyAlignment="1" applyProtection="1">
      <alignment horizontal="center" vertical="center"/>
      <protection locked="0"/>
    </xf>
    <xf numFmtId="180" fontId="34" fillId="25" borderId="16" xfId="89" applyNumberFormat="1" applyFont="1" applyFill="1" applyBorder="1" applyAlignment="1" applyProtection="1">
      <alignment horizontal="center"/>
      <protection hidden="1"/>
    </xf>
    <xf numFmtId="43" fontId="34" fillId="25" borderId="16" xfId="55" applyFont="1" applyFill="1" applyBorder="1" applyAlignment="1" applyProtection="1">
      <alignment horizontal="center"/>
      <protection hidden="1"/>
    </xf>
    <xf numFmtId="0" fontId="0" fillId="0" borderId="123" xfId="0" applyBorder="1" applyAlignment="1">
      <alignment horizontal="center"/>
    </xf>
    <xf numFmtId="191" fontId="103" fillId="0" borderId="124" xfId="89" applyNumberFormat="1" applyFont="1" applyBorder="1" applyAlignment="1">
      <alignment horizontal="center"/>
    </xf>
    <xf numFmtId="0" fontId="0" fillId="42" borderId="16" xfId="0" applyFill="1" applyBorder="1"/>
    <xf numFmtId="0" fontId="0" fillId="39" borderId="16" xfId="0" applyFill="1" applyBorder="1"/>
    <xf numFmtId="192" fontId="103" fillId="42" borderId="16" xfId="55" applyNumberFormat="1" applyFont="1" applyFill="1" applyBorder="1"/>
    <xf numFmtId="0" fontId="34" fillId="0" borderId="18" xfId="0" applyFont="1" applyBorder="1" applyAlignment="1" applyProtection="1">
      <alignment horizontal="left" vertical="center" wrapText="1" indent="1"/>
      <protection hidden="1"/>
    </xf>
    <xf numFmtId="0" fontId="34" fillId="0" borderId="47" xfId="0" applyFont="1" applyBorder="1" applyAlignment="1" applyProtection="1">
      <alignment horizontal="left" vertical="center" wrapText="1" indent="1"/>
      <protection hidden="1"/>
    </xf>
    <xf numFmtId="171" fontId="0" fillId="42" borderId="16" xfId="0" applyNumberFormat="1" applyFill="1" applyBorder="1"/>
    <xf numFmtId="0" fontId="34" fillId="0" borderId="18" xfId="0" applyFont="1" applyBorder="1" applyAlignment="1" applyProtection="1">
      <alignment horizontal="left" vertical="center" wrapText="1"/>
      <protection hidden="1"/>
    </xf>
    <xf numFmtId="0" fontId="34" fillId="0" borderId="47" xfId="0" applyFont="1" applyBorder="1" applyAlignment="1" applyProtection="1">
      <alignment horizontal="left" vertical="center" wrapText="1"/>
      <protection hidden="1"/>
    </xf>
    <xf numFmtId="180" fontId="34" fillId="0" borderId="16" xfId="89" applyNumberFormat="1" applyFont="1" applyBorder="1" applyAlignment="1" applyProtection="1">
      <alignment horizontal="center" vertical="center" wrapText="1"/>
      <protection locked="0"/>
    </xf>
    <xf numFmtId="180" fontId="34" fillId="25" borderId="16" xfId="89" applyNumberFormat="1" applyFont="1" applyFill="1" applyBorder="1" applyAlignment="1" applyProtection="1">
      <alignment horizontal="center" vertical="center" wrapText="1"/>
      <protection hidden="1"/>
    </xf>
    <xf numFmtId="43" fontId="34" fillId="25" borderId="16" xfId="55" applyFont="1" applyFill="1" applyBorder="1" applyAlignment="1" applyProtection="1">
      <alignment horizontal="center" vertical="center" wrapText="1"/>
      <protection hidden="1"/>
    </xf>
    <xf numFmtId="0" fontId="0" fillId="0" borderId="16" xfId="0" applyBorder="1" applyAlignment="1">
      <alignment horizontal="center" vertical="center"/>
    </xf>
    <xf numFmtId="0" fontId="0" fillId="26" borderId="123" xfId="0" applyFill="1" applyBorder="1" applyAlignment="1">
      <alignment horizontal="center" vertical="center"/>
    </xf>
    <xf numFmtId="191" fontId="1" fillId="26" borderId="124" xfId="89" applyNumberFormat="1" applyFont="1" applyFill="1" applyBorder="1" applyAlignment="1">
      <alignment horizontal="center" vertical="center"/>
    </xf>
    <xf numFmtId="172" fontId="1" fillId="42" borderId="16" xfId="55" applyNumberFormat="1" applyFont="1" applyFill="1" applyBorder="1" applyAlignment="1">
      <alignment horizontal="center" vertical="center"/>
    </xf>
    <xf numFmtId="172" fontId="0" fillId="42" borderId="16" xfId="0" applyNumberFormat="1" applyFill="1" applyBorder="1" applyAlignment="1">
      <alignment vertical="center"/>
    </xf>
    <xf numFmtId="172" fontId="0" fillId="39" borderId="16" xfId="0" applyNumberFormat="1" applyFill="1" applyBorder="1" applyAlignment="1">
      <alignment vertical="center"/>
    </xf>
    <xf numFmtId="0" fontId="0" fillId="39" borderId="16" xfId="0" applyFill="1" applyBorder="1" applyAlignment="1">
      <alignment vertical="center"/>
    </xf>
    <xf numFmtId="0" fontId="48" fillId="0" borderId="18" xfId="0" applyFont="1" applyFill="1" applyBorder="1" applyAlignment="1" applyProtection="1">
      <alignment horizontal="left" vertical="center" wrapText="1" indent="1"/>
      <protection hidden="1"/>
    </xf>
    <xf numFmtId="0" fontId="48" fillId="0" borderId="47" xfId="0" applyFont="1" applyFill="1" applyBorder="1" applyAlignment="1" applyProtection="1">
      <alignment horizontal="left" vertical="center" wrapText="1" indent="1"/>
      <protection hidden="1"/>
    </xf>
    <xf numFmtId="10" fontId="48" fillId="0" borderId="16" xfId="0" applyNumberFormat="1" applyFont="1" applyFill="1" applyBorder="1" applyAlignment="1" applyProtection="1">
      <alignment horizontal="center"/>
      <protection hidden="1"/>
    </xf>
    <xf numFmtId="43" fontId="48" fillId="0" borderId="16" xfId="55" applyFont="1" applyFill="1" applyBorder="1" applyAlignment="1" applyProtection="1">
      <alignment horizontal="center"/>
      <protection hidden="1"/>
    </xf>
    <xf numFmtId="0" fontId="26" fillId="0" borderId="16" xfId="0" applyFont="1" applyFill="1" applyBorder="1" applyAlignment="1">
      <alignment horizontal="center" vertical="center"/>
    </xf>
    <xf numFmtId="0" fontId="0" fillId="0" borderId="16" xfId="0" applyFill="1" applyBorder="1" applyAlignment="1">
      <alignment horizontal="center"/>
    </xf>
    <xf numFmtId="0" fontId="0" fillId="0" borderId="125" xfId="0" applyBorder="1" applyAlignment="1">
      <alignment horizontal="center"/>
    </xf>
    <xf numFmtId="191" fontId="0" fillId="0" borderId="126" xfId="0" applyNumberFormat="1" applyBorder="1" applyAlignment="1">
      <alignment horizontal="center"/>
    </xf>
    <xf numFmtId="10" fontId="1" fillId="42" borderId="16" xfId="89" applyNumberFormat="1" applyFont="1" applyFill="1" applyBorder="1"/>
    <xf numFmtId="10" fontId="0" fillId="42" borderId="16" xfId="0" applyNumberFormat="1" applyFill="1" applyBorder="1"/>
    <xf numFmtId="10" fontId="0" fillId="39" borderId="16" xfId="0" applyNumberFormat="1" applyFill="1" applyBorder="1"/>
    <xf numFmtId="10" fontId="1" fillId="39" borderId="16" xfId="89" applyNumberFormat="1" applyFont="1" applyFill="1" applyBorder="1"/>
    <xf numFmtId="10" fontId="1" fillId="39" borderId="16" xfId="89" applyNumberFormat="1" applyFont="1" applyFill="1" applyBorder="1" applyAlignment="1">
      <alignment vertical="center"/>
    </xf>
    <xf numFmtId="171" fontId="0" fillId="0" borderId="0" xfId="0" applyNumberFormat="1" applyBorder="1" applyAlignment="1">
      <alignment horizontal="center"/>
    </xf>
    <xf numFmtId="0" fontId="34" fillId="0" borderId="16" xfId="0" applyFont="1" applyFill="1" applyBorder="1" applyAlignment="1">
      <alignment horizontal="center" vertical="center"/>
    </xf>
    <xf numFmtId="9" fontId="26" fillId="0" borderId="0" xfId="89" applyFont="1" applyFill="1" applyBorder="1" applyAlignment="1">
      <alignment horizontal="center"/>
    </xf>
    <xf numFmtId="171" fontId="26" fillId="0" borderId="0" xfId="0" applyNumberFormat="1" applyFont="1" applyFill="1" applyBorder="1" applyAlignment="1">
      <alignment horizontal="center"/>
    </xf>
    <xf numFmtId="10" fontId="26" fillId="42" borderId="16" xfId="89" applyNumberFormat="1" applyFont="1" applyFill="1" applyBorder="1"/>
    <xf numFmtId="0" fontId="26" fillId="42" borderId="16" xfId="0" applyFont="1" applyFill="1" applyBorder="1"/>
    <xf numFmtId="172" fontId="26" fillId="42" borderId="16" xfId="0" applyNumberFormat="1" applyFont="1" applyFill="1" applyBorder="1"/>
    <xf numFmtId="0" fontId="26" fillId="39" borderId="16" xfId="0" applyFont="1" applyFill="1" applyBorder="1" applyAlignment="1">
      <alignment horizontal="center" vertical="center"/>
    </xf>
    <xf numFmtId="9" fontId="26" fillId="39" borderId="16" xfId="0" applyNumberFormat="1" applyFont="1" applyFill="1" applyBorder="1" applyAlignment="1">
      <alignment horizontal="center" vertical="center"/>
    </xf>
    <xf numFmtId="43" fontId="1" fillId="39" borderId="16" xfId="55" applyFont="1" applyFill="1" applyBorder="1" applyAlignment="1">
      <alignment horizontal="center"/>
    </xf>
    <xf numFmtId="0" fontId="0" fillId="0" borderId="0" xfId="0" applyFill="1" applyBorder="1" applyAlignment="1">
      <alignment horizontal="center"/>
    </xf>
    <xf numFmtId="171" fontId="0" fillId="0" borderId="0" xfId="0" applyNumberFormat="1" applyFill="1" applyBorder="1" applyAlignment="1">
      <alignment horizontal="center"/>
    </xf>
    <xf numFmtId="172" fontId="1" fillId="42" borderId="16" xfId="89" applyNumberFormat="1" applyFont="1" applyFill="1" applyBorder="1"/>
    <xf numFmtId="172" fontId="1" fillId="42" borderId="16" xfId="55" applyNumberFormat="1" applyFont="1" applyFill="1" applyBorder="1"/>
    <xf numFmtId="172" fontId="0" fillId="42" borderId="16" xfId="0" applyNumberFormat="1" applyFill="1" applyBorder="1"/>
    <xf numFmtId="43" fontId="0" fillId="39" borderId="16" xfId="0" applyNumberFormat="1" applyFill="1" applyBorder="1" applyAlignment="1">
      <alignment horizontal="center"/>
    </xf>
    <xf numFmtId="43" fontId="0" fillId="39" borderId="16" xfId="0" applyNumberFormat="1" applyFill="1" applyBorder="1"/>
    <xf numFmtId="10" fontId="1" fillId="39" borderId="16" xfId="89" applyNumberFormat="1" applyFont="1" applyFill="1" applyBorder="1" applyAlignment="1">
      <alignment horizontal="center"/>
    </xf>
    <xf numFmtId="0" fontId="0" fillId="39" borderId="16" xfId="0" applyFill="1" applyBorder="1" applyAlignment="1">
      <alignment horizontal="center"/>
    </xf>
    <xf numFmtId="0" fontId="48" fillId="0" borderId="99" xfId="0" applyFont="1" applyFill="1" applyBorder="1" applyAlignment="1" applyProtection="1">
      <alignment horizontal="left" vertical="center" wrapText="1" indent="1"/>
      <protection hidden="1"/>
    </xf>
    <xf numFmtId="10" fontId="48" fillId="0" borderId="32" xfId="0" applyNumberFormat="1" applyFont="1" applyFill="1" applyBorder="1" applyAlignment="1" applyProtection="1">
      <alignment horizontal="center"/>
      <protection hidden="1"/>
    </xf>
    <xf numFmtId="43" fontId="48" fillId="0" borderId="32" xfId="55" applyFont="1" applyFill="1" applyBorder="1" applyAlignment="1" applyProtection="1">
      <alignment horizontal="center"/>
      <protection hidden="1"/>
    </xf>
    <xf numFmtId="0" fontId="26" fillId="0" borderId="32" xfId="0" applyFont="1" applyFill="1" applyBorder="1" applyAlignment="1">
      <alignment horizontal="center" vertical="center"/>
    </xf>
    <xf numFmtId="0" fontId="0" fillId="0" borderId="32" xfId="0" applyFill="1" applyBorder="1" applyAlignment="1">
      <alignment horizontal="center"/>
    </xf>
    <xf numFmtId="10" fontId="1" fillId="42" borderId="32" xfId="89" applyNumberFormat="1" applyFont="1" applyFill="1" applyBorder="1"/>
    <xf numFmtId="0" fontId="0" fillId="42" borderId="32" xfId="0" applyFill="1" applyBorder="1"/>
    <xf numFmtId="10" fontId="0" fillId="42" borderId="32" xfId="0" applyNumberFormat="1" applyFill="1" applyBorder="1"/>
    <xf numFmtId="0" fontId="48" fillId="0" borderId="0" xfId="0" applyFont="1" applyFill="1" applyBorder="1" applyAlignment="1" applyProtection="1">
      <alignment horizontal="left" vertical="center" wrapText="1" indent="1"/>
      <protection hidden="1"/>
    </xf>
    <xf numFmtId="10" fontId="48" fillId="0" borderId="0" xfId="0" applyNumberFormat="1" applyFont="1" applyFill="1" applyBorder="1" applyAlignment="1" applyProtection="1">
      <alignment horizontal="center"/>
      <protection hidden="1"/>
    </xf>
    <xf numFmtId="43" fontId="48" fillId="0" borderId="0" xfId="55" applyFont="1" applyFill="1" applyBorder="1" applyAlignment="1" applyProtection="1">
      <alignment horizontal="center"/>
      <protection hidden="1"/>
    </xf>
    <xf numFmtId="10" fontId="1" fillId="42" borderId="0" xfId="89" applyNumberFormat="1" applyFont="1" applyFill="1" applyBorder="1"/>
    <xf numFmtId="0" fontId="0" fillId="42" borderId="0" xfId="0" applyFill="1" applyBorder="1"/>
    <xf numFmtId="10" fontId="0" fillId="42" borderId="0" xfId="0" applyNumberFormat="1" applyFill="1" applyBorder="1"/>
    <xf numFmtId="10" fontId="0" fillId="39" borderId="47" xfId="0" applyNumberFormat="1" applyFill="1" applyBorder="1"/>
    <xf numFmtId="43" fontId="48" fillId="26" borderId="0" xfId="55" applyFont="1" applyFill="1" applyBorder="1" applyAlignment="1" applyProtection="1">
      <alignment horizontal="center"/>
      <protection hidden="1"/>
    </xf>
    <xf numFmtId="0" fontId="26" fillId="26" borderId="0" xfId="0" applyFont="1" applyFill="1" applyBorder="1" applyAlignment="1">
      <alignment horizontal="center" vertical="center"/>
    </xf>
    <xf numFmtId="0" fontId="0" fillId="26" borderId="0" xfId="0" applyFill="1" applyBorder="1" applyAlignment="1">
      <alignment horizontal="center"/>
    </xf>
    <xf numFmtId="171" fontId="1" fillId="26" borderId="0" xfId="0" applyNumberFormat="1" applyFont="1" applyFill="1" applyBorder="1" applyAlignment="1">
      <alignment horizontal="center"/>
    </xf>
    <xf numFmtId="10" fontId="1" fillId="42" borderId="0" xfId="89" applyNumberFormat="1" applyFont="1" applyFill="1" applyBorder="1" applyAlignment="1">
      <alignment horizontal="right"/>
    </xf>
    <xf numFmtId="43" fontId="48" fillId="0" borderId="0" xfId="0" applyNumberFormat="1" applyFont="1" applyFill="1" applyBorder="1" applyAlignment="1" applyProtection="1">
      <alignment horizontal="left" vertical="center" wrapText="1" indent="1"/>
      <protection hidden="1"/>
    </xf>
    <xf numFmtId="10" fontId="103" fillId="0" borderId="0" xfId="89" applyNumberFormat="1" applyFont="1"/>
    <xf numFmtId="0" fontId="1" fillId="0" borderId="0" xfId="0" applyFont="1" applyBorder="1" applyAlignment="1">
      <alignment vertical="center"/>
    </xf>
    <xf numFmtId="173" fontId="0" fillId="0" borderId="0" xfId="0" applyNumberFormat="1"/>
    <xf numFmtId="9" fontId="103" fillId="0" borderId="0" xfId="89" applyFont="1" applyBorder="1" applyAlignment="1">
      <alignment vertical="center"/>
    </xf>
    <xf numFmtId="172" fontId="0" fillId="0" borderId="0" xfId="0" applyNumberFormat="1" applyBorder="1" applyAlignment="1">
      <alignment vertical="center"/>
    </xf>
    <xf numFmtId="166" fontId="0" fillId="0" borderId="0" xfId="0" applyNumberFormat="1" applyBorder="1" applyAlignment="1">
      <alignment vertical="center"/>
    </xf>
    <xf numFmtId="0" fontId="1" fillId="31" borderId="0" xfId="0" applyFont="1" applyFill="1" applyBorder="1" applyAlignment="1">
      <alignment vertical="center"/>
    </xf>
    <xf numFmtId="166" fontId="0" fillId="31" borderId="0" xfId="0" applyNumberFormat="1" applyFill="1" applyBorder="1" applyAlignment="1">
      <alignment vertical="center"/>
    </xf>
    <xf numFmtId="0" fontId="110" fillId="26" borderId="0" xfId="0" applyFont="1" applyFill="1" applyBorder="1" applyAlignment="1">
      <alignment horizontal="center" vertical="center"/>
    </xf>
    <xf numFmtId="166" fontId="112" fillId="0" borderId="0" xfId="0" applyNumberFormat="1" applyFont="1" applyBorder="1" applyAlignment="1">
      <alignment vertical="center"/>
    </xf>
    <xf numFmtId="0" fontId="112" fillId="0" borderId="0" xfId="0" applyFont="1" applyBorder="1" applyAlignment="1">
      <alignment vertical="center"/>
    </xf>
    <xf numFmtId="166" fontId="113" fillId="27" borderId="0" xfId="0" applyNumberFormat="1" applyFont="1" applyFill="1" applyBorder="1" applyAlignment="1">
      <alignment vertical="center"/>
    </xf>
    <xf numFmtId="39" fontId="110" fillId="26" borderId="0" xfId="0" applyNumberFormat="1" applyFont="1" applyFill="1" applyBorder="1" applyAlignment="1">
      <alignment horizontal="center" vertical="center"/>
    </xf>
    <xf numFmtId="0" fontId="46" fillId="0" borderId="20" xfId="0" applyFont="1" applyBorder="1" applyAlignment="1">
      <alignment vertical="center"/>
    </xf>
    <xf numFmtId="0" fontId="46" fillId="0" borderId="13" xfId="0" applyFont="1" applyBorder="1" applyAlignment="1">
      <alignment vertical="center"/>
    </xf>
    <xf numFmtId="0" fontId="46" fillId="0" borderId="21" xfId="0" applyFont="1" applyBorder="1" applyAlignment="1">
      <alignment vertical="center"/>
    </xf>
    <xf numFmtId="166" fontId="34" fillId="26" borderId="0" xfId="0" applyNumberFormat="1" applyFont="1" applyFill="1" applyBorder="1" applyAlignment="1">
      <alignment horizontal="center" vertical="center"/>
    </xf>
    <xf numFmtId="0" fontId="46" fillId="0" borderId="39" xfId="0" applyFont="1" applyBorder="1" applyAlignment="1">
      <alignment vertical="center"/>
    </xf>
    <xf numFmtId="0" fontId="46" fillId="0" borderId="0" xfId="0" applyFont="1" applyBorder="1" applyAlignment="1">
      <alignment vertical="center"/>
    </xf>
    <xf numFmtId="0" fontId="46" fillId="0" borderId="40" xfId="0" applyFont="1" applyBorder="1" applyAlignment="1">
      <alignment vertical="center"/>
    </xf>
    <xf numFmtId="172" fontId="46" fillId="0" borderId="0" xfId="55" applyNumberFormat="1" applyFont="1" applyBorder="1" applyAlignment="1">
      <alignment vertical="center"/>
    </xf>
    <xf numFmtId="43" fontId="46" fillId="0" borderId="0" xfId="0" applyNumberFormat="1" applyFont="1" applyBorder="1" applyAlignment="1">
      <alignment vertical="center"/>
    </xf>
    <xf numFmtId="166" fontId="114" fillId="26" borderId="0" xfId="0" applyNumberFormat="1" applyFont="1" applyFill="1" applyBorder="1" applyAlignment="1">
      <alignment horizontal="center" vertical="center"/>
    </xf>
    <xf numFmtId="43" fontId="2" fillId="0" borderId="0" xfId="0" applyNumberFormat="1" applyFont="1" applyBorder="1" applyAlignment="1">
      <alignment vertical="center"/>
    </xf>
    <xf numFmtId="0" fontId="113" fillId="27" borderId="0" xfId="0" applyFont="1" applyFill="1" applyBorder="1" applyAlignment="1">
      <alignment vertical="center"/>
    </xf>
    <xf numFmtId="10" fontId="34" fillId="26" borderId="0" xfId="89" applyNumberFormat="1" applyFont="1" applyFill="1" applyBorder="1" applyAlignment="1">
      <alignment horizontal="center" vertical="center"/>
    </xf>
    <xf numFmtId="43" fontId="2" fillId="0" borderId="0" xfId="0" applyNumberFormat="1" applyFont="1" applyBorder="1" applyAlignment="1">
      <alignment horizontal="left" vertical="center"/>
    </xf>
    <xf numFmtId="171" fontId="112" fillId="0" borderId="0" xfId="89" applyNumberFormat="1" applyFont="1" applyBorder="1" applyAlignment="1">
      <alignment vertical="center"/>
    </xf>
    <xf numFmtId="10" fontId="113" fillId="27" borderId="0" xfId="89" applyNumberFormat="1" applyFont="1" applyFill="1" applyBorder="1" applyAlignment="1">
      <alignment vertical="center"/>
    </xf>
    <xf numFmtId="0" fontId="46" fillId="0" borderId="0" xfId="0" applyFont="1" applyBorder="1" applyAlignment="1">
      <alignment horizontal="left" indent="4"/>
    </xf>
    <xf numFmtId="2" fontId="46" fillId="0" borderId="0" xfId="0" applyNumberFormat="1" applyFont="1" applyBorder="1" applyAlignment="1">
      <alignment horizontal="left" indent="8"/>
    </xf>
    <xf numFmtId="0" fontId="46" fillId="0" borderId="22" xfId="0" applyFont="1" applyBorder="1" applyAlignment="1">
      <alignment vertical="center"/>
    </xf>
    <xf numFmtId="0" fontId="46" fillId="0" borderId="45" xfId="0" applyFont="1" applyBorder="1" applyAlignment="1">
      <alignment vertical="center"/>
    </xf>
    <xf numFmtId="0" fontId="46" fillId="0" borderId="45" xfId="0" applyFont="1" applyBorder="1"/>
    <xf numFmtId="0" fontId="46" fillId="0" borderId="23" xfId="0" applyFont="1" applyBorder="1" applyAlignment="1">
      <alignment vertical="center"/>
    </xf>
    <xf numFmtId="0" fontId="2" fillId="0" borderId="64" xfId="0" applyFont="1" applyBorder="1" applyAlignment="1">
      <alignment vertical="center"/>
    </xf>
    <xf numFmtId="10" fontId="103" fillId="0" borderId="49" xfId="89" applyNumberFormat="1" applyFont="1" applyBorder="1" applyAlignment="1">
      <alignment horizontal="center"/>
    </xf>
    <xf numFmtId="0" fontId="2" fillId="0" borderId="49" xfId="0" applyFont="1" applyBorder="1" applyAlignment="1">
      <alignment horizontal="left" indent="8"/>
    </xf>
    <xf numFmtId="0" fontId="2" fillId="0" borderId="49" xfId="0" applyFont="1" applyBorder="1" applyAlignment="1">
      <alignment vertical="center"/>
    </xf>
    <xf numFmtId="0" fontId="2" fillId="0" borderId="57" xfId="0" applyFont="1" applyBorder="1" applyAlignment="1">
      <alignment vertical="center"/>
    </xf>
    <xf numFmtId="0" fontId="26" fillId="0" borderId="0" xfId="0" applyFont="1" applyBorder="1" applyAlignment="1">
      <alignment vertical="center"/>
    </xf>
    <xf numFmtId="0" fontId="46" fillId="0" borderId="64" xfId="0" applyFont="1" applyBorder="1" applyAlignment="1">
      <alignment horizontal="left" vertical="center" indent="1"/>
    </xf>
    <xf numFmtId="0" fontId="46" fillId="0" borderId="49" xfId="0" applyFont="1" applyBorder="1" applyAlignment="1">
      <alignment vertical="center"/>
    </xf>
    <xf numFmtId="0" fontId="46" fillId="0" borderId="57" xfId="0" applyFont="1" applyBorder="1" applyAlignment="1">
      <alignment vertical="center"/>
    </xf>
    <xf numFmtId="166" fontId="115" fillId="0" borderId="0" xfId="0" applyNumberFormat="1" applyFont="1" applyBorder="1" applyAlignment="1">
      <alignment vertical="center"/>
    </xf>
    <xf numFmtId="166" fontId="26" fillId="0" borderId="0" xfId="0" applyNumberFormat="1" applyFont="1" applyBorder="1" applyAlignment="1">
      <alignment vertical="center"/>
    </xf>
    <xf numFmtId="0" fontId="46" fillId="0" borderId="0" xfId="0" applyFont="1" applyBorder="1" applyAlignment="1">
      <alignment horizontal="left" indent="8"/>
    </xf>
    <xf numFmtId="173" fontId="46" fillId="0" borderId="22" xfId="0" applyNumberFormat="1" applyFont="1" applyBorder="1" applyAlignment="1">
      <alignment vertical="center"/>
    </xf>
    <xf numFmtId="0" fontId="1" fillId="0" borderId="0" xfId="0" applyFont="1" applyBorder="1" applyAlignment="1">
      <alignment vertical="center" wrapText="1"/>
    </xf>
    <xf numFmtId="166" fontId="0" fillId="0" borderId="0" xfId="0" applyNumberFormat="1" applyBorder="1" applyAlignment="1">
      <alignment vertical="center" wrapText="1"/>
    </xf>
    <xf numFmtId="0" fontId="0" fillId="34" borderId="0" xfId="0" applyFill="1" applyBorder="1" applyAlignment="1"/>
    <xf numFmtId="0" fontId="34" fillId="0" borderId="16" xfId="0" applyFont="1" applyBorder="1" applyAlignment="1" applyProtection="1">
      <alignment horizontal="left" vertical="center" wrapText="1" indent="1"/>
    </xf>
    <xf numFmtId="43" fontId="34" fillId="0" borderId="16" xfId="55" applyFont="1" applyBorder="1" applyAlignment="1" applyProtection="1">
      <alignment horizontal="left" vertical="center" wrapText="1" indent="1"/>
    </xf>
    <xf numFmtId="0" fontId="34" fillId="0" borderId="16"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24" borderId="16" xfId="0" applyFont="1" applyFill="1" applyBorder="1" applyAlignment="1" applyProtection="1">
      <alignment horizontal="left" vertical="center" wrapText="1" indent="1"/>
    </xf>
    <xf numFmtId="43" fontId="2" fillId="24" borderId="16" xfId="55" applyFont="1" applyFill="1" applyBorder="1" applyAlignment="1" applyProtection="1">
      <alignment horizontal="left" vertical="center" wrapText="1" indent="1"/>
    </xf>
    <xf numFmtId="0" fontId="34" fillId="24" borderId="16" xfId="0" applyFont="1" applyFill="1" applyBorder="1" applyAlignment="1" applyProtection="1">
      <alignment horizontal="center" vertical="center" wrapText="1"/>
      <protection locked="0"/>
    </xf>
    <xf numFmtId="0" fontId="34" fillId="24" borderId="58" xfId="0" applyFont="1" applyFill="1" applyBorder="1" applyAlignment="1" applyProtection="1">
      <alignment horizontal="center" vertical="center" wrapText="1"/>
      <protection hidden="1"/>
    </xf>
    <xf numFmtId="0" fontId="34" fillId="24" borderId="0" xfId="0" applyFont="1" applyFill="1" applyBorder="1" applyAlignment="1" applyProtection="1">
      <alignment horizontal="center" vertical="center" wrapText="1"/>
      <protection hidden="1"/>
    </xf>
    <xf numFmtId="0" fontId="2" fillId="25" borderId="16" xfId="0" applyFont="1" applyFill="1" applyBorder="1" applyAlignment="1" applyProtection="1">
      <alignment horizontal="left" vertical="center" wrapText="1" indent="1"/>
      <protection hidden="1"/>
    </xf>
    <xf numFmtId="43" fontId="2" fillId="25" borderId="16" xfId="55" applyFont="1" applyFill="1" applyBorder="1" applyAlignment="1" applyProtection="1">
      <alignment horizontal="left" vertical="center" wrapText="1" indent="1"/>
      <protection hidden="1"/>
    </xf>
    <xf numFmtId="9" fontId="34" fillId="25" borderId="16" xfId="89" applyFont="1" applyFill="1" applyBorder="1" applyAlignment="1" applyProtection="1">
      <alignment horizontal="center" vertical="center" wrapText="1"/>
      <protection hidden="1"/>
    </xf>
    <xf numFmtId="0" fontId="34" fillId="25" borderId="58" xfId="0" applyFont="1" applyFill="1" applyBorder="1" applyAlignment="1" applyProtection="1">
      <alignment horizontal="center" vertical="center" wrapText="1"/>
      <protection hidden="1"/>
    </xf>
    <xf numFmtId="0" fontId="34" fillId="25" borderId="0" xfId="0" applyFont="1" applyFill="1" applyBorder="1" applyAlignment="1" applyProtection="1">
      <alignment horizontal="center" vertical="center" wrapText="1"/>
      <protection hidden="1"/>
    </xf>
    <xf numFmtId="0" fontId="34" fillId="1" borderId="16" xfId="0" applyFont="1" applyFill="1" applyBorder="1" applyAlignment="1" applyProtection="1">
      <alignment horizontal="left" vertical="center" wrapText="1" indent="1"/>
    </xf>
    <xf numFmtId="43" fontId="34" fillId="1" borderId="16" xfId="55" applyFont="1" applyFill="1" applyBorder="1" applyAlignment="1" applyProtection="1">
      <alignment horizontal="left" vertical="center" wrapText="1" indent="1"/>
    </xf>
    <xf numFmtId="0" fontId="34" fillId="1" borderId="16" xfId="0" applyFont="1" applyFill="1" applyBorder="1" applyAlignment="1" applyProtection="1">
      <alignment horizontal="center" vertical="center" wrapText="1"/>
      <protection locked="0"/>
    </xf>
    <xf numFmtId="0" fontId="34" fillId="1" borderId="58" xfId="0" applyFont="1" applyFill="1" applyBorder="1" applyAlignment="1" applyProtection="1">
      <alignment horizontal="center" vertical="center" wrapText="1"/>
      <protection hidden="1"/>
    </xf>
    <xf numFmtId="0" fontId="34" fillId="1" borderId="0" xfId="0" applyFont="1" applyFill="1" applyBorder="1" applyAlignment="1" applyProtection="1">
      <alignment horizontal="center" vertical="center" wrapText="1"/>
      <protection hidden="1"/>
    </xf>
    <xf numFmtId="0" fontId="34" fillId="0" borderId="16" xfId="0" applyFont="1" applyBorder="1" applyAlignment="1" applyProtection="1">
      <alignment horizontal="left" vertical="center" wrapText="1"/>
    </xf>
    <xf numFmtId="43" fontId="34" fillId="0" borderId="16" xfId="55" applyFont="1" applyBorder="1" applyAlignment="1" applyProtection="1">
      <alignment horizontal="left" vertical="center" wrapText="1"/>
    </xf>
    <xf numFmtId="164" fontId="34" fillId="0" borderId="16" xfId="0" applyNumberFormat="1" applyFont="1" applyBorder="1" applyAlignment="1" applyProtection="1">
      <alignment horizontal="center" vertical="center" wrapText="1"/>
      <protection locked="0"/>
    </xf>
    <xf numFmtId="0" fontId="34" fillId="0" borderId="0" xfId="0" applyFont="1" applyBorder="1" applyAlignment="1" applyProtection="1">
      <alignment horizontal="left" vertical="center" wrapText="1"/>
    </xf>
    <xf numFmtId="43" fontId="34" fillId="0" borderId="0" xfId="55" applyFont="1" applyBorder="1" applyAlignment="1" applyProtection="1">
      <alignment horizontal="left" vertical="center" wrapText="1"/>
    </xf>
    <xf numFmtId="0" fontId="34" fillId="0" borderId="0" xfId="0" applyFont="1" applyBorder="1" applyAlignment="1" applyProtection="1">
      <alignment horizontal="center" vertical="center" wrapText="1"/>
      <protection locked="0"/>
    </xf>
    <xf numFmtId="43" fontId="103" fillId="0" borderId="0" xfId="55" applyFont="1" applyAlignment="1">
      <alignment vertical="center" wrapText="1"/>
    </xf>
    <xf numFmtId="0" fontId="1" fillId="0" borderId="0" xfId="0" applyFont="1" applyAlignment="1">
      <alignment horizontal="center" vertical="center" wrapText="1"/>
    </xf>
    <xf numFmtId="0" fontId="69" fillId="0" borderId="0" xfId="0" applyFont="1" applyBorder="1" applyAlignment="1" applyProtection="1">
      <alignment vertical="center"/>
      <protection hidden="1"/>
    </xf>
    <xf numFmtId="0" fontId="1" fillId="0" borderId="0" xfId="0" applyFont="1" applyAlignment="1">
      <alignment vertical="center"/>
    </xf>
    <xf numFmtId="43" fontId="103" fillId="0" borderId="0" xfId="55" applyFont="1" applyAlignment="1">
      <alignment vertical="center"/>
    </xf>
    <xf numFmtId="0" fontId="0" fillId="0" borderId="0" xfId="0" applyBorder="1" applyAlignment="1">
      <alignment horizontal="center" vertical="center"/>
    </xf>
    <xf numFmtId="169" fontId="0" fillId="0" borderId="0" xfId="0" applyNumberFormat="1" applyBorder="1" applyAlignment="1">
      <alignment horizontal="center" vertical="center"/>
    </xf>
    <xf numFmtId="173" fontId="1" fillId="0" borderId="0" xfId="55" applyNumberFormat="1" applyBorder="1" applyAlignment="1">
      <alignment vertical="center"/>
    </xf>
    <xf numFmtId="0" fontId="1" fillId="0" borderId="16" xfId="0" applyFont="1" applyBorder="1" applyAlignment="1">
      <alignment vertical="center"/>
    </xf>
    <xf numFmtId="169" fontId="0" fillId="0" borderId="16" xfId="0" applyNumberFormat="1" applyBorder="1" applyAlignment="1">
      <alignment horizontal="center" vertical="center"/>
    </xf>
    <xf numFmtId="166" fontId="0" fillId="0" borderId="16" xfId="0" applyNumberFormat="1" applyBorder="1" applyAlignment="1">
      <alignment vertical="center"/>
    </xf>
    <xf numFmtId="0" fontId="117" fillId="39" borderId="0" xfId="0" applyFont="1" applyFill="1" applyBorder="1" applyAlignment="1">
      <alignment vertical="center"/>
    </xf>
    <xf numFmtId="0" fontId="117" fillId="39" borderId="0" xfId="0" applyFont="1" applyFill="1" applyBorder="1" applyAlignment="1">
      <alignment horizontal="center" vertical="center"/>
    </xf>
    <xf numFmtId="169" fontId="117" fillId="39" borderId="0" xfId="0" applyNumberFormat="1" applyFont="1" applyFill="1" applyBorder="1" applyAlignment="1">
      <alignment horizontal="center" vertical="center"/>
    </xf>
    <xf numFmtId="166" fontId="117" fillId="39" borderId="0" xfId="0" applyNumberFormat="1" applyFont="1" applyFill="1" applyBorder="1" applyAlignment="1">
      <alignment vertical="center"/>
    </xf>
    <xf numFmtId="0" fontId="79" fillId="27" borderId="18" xfId="0" applyFont="1" applyFill="1" applyBorder="1" applyAlignment="1">
      <alignment horizontal="center" vertical="center"/>
    </xf>
    <xf numFmtId="0" fontId="68" fillId="27" borderId="16" xfId="0" applyFont="1" applyFill="1" applyBorder="1" applyAlignment="1">
      <alignment horizontal="center" vertical="center"/>
    </xf>
    <xf numFmtId="0" fontId="79" fillId="27" borderId="16" xfId="0" applyFont="1" applyFill="1" applyBorder="1" applyAlignment="1">
      <alignment horizontal="center" vertical="center"/>
    </xf>
    <xf numFmtId="0" fontId="118" fillId="27" borderId="16" xfId="0" applyFont="1" applyFill="1" applyBorder="1" applyAlignment="1">
      <alignment horizontal="center" vertical="center"/>
    </xf>
    <xf numFmtId="0" fontId="118" fillId="27" borderId="19" xfId="0" applyFont="1" applyFill="1" applyBorder="1" applyAlignment="1">
      <alignment vertical="center"/>
    </xf>
    <xf numFmtId="171" fontId="1" fillId="0" borderId="0" xfId="89" applyNumberFormat="1" applyAlignment="1">
      <alignment vertical="center"/>
    </xf>
    <xf numFmtId="171" fontId="79" fillId="27" borderId="18" xfId="89" applyNumberFormat="1" applyFont="1" applyFill="1" applyBorder="1" applyAlignment="1">
      <alignment horizontal="center" vertical="center"/>
    </xf>
    <xf numFmtId="0" fontId="76" fillId="27" borderId="38" xfId="0" applyFont="1" applyFill="1" applyBorder="1" applyAlignment="1">
      <alignment horizontal="center" vertical="center"/>
    </xf>
    <xf numFmtId="0" fontId="68" fillId="27" borderId="11" xfId="0" applyFont="1" applyFill="1" applyBorder="1" applyAlignment="1">
      <alignment horizontal="center" vertical="center"/>
    </xf>
    <xf numFmtId="0" fontId="76" fillId="27" borderId="11" xfId="0" applyFont="1" applyFill="1" applyBorder="1" applyAlignment="1">
      <alignment horizontal="center" vertical="center"/>
    </xf>
    <xf numFmtId="0" fontId="75" fillId="27" borderId="11" xfId="0" applyFont="1" applyFill="1" applyBorder="1" applyAlignment="1">
      <alignment horizontal="center" vertical="center"/>
    </xf>
    <xf numFmtId="0" fontId="118" fillId="27" borderId="12" xfId="0" applyFont="1" applyFill="1" applyBorder="1" applyAlignment="1">
      <alignment vertical="center"/>
    </xf>
    <xf numFmtId="0" fontId="117" fillId="0" borderId="0" xfId="0" applyFont="1" applyAlignment="1">
      <alignment vertical="center"/>
    </xf>
    <xf numFmtId="0" fontId="1" fillId="0" borderId="129" xfId="0" applyFont="1" applyBorder="1" applyAlignment="1" applyProtection="1">
      <alignment horizontal="left" vertical="center" wrapText="1" indent="1"/>
      <protection hidden="1"/>
    </xf>
    <xf numFmtId="0" fontId="1" fillId="0" borderId="130" xfId="0" applyFont="1" applyBorder="1" applyAlignment="1" applyProtection="1">
      <alignment horizontal="left" vertical="center" wrapText="1" indent="1"/>
      <protection hidden="1"/>
    </xf>
    <xf numFmtId="0" fontId="1" fillId="0" borderId="131" xfId="0" applyFont="1" applyBorder="1" applyAlignment="1" applyProtection="1">
      <alignment horizontal="left" vertical="center" wrapText="1" indent="1"/>
      <protection hidden="1"/>
    </xf>
    <xf numFmtId="0" fontId="1" fillId="0" borderId="86" xfId="0" applyFont="1" applyBorder="1" applyAlignment="1" applyProtection="1">
      <alignment horizontal="left" vertical="center" wrapText="1" indent="1"/>
      <protection hidden="1"/>
    </xf>
    <xf numFmtId="0" fontId="1" fillId="0" borderId="0" xfId="0" applyFont="1" applyAlignment="1">
      <alignment horizontal="center" vertical="center"/>
    </xf>
    <xf numFmtId="0" fontId="26" fillId="0" borderId="0" xfId="0" applyFont="1" applyAlignment="1">
      <alignment vertical="center"/>
    </xf>
    <xf numFmtId="0" fontId="1" fillId="0" borderId="0" xfId="55" applyNumberFormat="1" applyAlignment="1">
      <alignment vertical="center"/>
    </xf>
    <xf numFmtId="184" fontId="0" fillId="0" borderId="0" xfId="0" applyNumberFormat="1" applyAlignment="1">
      <alignment horizontal="center" vertical="center"/>
    </xf>
    <xf numFmtId="171" fontId="0" fillId="0" borderId="0" xfId="89" applyNumberFormat="1" applyFont="1" applyAlignment="1">
      <alignment vertical="center"/>
    </xf>
    <xf numFmtId="11" fontId="0" fillId="0" borderId="0" xfId="0" applyNumberFormat="1" applyAlignment="1">
      <alignment vertical="center"/>
    </xf>
    <xf numFmtId="172" fontId="0" fillId="0" borderId="0" xfId="55" applyNumberFormat="1" applyFont="1" applyAlignment="1">
      <alignment vertical="center"/>
    </xf>
    <xf numFmtId="173" fontId="0" fillId="0" borderId="0" xfId="55" applyNumberFormat="1" applyFont="1" applyAlignment="1">
      <alignment vertical="center"/>
    </xf>
    <xf numFmtId="10" fontId="0" fillId="0" borderId="0" xfId="89" applyNumberFormat="1" applyFont="1" applyAlignment="1">
      <alignment vertical="center"/>
    </xf>
    <xf numFmtId="11" fontId="1" fillId="0" borderId="0" xfId="0" applyNumberFormat="1" applyFont="1" applyAlignment="1">
      <alignment vertical="center"/>
    </xf>
    <xf numFmtId="0" fontId="0" fillId="46" borderId="0" xfId="0" applyFill="1" applyAlignment="1">
      <alignment horizontal="center" vertical="center"/>
    </xf>
    <xf numFmtId="184" fontId="0" fillId="46" borderId="0" xfId="0" applyNumberFormat="1" applyFill="1" applyAlignment="1">
      <alignment horizontal="center" vertical="center"/>
    </xf>
    <xf numFmtId="172" fontId="125" fillId="46" borderId="0" xfId="55" applyNumberFormat="1" applyFont="1" applyFill="1" applyAlignment="1">
      <alignment vertical="center"/>
    </xf>
    <xf numFmtId="10" fontId="125" fillId="46" borderId="0" xfId="89" applyNumberFormat="1" applyFont="1" applyFill="1" applyAlignment="1">
      <alignment vertical="center"/>
    </xf>
    <xf numFmtId="11" fontId="26" fillId="0" borderId="0" xfId="0" applyNumberFormat="1" applyFont="1" applyAlignment="1">
      <alignment vertical="center"/>
    </xf>
    <xf numFmtId="0" fontId="121" fillId="0" borderId="47" xfId="0" applyFont="1" applyFill="1" applyBorder="1" applyAlignment="1" applyProtection="1">
      <alignment horizontal="left" vertical="center" wrapText="1" indent="1"/>
      <protection hidden="1"/>
    </xf>
    <xf numFmtId="10" fontId="121" fillId="0" borderId="16" xfId="0" applyNumberFormat="1" applyFont="1" applyFill="1" applyBorder="1" applyAlignment="1" applyProtection="1">
      <alignment horizontal="center"/>
      <protection hidden="1"/>
    </xf>
    <xf numFmtId="43" fontId="121" fillId="0" borderId="16" xfId="55" applyFont="1" applyFill="1" applyBorder="1" applyAlignment="1" applyProtection="1">
      <alignment horizontal="center"/>
      <protection hidden="1"/>
    </xf>
    <xf numFmtId="43" fontId="129" fillId="0" borderId="16" xfId="55" applyFont="1" applyFill="1" applyBorder="1" applyAlignment="1" applyProtection="1">
      <alignment horizontal="center"/>
      <protection hidden="1"/>
    </xf>
    <xf numFmtId="0" fontId="129" fillId="0" borderId="16" xfId="0" applyFont="1" applyFill="1" applyBorder="1" applyAlignment="1">
      <alignment horizontal="right" vertical="center"/>
    </xf>
    <xf numFmtId="0" fontId="129" fillId="0" borderId="16" xfId="0" applyFont="1" applyFill="1" applyBorder="1" applyAlignment="1">
      <alignment horizontal="center"/>
    </xf>
    <xf numFmtId="0" fontId="129" fillId="0" borderId="0" xfId="0" applyFont="1" applyBorder="1" applyAlignment="1">
      <alignment horizontal="center"/>
    </xf>
    <xf numFmtId="171" fontId="129" fillId="0" borderId="0" xfId="0" applyNumberFormat="1" applyFont="1" applyBorder="1" applyAlignment="1">
      <alignment horizontal="center"/>
    </xf>
    <xf numFmtId="0" fontId="34" fillId="0" borderId="0" xfId="0" applyFont="1"/>
    <xf numFmtId="0" fontId="1" fillId="0" borderId="16" xfId="0" applyFont="1" applyFill="1" applyBorder="1" applyAlignment="1">
      <alignment horizontal="center" vertical="center"/>
    </xf>
    <xf numFmtId="0" fontId="0" fillId="0" borderId="16" xfId="0" applyFill="1" applyBorder="1" applyAlignment="1"/>
    <xf numFmtId="0" fontId="0" fillId="0" borderId="16" xfId="0" applyFill="1" applyBorder="1" applyAlignment="1" applyProtection="1">
      <alignment vertical="center" wrapText="1"/>
      <protection locked="0"/>
    </xf>
    <xf numFmtId="0" fontId="0" fillId="0" borderId="16" xfId="0" applyFill="1" applyBorder="1" applyAlignment="1" applyProtection="1">
      <alignment horizontal="center" vertical="center" wrapText="1"/>
      <protection locked="0"/>
    </xf>
    <xf numFmtId="0" fontId="1" fillId="0" borderId="16" xfId="0" applyFont="1" applyFill="1" applyBorder="1" applyAlignment="1" applyProtection="1">
      <alignment vertical="center" wrapText="1"/>
      <protection locked="0"/>
    </xf>
    <xf numFmtId="0" fontId="0" fillId="0" borderId="16" xfId="0" applyFill="1" applyBorder="1"/>
    <xf numFmtId="172" fontId="0" fillId="0" borderId="16" xfId="0" applyNumberFormat="1" applyFill="1" applyBorder="1" applyAlignment="1">
      <alignment vertical="center"/>
    </xf>
    <xf numFmtId="0" fontId="0" fillId="0" borderId="16" xfId="0" applyFill="1" applyBorder="1" applyAlignment="1">
      <alignment vertical="center"/>
    </xf>
    <xf numFmtId="10" fontId="0" fillId="0" borderId="16" xfId="0" applyNumberFormat="1" applyFill="1" applyBorder="1"/>
    <xf numFmtId="10" fontId="1" fillId="0" borderId="16" xfId="89" applyNumberFormat="1" applyFont="1" applyFill="1" applyBorder="1"/>
    <xf numFmtId="10" fontId="1" fillId="0" borderId="16" xfId="89" applyNumberFormat="1" applyFont="1" applyFill="1" applyBorder="1" applyAlignment="1">
      <alignment vertical="center"/>
    </xf>
    <xf numFmtId="10" fontId="34" fillId="0" borderId="16" xfId="0" applyNumberFormat="1" applyFont="1" applyFill="1" applyBorder="1"/>
    <xf numFmtId="0" fontId="34" fillId="0" borderId="16" xfId="0" applyFont="1" applyFill="1" applyBorder="1"/>
    <xf numFmtId="9" fontId="26" fillId="0" borderId="16" xfId="0" applyNumberFormat="1" applyFont="1" applyFill="1" applyBorder="1" applyAlignment="1">
      <alignment horizontal="center" vertical="center"/>
    </xf>
    <xf numFmtId="43" fontId="1" fillId="0" borderId="16" xfId="55" applyFont="1" applyFill="1" applyBorder="1" applyAlignment="1">
      <alignment horizontal="center"/>
    </xf>
    <xf numFmtId="43" fontId="0" fillId="0" borderId="16" xfId="0" applyNumberFormat="1" applyFill="1" applyBorder="1" applyAlignment="1">
      <alignment horizontal="center"/>
    </xf>
    <xf numFmtId="43" fontId="0" fillId="0" borderId="16" xfId="0" applyNumberFormat="1" applyFill="1" applyBorder="1"/>
    <xf numFmtId="10" fontId="1" fillId="0" borderId="16" xfId="89" applyNumberFormat="1" applyFont="1" applyFill="1" applyBorder="1" applyAlignment="1">
      <alignment horizontal="center"/>
    </xf>
    <xf numFmtId="10" fontId="0" fillId="0" borderId="47" xfId="0" applyNumberFormat="1" applyFill="1" applyBorder="1"/>
    <xf numFmtId="0" fontId="1" fillId="47" borderId="16" xfId="0" applyFont="1" applyFill="1" applyBorder="1" applyAlignment="1">
      <alignment vertical="center"/>
    </xf>
    <xf numFmtId="0" fontId="0" fillId="47" borderId="16" xfId="0" applyFill="1" applyBorder="1" applyAlignment="1">
      <alignment vertical="center"/>
    </xf>
    <xf numFmtId="0" fontId="1" fillId="47" borderId="16" xfId="0" applyFont="1" applyFill="1" applyBorder="1" applyAlignment="1">
      <alignment horizontal="center" vertical="center"/>
    </xf>
    <xf numFmtId="0" fontId="0" fillId="47" borderId="16" xfId="0" applyFill="1" applyBorder="1" applyAlignment="1" applyProtection="1">
      <alignment horizontal="center" vertical="center" wrapText="1"/>
      <protection locked="0"/>
    </xf>
    <xf numFmtId="0" fontId="0" fillId="47" borderId="16" xfId="0" applyFill="1" applyBorder="1" applyAlignment="1" applyProtection="1">
      <alignment vertical="center" wrapText="1"/>
      <protection locked="0"/>
    </xf>
    <xf numFmtId="0" fontId="0" fillId="47" borderId="16" xfId="0" applyFill="1" applyBorder="1"/>
    <xf numFmtId="192" fontId="103" fillId="47" borderId="16" xfId="55" applyNumberFormat="1" applyFont="1" applyFill="1" applyBorder="1"/>
    <xf numFmtId="171" fontId="0" fillId="47" borderId="16" xfId="0" applyNumberFormat="1" applyFill="1" applyBorder="1"/>
    <xf numFmtId="172" fontId="1" fillId="47" borderId="16" xfId="55" applyNumberFormat="1" applyFont="1" applyFill="1" applyBorder="1" applyAlignment="1">
      <alignment horizontal="center" vertical="center"/>
    </xf>
    <xf numFmtId="172" fontId="0" fillId="47" borderId="16" xfId="0" applyNumberFormat="1" applyFill="1" applyBorder="1" applyAlignment="1">
      <alignment vertical="center"/>
    </xf>
    <xf numFmtId="10" fontId="1" fillId="47" borderId="16" xfId="89" applyNumberFormat="1" applyFont="1" applyFill="1" applyBorder="1"/>
    <xf numFmtId="10" fontId="0" fillId="47" borderId="16" xfId="0" applyNumberFormat="1" applyFill="1" applyBorder="1"/>
    <xf numFmtId="10" fontId="129" fillId="47" borderId="16" xfId="89" applyNumberFormat="1" applyFont="1" applyFill="1" applyBorder="1"/>
    <xf numFmtId="43" fontId="129" fillId="47" borderId="16" xfId="55" applyFont="1" applyFill="1" applyBorder="1"/>
    <xf numFmtId="10" fontId="34" fillId="47" borderId="16" xfId="89" applyNumberFormat="1" applyFont="1" applyFill="1" applyBorder="1"/>
    <xf numFmtId="0" fontId="34" fillId="47" borderId="16" xfId="0" applyFont="1" applyFill="1" applyBorder="1"/>
    <xf numFmtId="10" fontId="34" fillId="47" borderId="16" xfId="0" applyNumberFormat="1" applyFont="1" applyFill="1" applyBorder="1"/>
    <xf numFmtId="10" fontId="26" fillId="47" borderId="16" xfId="89" applyNumberFormat="1" applyFont="1" applyFill="1" applyBorder="1"/>
    <xf numFmtId="0" fontId="26" fillId="47" borderId="16" xfId="0" applyFont="1" applyFill="1" applyBorder="1"/>
    <xf numFmtId="172" fontId="26" fillId="47" borderId="16" xfId="0" applyNumberFormat="1" applyFont="1" applyFill="1" applyBorder="1"/>
    <xf numFmtId="172" fontId="1" fillId="47" borderId="16" xfId="89" applyNumberFormat="1" applyFont="1" applyFill="1" applyBorder="1"/>
    <xf numFmtId="172" fontId="1" fillId="47" borderId="16" xfId="55" applyNumberFormat="1" applyFont="1" applyFill="1" applyBorder="1"/>
    <xf numFmtId="172" fontId="0" fillId="47" borderId="16" xfId="0" applyNumberFormat="1" applyFill="1" applyBorder="1"/>
    <xf numFmtId="10" fontId="1" fillId="47" borderId="32" xfId="89" applyNumberFormat="1" applyFont="1" applyFill="1" applyBorder="1"/>
    <xf numFmtId="0" fontId="0" fillId="47" borderId="32" xfId="0" applyFill="1" applyBorder="1"/>
    <xf numFmtId="10" fontId="0" fillId="47" borderId="32" xfId="0" applyNumberFormat="1" applyFill="1" applyBorder="1"/>
    <xf numFmtId="10" fontId="1" fillId="47" borderId="0" xfId="89" applyNumberFormat="1" applyFont="1" applyFill="1" applyBorder="1"/>
    <xf numFmtId="0" fontId="0" fillId="47" borderId="0" xfId="0" applyFill="1" applyBorder="1"/>
    <xf numFmtId="10" fontId="0" fillId="47" borderId="0" xfId="0" applyNumberFormat="1" applyFill="1" applyBorder="1"/>
    <xf numFmtId="10" fontId="1" fillId="47" borderId="0" xfId="89" applyNumberFormat="1" applyFont="1" applyFill="1" applyBorder="1" applyAlignment="1">
      <alignment horizontal="right"/>
    </xf>
    <xf numFmtId="0" fontId="0" fillId="48" borderId="0" xfId="0" applyFill="1"/>
    <xf numFmtId="0" fontId="133" fillId="0" borderId="16" xfId="82" applyFont="1" applyBorder="1" applyAlignment="1">
      <alignment horizontal="left"/>
    </xf>
    <xf numFmtId="0" fontId="1" fillId="48" borderId="96" xfId="82" applyFont="1" applyFill="1" applyBorder="1" applyAlignment="1">
      <alignment vertical="center" wrapText="1"/>
    </xf>
    <xf numFmtId="0" fontId="1" fillId="25" borderId="101" xfId="82" applyFont="1" applyFill="1" applyBorder="1" applyAlignment="1">
      <alignment vertical="center" wrapText="1"/>
    </xf>
    <xf numFmtId="0" fontId="1" fillId="0" borderId="139" xfId="97" applyFont="1" applyBorder="1" applyAlignment="1">
      <alignment horizontal="left" vertical="center" wrapText="1" indent="1"/>
    </xf>
    <xf numFmtId="0" fontId="1" fillId="0" borderId="116" xfId="97" applyBorder="1" applyAlignment="1">
      <alignment horizontal="left" vertical="center" wrapText="1" indent="1"/>
    </xf>
    <xf numFmtId="0" fontId="1" fillId="0" borderId="116" xfId="97" applyFont="1" applyBorder="1" applyAlignment="1">
      <alignment horizontal="left" vertical="center" wrapText="1" indent="1"/>
    </xf>
    <xf numFmtId="0" fontId="1" fillId="0" borderId="122" xfId="97" applyBorder="1" applyAlignment="1">
      <alignment horizontal="left" vertical="center" wrapText="1" indent="1"/>
    </xf>
    <xf numFmtId="0" fontId="134" fillId="0" borderId="16" xfId="82" applyFont="1" applyBorder="1" applyAlignment="1">
      <alignment vertical="center"/>
    </xf>
    <xf numFmtId="0" fontId="1" fillId="48" borderId="100" xfId="82" applyFont="1" applyFill="1" applyBorder="1" applyAlignment="1">
      <alignment vertical="center" wrapText="1"/>
    </xf>
    <xf numFmtId="0" fontId="1" fillId="46" borderId="96" xfId="82" applyFont="1" applyFill="1" applyBorder="1" applyAlignment="1">
      <alignment horizontal="left" vertical="center" wrapText="1"/>
    </xf>
    <xf numFmtId="0" fontId="133" fillId="0" borderId="16" xfId="82" applyFont="1" applyBorder="1" applyAlignment="1">
      <alignment horizontal="left" vertical="center"/>
    </xf>
    <xf numFmtId="0" fontId="26" fillId="35" borderId="100" xfId="82" applyFont="1" applyFill="1" applyBorder="1" applyAlignment="1">
      <alignment vertical="center" wrapText="1"/>
    </xf>
    <xf numFmtId="0" fontId="69" fillId="35" borderId="100" xfId="82" applyFont="1" applyFill="1" applyBorder="1" applyAlignment="1">
      <alignment wrapText="1"/>
    </xf>
    <xf numFmtId="0" fontId="59" fillId="48" borderId="96" xfId="82" applyFont="1" applyFill="1" applyBorder="1" applyAlignment="1">
      <alignment vertical="center" wrapText="1"/>
    </xf>
    <xf numFmtId="0" fontId="119" fillId="46" borderId="96" xfId="82" applyFont="1" applyFill="1" applyBorder="1" applyAlignment="1">
      <alignment vertical="center" wrapText="1"/>
    </xf>
    <xf numFmtId="0" fontId="119" fillId="46" borderId="96" xfId="82" applyFont="1" applyFill="1" applyBorder="1" applyAlignment="1">
      <alignment horizontal="left" vertical="center" wrapText="1"/>
    </xf>
    <xf numFmtId="0" fontId="59" fillId="25" borderId="101" xfId="82" applyFont="1" applyFill="1" applyBorder="1" applyAlignment="1">
      <alignment vertical="center" wrapText="1"/>
    </xf>
    <xf numFmtId="0" fontId="59" fillId="0" borderId="0" xfId="82" applyFont="1" applyFill="1" applyBorder="1" applyAlignment="1">
      <alignment vertical="center" wrapText="1"/>
    </xf>
    <xf numFmtId="0" fontId="1" fillId="0" borderId="139" xfId="97" applyBorder="1" applyAlignment="1">
      <alignment horizontal="left" vertical="center" wrapText="1" indent="1"/>
    </xf>
    <xf numFmtId="0" fontId="70" fillId="0" borderId="72" xfId="82" applyFont="1" applyFill="1" applyBorder="1" applyAlignment="1">
      <alignment wrapText="1"/>
    </xf>
    <xf numFmtId="0" fontId="69" fillId="35" borderId="100" xfId="82" applyFont="1" applyFill="1" applyBorder="1" applyAlignment="1">
      <alignment horizontal="center" wrapText="1"/>
    </xf>
    <xf numFmtId="0" fontId="1" fillId="0" borderId="122" xfId="97" applyFont="1" applyBorder="1" applyAlignment="1">
      <alignment horizontal="left" vertical="center" wrapText="1" indent="1"/>
    </xf>
    <xf numFmtId="0" fontId="69" fillId="35" borderId="100" xfId="82" applyFont="1" applyFill="1" applyBorder="1" applyAlignment="1">
      <alignment vertical="center" wrapText="1"/>
    </xf>
    <xf numFmtId="0" fontId="1" fillId="46" borderId="96" xfId="82" applyFont="1" applyFill="1" applyBorder="1" applyAlignment="1">
      <alignment vertical="center" wrapText="1"/>
    </xf>
    <xf numFmtId="0" fontId="69" fillId="35" borderId="100" xfId="82" applyFont="1" applyFill="1" applyBorder="1" applyAlignment="1">
      <alignment horizontal="center" vertical="center" wrapText="1"/>
    </xf>
    <xf numFmtId="0" fontId="59" fillId="25" borderId="101" xfId="82" applyFont="1" applyFill="1" applyBorder="1" applyAlignment="1">
      <alignment wrapText="1"/>
    </xf>
    <xf numFmtId="0" fontId="70" fillId="0" borderId="71" xfId="82" applyFont="1" applyFill="1" applyBorder="1" applyAlignment="1">
      <alignment wrapText="1"/>
    </xf>
    <xf numFmtId="0" fontId="59" fillId="48" borderId="96" xfId="82" applyFont="1" applyFill="1" applyBorder="1" applyAlignment="1">
      <alignment vertical="center"/>
    </xf>
    <xf numFmtId="0" fontId="59" fillId="44" borderId="101" xfId="82" applyFont="1" applyFill="1" applyBorder="1" applyAlignment="1">
      <alignment vertical="center" wrapText="1"/>
    </xf>
    <xf numFmtId="0" fontId="1" fillId="0" borderId="114" xfId="81" applyFont="1" applyFill="1" applyBorder="1" applyAlignment="1" applyProtection="1">
      <alignment vertical="center" wrapText="1"/>
    </xf>
    <xf numFmtId="0" fontId="1" fillId="0" borderId="96" xfId="81" applyFont="1" applyFill="1" applyBorder="1" applyAlignment="1" applyProtection="1">
      <alignment horizontal="left" wrapText="1"/>
    </xf>
    <xf numFmtId="0" fontId="26" fillId="44" borderId="121" xfId="81" applyFont="1" applyFill="1" applyBorder="1" applyAlignment="1">
      <alignment vertical="center" wrapText="1"/>
    </xf>
    <xf numFmtId="0" fontId="1" fillId="0" borderId="30" xfId="97" applyFont="1" applyBorder="1" applyAlignment="1">
      <alignment horizontal="left" vertical="center" wrapText="1" indent="1"/>
    </xf>
    <xf numFmtId="0" fontId="78" fillId="35" borderId="100" xfId="82" applyFont="1" applyFill="1" applyBorder="1" applyAlignment="1">
      <alignment vertical="center" wrapText="1"/>
    </xf>
    <xf numFmtId="0" fontId="59" fillId="48" borderId="101" xfId="82" applyFont="1" applyFill="1" applyBorder="1" applyAlignment="1">
      <alignment vertical="center" wrapText="1"/>
    </xf>
    <xf numFmtId="0" fontId="70" fillId="0" borderId="186" xfId="82" applyFont="1" applyFill="1" applyBorder="1" applyAlignment="1">
      <alignment vertical="center" wrapText="1"/>
    </xf>
    <xf numFmtId="0" fontId="59" fillId="0" borderId="16" xfId="82" applyFont="1" applyFill="1" applyBorder="1" applyAlignment="1">
      <alignment vertical="center" wrapText="1"/>
    </xf>
    <xf numFmtId="0" fontId="139" fillId="0" borderId="16" xfId="82" applyFont="1" applyBorder="1" applyAlignment="1">
      <alignment vertical="center"/>
    </xf>
    <xf numFmtId="0" fontId="1" fillId="0" borderId="29" xfId="81" applyFont="1" applyBorder="1" applyAlignment="1" applyProtection="1">
      <alignment vertical="center" wrapText="1"/>
      <protection locked="0" hidden="1"/>
    </xf>
    <xf numFmtId="0" fontId="1" fillId="0" borderId="100" xfId="81" applyFont="1" applyBorder="1" applyAlignment="1" applyProtection="1">
      <alignment horizontal="left" vertical="center" indent="1"/>
      <protection locked="0" hidden="1"/>
    </xf>
    <xf numFmtId="0" fontId="1" fillId="0" borderId="96" xfId="81" applyFont="1" applyBorder="1" applyAlignment="1" applyProtection="1">
      <alignment horizontal="left" vertical="center" indent="1"/>
      <protection locked="0" hidden="1"/>
    </xf>
    <xf numFmtId="0" fontId="1" fillId="0" borderId="96" xfId="81" applyFont="1" applyBorder="1" applyAlignment="1" applyProtection="1">
      <alignment horizontal="left" vertical="center" wrapText="1" indent="1"/>
      <protection locked="0" hidden="1"/>
    </xf>
    <xf numFmtId="0" fontId="1" fillId="0" borderId="101" xfId="81" applyFont="1" applyBorder="1" applyAlignment="1" applyProtection="1">
      <alignment horizontal="left" vertical="center" wrapText="1" indent="1"/>
      <protection locked="0" hidden="1"/>
    </xf>
    <xf numFmtId="0" fontId="1" fillId="0" borderId="16" xfId="81" applyFont="1" applyBorder="1" applyAlignment="1" applyProtection="1">
      <alignment horizontal="left" vertical="center" wrapText="1" indent="1"/>
      <protection locked="0" hidden="1"/>
    </xf>
    <xf numFmtId="0" fontId="1" fillId="49" borderId="16" xfId="81" applyFont="1" applyFill="1" applyBorder="1" applyAlignment="1" applyProtection="1">
      <alignment horizontal="center" vertical="center" wrapText="1"/>
    </xf>
    <xf numFmtId="0" fontId="1" fillId="49" borderId="100" xfId="81" applyFont="1" applyFill="1" applyBorder="1" applyAlignment="1" applyProtection="1">
      <alignment horizontal="left" vertical="center" indent="1"/>
      <protection hidden="1"/>
    </xf>
    <xf numFmtId="0" fontId="1" fillId="49" borderId="96" xfId="81" applyFont="1" applyFill="1" applyBorder="1" applyAlignment="1" applyProtection="1">
      <alignment horizontal="left" vertical="center" indent="1"/>
      <protection hidden="1"/>
    </xf>
    <xf numFmtId="0" fontId="1" fillId="49" borderId="96" xfId="81" applyFont="1" applyFill="1" applyBorder="1" applyAlignment="1" applyProtection="1">
      <alignment horizontal="left" vertical="center" wrapText="1" indent="1"/>
      <protection hidden="1"/>
    </xf>
    <xf numFmtId="0" fontId="1" fillId="49" borderId="101" xfId="81" applyFont="1" applyFill="1" applyBorder="1" applyAlignment="1" applyProtection="1">
      <alignment horizontal="left" vertical="center" wrapText="1"/>
      <protection hidden="1"/>
    </xf>
    <xf numFmtId="0" fontId="1" fillId="48" borderId="100" xfId="81" applyFont="1" applyFill="1" applyBorder="1" applyAlignment="1" applyProtection="1">
      <alignment horizontal="left" vertical="center" indent="1"/>
    </xf>
    <xf numFmtId="0" fontId="1" fillId="48" borderId="100" xfId="81" applyFont="1" applyFill="1" applyBorder="1" applyAlignment="1" applyProtection="1">
      <alignment horizontal="left" vertical="center" wrapText="1"/>
    </xf>
    <xf numFmtId="0" fontId="1" fillId="48" borderId="96" xfId="81" applyFont="1" applyFill="1" applyBorder="1" applyAlignment="1" applyProtection="1">
      <alignment horizontal="left" vertical="center" indent="1"/>
    </xf>
    <xf numFmtId="0" fontId="1" fillId="48" borderId="101" xfId="81" applyFont="1" applyFill="1" applyBorder="1" applyAlignment="1" applyProtection="1">
      <alignment horizontal="left" vertical="center" indent="1"/>
    </xf>
    <xf numFmtId="0" fontId="133" fillId="0" borderId="0" xfId="82" applyFont="1" applyAlignment="1">
      <alignment horizontal="left"/>
    </xf>
    <xf numFmtId="0" fontId="69" fillId="50" borderId="16" xfId="82" applyFont="1" applyFill="1" applyBorder="1" applyAlignment="1">
      <alignment horizontal="center" vertical="center" wrapText="1"/>
    </xf>
    <xf numFmtId="0" fontId="1" fillId="24" borderId="16" xfId="83" applyFont="1" applyFill="1" applyBorder="1" applyAlignment="1" applyProtection="1">
      <alignment horizontal="left" vertical="center" wrapText="1"/>
      <protection hidden="1"/>
    </xf>
    <xf numFmtId="0" fontId="59" fillId="24" borderId="16" xfId="82" applyFont="1" applyFill="1" applyBorder="1" applyAlignment="1">
      <alignment wrapText="1"/>
    </xf>
    <xf numFmtId="0" fontId="59" fillId="24" borderId="16" xfId="82" applyFont="1" applyFill="1" applyBorder="1" applyAlignment="1">
      <alignment vertical="center" wrapText="1"/>
    </xf>
    <xf numFmtId="0" fontId="59" fillId="48" borderId="16" xfId="82" applyFont="1" applyFill="1" applyBorder="1" applyAlignment="1">
      <alignment vertical="center" wrapText="1"/>
    </xf>
    <xf numFmtId="0" fontId="1" fillId="0" borderId="156" xfId="82" applyFont="1" applyBorder="1" applyAlignment="1">
      <alignment horizontal="left"/>
    </xf>
    <xf numFmtId="0" fontId="1" fillId="0" borderId="114" xfId="97" applyBorder="1" applyAlignment="1">
      <alignment horizontal="left" vertical="center" wrapText="1" indent="1"/>
    </xf>
    <xf numFmtId="0" fontId="1" fillId="0" borderId="121" xfId="97" applyBorder="1" applyAlignment="1">
      <alignment horizontal="left" vertical="center" wrapText="1" indent="1"/>
    </xf>
    <xf numFmtId="0" fontId="21" fillId="48" borderId="0" xfId="0" applyFont="1" applyFill="1" applyBorder="1" applyAlignment="1" applyProtection="1">
      <alignment horizontal="center" vertical="center" wrapText="1"/>
      <protection hidden="1"/>
    </xf>
    <xf numFmtId="0" fontId="51" fillId="48" borderId="0" xfId="0" applyFont="1" applyFill="1" applyBorder="1" applyAlignment="1" applyProtection="1">
      <alignment horizontal="left" vertical="center" wrapText="1"/>
      <protection hidden="1"/>
    </xf>
    <xf numFmtId="0" fontId="21" fillId="48" borderId="0" xfId="0" applyFont="1" applyFill="1" applyBorder="1" applyAlignment="1" applyProtection="1">
      <protection hidden="1"/>
    </xf>
    <xf numFmtId="0" fontId="26" fillId="48" borderId="0" xfId="0" applyFont="1" applyFill="1" applyBorder="1" applyAlignment="1" applyProtection="1">
      <alignment horizontal="left" vertical="center" wrapText="1"/>
      <protection hidden="1"/>
    </xf>
    <xf numFmtId="0" fontId="21" fillId="48" borderId="0" xfId="0" applyFont="1" applyFill="1" applyBorder="1" applyAlignment="1" applyProtection="1">
      <alignment horizontal="left" vertical="center"/>
      <protection hidden="1"/>
    </xf>
    <xf numFmtId="0" fontId="28" fillId="48" borderId="0" xfId="0" applyFont="1" applyFill="1" applyBorder="1" applyAlignment="1" applyProtection="1">
      <alignment horizontal="left" vertical="center"/>
      <protection hidden="1"/>
    </xf>
    <xf numFmtId="0" fontId="21" fillId="48" borderId="0" xfId="0" applyFont="1" applyFill="1" applyBorder="1" applyAlignment="1" applyProtection="1">
      <alignment horizontal="left" vertical="center" wrapText="1"/>
      <protection hidden="1"/>
    </xf>
    <xf numFmtId="0" fontId="46" fillId="48" borderId="0" xfId="0" applyFont="1" applyFill="1" applyBorder="1" applyAlignment="1" applyProtection="1">
      <alignment vertical="center"/>
      <protection hidden="1"/>
    </xf>
    <xf numFmtId="0" fontId="21" fillId="48" borderId="0" xfId="0" applyFont="1" applyFill="1" applyBorder="1" applyAlignment="1" applyProtection="1">
      <alignment vertical="center"/>
      <protection hidden="1"/>
    </xf>
    <xf numFmtId="3" fontId="51" fillId="51" borderId="19" xfId="0" applyNumberFormat="1" applyFont="1" applyFill="1" applyBorder="1" applyAlignment="1" applyProtection="1">
      <alignment horizontal="center" vertical="center" wrapText="1"/>
      <protection locked="0"/>
    </xf>
    <xf numFmtId="171" fontId="51" fillId="45" borderId="19" xfId="0" applyNumberFormat="1" applyFont="1" applyFill="1" applyBorder="1" applyAlignment="1" applyProtection="1">
      <alignment horizontal="center" vertical="center" wrapText="1"/>
      <protection locked="0"/>
    </xf>
    <xf numFmtId="3" fontId="51" fillId="45" borderId="19" xfId="0" applyNumberFormat="1" applyFont="1" applyFill="1" applyBorder="1" applyAlignment="1" applyProtection="1">
      <alignment horizontal="center" vertical="center" wrapText="1"/>
      <protection locked="0"/>
    </xf>
    <xf numFmtId="9" fontId="51" fillId="45" borderId="19" xfId="0" applyNumberFormat="1" applyFont="1" applyFill="1" applyBorder="1" applyAlignment="1" applyProtection="1">
      <alignment horizontal="center" vertical="center" wrapText="1"/>
      <protection locked="0"/>
    </xf>
    <xf numFmtId="3" fontId="51" fillId="45" borderId="16" xfId="0" applyNumberFormat="1" applyFont="1" applyFill="1" applyBorder="1" applyAlignment="1" applyProtection="1">
      <alignment horizontal="center" vertical="center" wrapText="1"/>
      <protection locked="0"/>
    </xf>
    <xf numFmtId="171" fontId="51" fillId="45" borderId="16" xfId="0" applyNumberFormat="1" applyFont="1" applyFill="1" applyBorder="1" applyAlignment="1" applyProtection="1">
      <alignment horizontal="center" vertical="center" wrapText="1"/>
      <protection locked="0"/>
    </xf>
    <xf numFmtId="9" fontId="51" fillId="45" borderId="16" xfId="0" applyNumberFormat="1" applyFont="1" applyFill="1" applyBorder="1" applyAlignment="1" applyProtection="1">
      <alignment horizontal="center" vertical="center" wrapText="1"/>
      <protection locked="0"/>
    </xf>
    <xf numFmtId="3" fontId="51" fillId="51" borderId="16" xfId="0" applyNumberFormat="1" applyFont="1" applyFill="1" applyBorder="1" applyAlignment="1" applyProtection="1">
      <alignment horizontal="center" vertical="center" wrapText="1"/>
      <protection locked="0"/>
    </xf>
    <xf numFmtId="3" fontId="0" fillId="48" borderId="0" xfId="0" applyNumberFormat="1" applyFill="1"/>
    <xf numFmtId="0" fontId="51" fillId="45" borderId="16" xfId="81" applyFont="1" applyFill="1" applyBorder="1" applyAlignment="1" applyProtection="1">
      <alignment horizontal="center" vertical="center"/>
      <protection locked="0"/>
    </xf>
    <xf numFmtId="0" fontId="51" fillId="45" borderId="19" xfId="81" applyFont="1" applyFill="1" applyBorder="1" applyAlignment="1" applyProtection="1">
      <alignment horizontal="center" vertical="center"/>
      <protection locked="0"/>
    </xf>
    <xf numFmtId="0" fontId="34" fillId="53" borderId="90" xfId="0" applyFont="1" applyFill="1" applyBorder="1" applyAlignment="1" applyProtection="1">
      <alignment horizontal="left" vertical="center" wrapText="1"/>
      <protection hidden="1"/>
    </xf>
    <xf numFmtId="0" fontId="34" fillId="53" borderId="76" xfId="0" applyFont="1" applyFill="1" applyBorder="1" applyAlignment="1" applyProtection="1">
      <alignment horizontal="center" vertical="center" wrapText="1"/>
      <protection hidden="1"/>
    </xf>
    <xf numFmtId="3" fontId="34" fillId="53" borderId="76" xfId="0" applyNumberFormat="1" applyFont="1" applyFill="1" applyBorder="1" applyAlignment="1" applyProtection="1">
      <alignment horizontal="center" vertical="center"/>
      <protection hidden="1"/>
    </xf>
    <xf numFmtId="3" fontId="34" fillId="53" borderId="65" xfId="0" applyNumberFormat="1" applyFont="1" applyFill="1" applyBorder="1" applyAlignment="1" applyProtection="1">
      <alignment horizontal="center" vertical="center"/>
      <protection hidden="1"/>
    </xf>
    <xf numFmtId="0" fontId="51" fillId="54" borderId="88" xfId="0" applyFont="1" applyFill="1" applyBorder="1" applyAlignment="1" applyProtection="1">
      <alignment horizontal="center" vertical="center" wrapText="1"/>
      <protection hidden="1"/>
    </xf>
    <xf numFmtId="0" fontId="51" fillId="54" borderId="55" xfId="0" applyFont="1" applyFill="1" applyBorder="1" applyAlignment="1" applyProtection="1">
      <alignment horizontal="center" vertical="center" wrapText="1"/>
      <protection hidden="1"/>
    </xf>
    <xf numFmtId="0" fontId="51" fillId="54" borderId="96" xfId="0" applyFont="1" applyFill="1" applyBorder="1" applyAlignment="1" applyProtection="1">
      <alignment horizontal="center" vertical="center" wrapText="1"/>
      <protection hidden="1"/>
    </xf>
    <xf numFmtId="0" fontId="51" fillId="54" borderId="114" xfId="0" applyFont="1" applyFill="1" applyBorder="1" applyAlignment="1" applyProtection="1">
      <alignment horizontal="left" vertical="center" wrapText="1"/>
      <protection hidden="1"/>
    </xf>
    <xf numFmtId="0" fontId="51" fillId="54" borderId="87" xfId="0" applyFont="1" applyFill="1" applyBorder="1" applyAlignment="1" applyProtection="1">
      <alignment horizontal="left" vertical="center" wrapText="1"/>
      <protection hidden="1"/>
    </xf>
    <xf numFmtId="0" fontId="51" fillId="54" borderId="53" xfId="0" applyFont="1" applyFill="1" applyBorder="1" applyAlignment="1" applyProtection="1">
      <alignment horizontal="left" vertical="center" wrapText="1"/>
      <protection hidden="1"/>
    </xf>
    <xf numFmtId="170" fontId="51" fillId="45" borderId="55" xfId="0" applyNumberFormat="1" applyFont="1" applyFill="1" applyBorder="1" applyAlignment="1" applyProtection="1">
      <alignment horizontal="center" vertical="center" wrapText="1"/>
      <protection locked="0"/>
    </xf>
    <xf numFmtId="170" fontId="51" fillId="45" borderId="52" xfId="0" applyNumberFormat="1" applyFont="1" applyFill="1" applyBorder="1" applyAlignment="1" applyProtection="1">
      <alignment horizontal="center" vertical="center" wrapText="1"/>
      <protection locked="0"/>
    </xf>
    <xf numFmtId="4" fontId="51" fillId="45" borderId="55" xfId="0" applyNumberFormat="1" applyFont="1" applyFill="1" applyBorder="1" applyAlignment="1" applyProtection="1">
      <alignment horizontal="center" vertical="center" wrapText="1"/>
      <protection locked="0"/>
    </xf>
    <xf numFmtId="2" fontId="51" fillId="45" borderId="52" xfId="0" applyNumberFormat="1" applyFont="1" applyFill="1" applyBorder="1" applyAlignment="1" applyProtection="1">
      <alignment horizontal="center" vertical="center" wrapText="1"/>
      <protection locked="0"/>
    </xf>
    <xf numFmtId="3" fontId="51" fillId="45" borderId="55" xfId="55" applyNumberFormat="1" applyFont="1" applyFill="1" applyBorder="1" applyAlignment="1" applyProtection="1">
      <alignment horizontal="center" vertical="center" wrapText="1"/>
      <protection locked="0"/>
    </xf>
    <xf numFmtId="3" fontId="51" fillId="45" borderId="52" xfId="55" applyNumberFormat="1" applyFont="1" applyFill="1" applyBorder="1" applyAlignment="1" applyProtection="1">
      <alignment horizontal="center" vertical="center" wrapText="1"/>
      <protection locked="0"/>
    </xf>
    <xf numFmtId="170" fontId="51" fillId="45" borderId="116" xfId="0" applyNumberFormat="1" applyFont="1" applyFill="1" applyBorder="1" applyAlignment="1" applyProtection="1">
      <alignment horizontal="center" vertical="center" wrapText="1"/>
      <protection locked="0"/>
    </xf>
    <xf numFmtId="170" fontId="51" fillId="45" borderId="96" xfId="0" applyNumberFormat="1" applyFont="1" applyFill="1" applyBorder="1" applyAlignment="1" applyProtection="1">
      <alignment horizontal="center" vertical="center" wrapText="1"/>
      <protection locked="0"/>
    </xf>
    <xf numFmtId="3" fontId="51" fillId="45" borderId="96" xfId="55" applyNumberFormat="1" applyFont="1" applyFill="1" applyBorder="1" applyAlignment="1" applyProtection="1">
      <alignment horizontal="center" vertical="center" wrapText="1"/>
      <protection locked="0"/>
    </xf>
    <xf numFmtId="3" fontId="51" fillId="45" borderId="116" xfId="55" applyNumberFormat="1" applyFont="1" applyFill="1" applyBorder="1" applyAlignment="1" applyProtection="1">
      <alignment horizontal="center" vertical="center" wrapText="1"/>
      <protection locked="0"/>
    </xf>
    <xf numFmtId="170" fontId="51" fillId="51" borderId="55" xfId="0" applyNumberFormat="1" applyFont="1" applyFill="1" applyBorder="1" applyAlignment="1" applyProtection="1">
      <alignment horizontal="center" vertical="center" wrapText="1"/>
      <protection locked="0"/>
    </xf>
    <xf numFmtId="170" fontId="51" fillId="51" borderId="52" xfId="0" applyNumberFormat="1" applyFont="1" applyFill="1" applyBorder="1" applyAlignment="1" applyProtection="1">
      <alignment horizontal="center" vertical="center" wrapText="1"/>
      <protection locked="0"/>
    </xf>
    <xf numFmtId="0" fontId="34" fillId="54" borderId="16" xfId="0" applyFont="1" applyFill="1" applyBorder="1" applyAlignment="1" applyProtection="1">
      <alignment horizontal="center" vertical="center" wrapText="1"/>
      <protection hidden="1"/>
    </xf>
    <xf numFmtId="0" fontId="51" fillId="54" borderId="150" xfId="0" applyFont="1" applyFill="1" applyBorder="1" applyAlignment="1" applyProtection="1">
      <alignment horizontal="left" vertical="center" wrapText="1"/>
      <protection hidden="1"/>
    </xf>
    <xf numFmtId="0" fontId="51" fillId="54" borderId="151" xfId="0" applyFont="1" applyFill="1" applyBorder="1" applyAlignment="1" applyProtection="1">
      <alignment horizontal="center" vertical="center" wrapText="1"/>
      <protection hidden="1"/>
    </xf>
    <xf numFmtId="0" fontId="34" fillId="54" borderId="19" xfId="0" applyFont="1" applyFill="1" applyBorder="1" applyAlignment="1" applyProtection="1">
      <alignment horizontal="center" vertical="center" wrapText="1"/>
      <protection hidden="1"/>
    </xf>
    <xf numFmtId="170" fontId="51" fillId="45" borderId="32" xfId="81" applyNumberFormat="1" applyFont="1" applyFill="1" applyBorder="1" applyAlignment="1" applyProtection="1">
      <alignment horizontal="center" vertical="center"/>
      <protection locked="0"/>
    </xf>
    <xf numFmtId="170" fontId="51" fillId="45" borderId="79" xfId="81" applyNumberFormat="1" applyFont="1" applyFill="1" applyBorder="1" applyAlignment="1" applyProtection="1">
      <alignment horizontal="center" vertical="center"/>
      <protection locked="0"/>
    </xf>
    <xf numFmtId="3" fontId="51" fillId="45" borderId="32" xfId="0" applyNumberFormat="1" applyFont="1" applyFill="1" applyBorder="1" applyAlignment="1" applyProtection="1">
      <alignment horizontal="center" vertical="center" wrapText="1"/>
      <protection locked="0"/>
    </xf>
    <xf numFmtId="3" fontId="51" fillId="45" borderId="79" xfId="0" applyNumberFormat="1" applyFont="1" applyFill="1" applyBorder="1" applyAlignment="1" applyProtection="1">
      <alignment horizontal="center" vertical="center" wrapText="1"/>
      <protection locked="0"/>
    </xf>
    <xf numFmtId="3" fontId="34" fillId="53" borderId="57" xfId="0" applyNumberFormat="1" applyFont="1" applyFill="1" applyBorder="1" applyAlignment="1" applyProtection="1">
      <alignment horizontal="center" vertical="center"/>
      <protection hidden="1"/>
    </xf>
    <xf numFmtId="0" fontId="2" fillId="55" borderId="17" xfId="0" applyFont="1" applyFill="1" applyBorder="1" applyAlignment="1" applyProtection="1">
      <alignment horizontal="left" vertical="center" wrapText="1"/>
      <protection hidden="1"/>
    </xf>
    <xf numFmtId="0" fontId="34" fillId="53" borderId="64" xfId="0" applyFont="1" applyFill="1" applyBorder="1" applyAlignment="1" applyProtection="1">
      <alignment horizontal="left" vertical="center" wrapText="1"/>
      <protection hidden="1"/>
    </xf>
    <xf numFmtId="0" fontId="51" fillId="54" borderId="54" xfId="0" applyFont="1" applyFill="1" applyBorder="1" applyAlignment="1" applyProtection="1">
      <alignment horizontal="left" vertical="center" wrapText="1"/>
      <protection hidden="1"/>
    </xf>
    <xf numFmtId="0" fontId="51" fillId="54" borderId="121" xfId="0" applyFont="1" applyFill="1" applyBorder="1" applyAlignment="1" applyProtection="1">
      <alignment horizontal="left" vertical="center" wrapText="1"/>
      <protection hidden="1"/>
    </xf>
    <xf numFmtId="0" fontId="51" fillId="54" borderId="166" xfId="0" applyFont="1" applyFill="1" applyBorder="1" applyAlignment="1" applyProtection="1">
      <alignment horizontal="left" vertical="center" wrapText="1"/>
      <protection hidden="1"/>
    </xf>
    <xf numFmtId="0" fontId="51" fillId="54" borderId="90" xfId="0" applyFont="1" applyFill="1" applyBorder="1" applyAlignment="1" applyProtection="1">
      <alignment horizontal="left" vertical="center" wrapText="1"/>
      <protection hidden="1"/>
    </xf>
    <xf numFmtId="0" fontId="51" fillId="54" borderId="0" xfId="0" applyFont="1" applyFill="1" applyBorder="1" applyAlignment="1" applyProtection="1">
      <alignment horizontal="left" vertical="center" wrapText="1"/>
      <protection hidden="1"/>
    </xf>
    <xf numFmtId="0" fontId="51" fillId="51" borderId="116" xfId="0" applyFont="1" applyFill="1" applyBorder="1" applyAlignment="1" applyProtection="1">
      <alignment horizontal="center" vertical="center"/>
      <protection locked="0"/>
    </xf>
    <xf numFmtId="170" fontId="51" fillId="45" borderId="116" xfId="0" applyNumberFormat="1" applyFont="1" applyFill="1" applyBorder="1" applyAlignment="1" applyProtection="1">
      <alignment horizontal="center" vertical="center"/>
      <protection locked="0"/>
    </xf>
    <xf numFmtId="2" fontId="51" fillId="45" borderId="116" xfId="0" applyNumberFormat="1" applyFont="1" applyFill="1" applyBorder="1" applyAlignment="1" applyProtection="1">
      <alignment horizontal="center" vertical="center"/>
      <protection locked="0"/>
    </xf>
    <xf numFmtId="184" fontId="51" fillId="45" borderId="116" xfId="0" applyNumberFormat="1" applyFont="1" applyFill="1" applyBorder="1" applyAlignment="1" applyProtection="1">
      <alignment horizontal="center" vertical="center"/>
      <protection locked="0"/>
    </xf>
    <xf numFmtId="166" fontId="51" fillId="45" borderId="116" xfId="0" applyNumberFormat="1" applyFont="1" applyFill="1" applyBorder="1" applyAlignment="1" applyProtection="1">
      <alignment horizontal="center" vertical="center"/>
      <protection locked="0"/>
    </xf>
    <xf numFmtId="0" fontId="51" fillId="51" borderId="96" xfId="0" applyFont="1" applyFill="1" applyBorder="1" applyAlignment="1" applyProtection="1">
      <alignment horizontal="center" vertical="center"/>
      <protection locked="0"/>
    </xf>
    <xf numFmtId="2" fontId="51" fillId="45" borderId="96" xfId="0" applyNumberFormat="1" applyFont="1" applyFill="1" applyBorder="1" applyAlignment="1" applyProtection="1">
      <alignment horizontal="center" vertical="center"/>
      <protection locked="0"/>
    </xf>
    <xf numFmtId="170" fontId="51" fillId="45" borderId="96" xfId="0" applyNumberFormat="1" applyFont="1" applyFill="1" applyBorder="1" applyAlignment="1" applyProtection="1">
      <alignment horizontal="center" vertical="center"/>
      <protection locked="0"/>
    </xf>
    <xf numFmtId="184" fontId="51" fillId="45" borderId="96" xfId="0" applyNumberFormat="1" applyFont="1" applyFill="1" applyBorder="1" applyAlignment="1" applyProtection="1">
      <alignment horizontal="center" vertical="center"/>
      <protection locked="0"/>
    </xf>
    <xf numFmtId="166" fontId="51" fillId="45" borderId="96" xfId="0" applyNumberFormat="1" applyFont="1" applyFill="1" applyBorder="1" applyAlignment="1" applyProtection="1">
      <alignment horizontal="center" vertical="center"/>
      <protection locked="0"/>
    </xf>
    <xf numFmtId="3" fontId="51" fillId="45" borderId="55" xfId="81" applyNumberFormat="1" applyFont="1" applyFill="1" applyBorder="1" applyAlignment="1" applyProtection="1">
      <alignment horizontal="center" vertical="center"/>
      <protection locked="0"/>
    </xf>
    <xf numFmtId="3" fontId="51" fillId="45" borderId="52" xfId="81" applyNumberFormat="1" applyFont="1" applyFill="1" applyBorder="1" applyAlignment="1" applyProtection="1">
      <alignment horizontal="center" vertical="center"/>
      <protection locked="0"/>
    </xf>
    <xf numFmtId="0" fontId="34" fillId="48" borderId="0" xfId="0" applyFont="1" applyFill="1" applyBorder="1" applyAlignment="1" applyProtection="1">
      <alignment horizontal="center" vertical="center" wrapText="1"/>
      <protection hidden="1"/>
    </xf>
    <xf numFmtId="39" fontId="34" fillId="48" borderId="16" xfId="55" applyNumberFormat="1" applyFont="1" applyFill="1" applyBorder="1" applyAlignment="1" applyProtection="1">
      <alignment horizontal="center" vertical="center" wrapText="1"/>
      <protection hidden="1"/>
    </xf>
    <xf numFmtId="39" fontId="34" fillId="48" borderId="19" xfId="55" applyNumberFormat="1" applyFont="1" applyFill="1" applyBorder="1" applyAlignment="1" applyProtection="1">
      <alignment horizontal="center" vertical="center" wrapText="1"/>
      <protection hidden="1"/>
    </xf>
    <xf numFmtId="0" fontId="34" fillId="48" borderId="32" xfId="0" applyFont="1" applyFill="1" applyBorder="1" applyAlignment="1" applyProtection="1">
      <alignment horizontal="center" vertical="center" wrapText="1"/>
      <protection hidden="1"/>
    </xf>
    <xf numFmtId="3" fontId="34" fillId="48" borderId="32" xfId="55" applyNumberFormat="1" applyFont="1" applyFill="1" applyBorder="1" applyAlignment="1" applyProtection="1">
      <alignment horizontal="center" vertical="center" wrapText="1"/>
      <protection hidden="1"/>
    </xf>
    <xf numFmtId="3" fontId="34" fillId="48" borderId="79" xfId="55" applyNumberFormat="1" applyFont="1" applyFill="1" applyBorder="1" applyAlignment="1" applyProtection="1">
      <alignment horizontal="center" vertical="center" wrapText="1"/>
      <protection hidden="1"/>
    </xf>
    <xf numFmtId="2" fontId="34" fillId="48" borderId="36" xfId="55" applyNumberFormat="1" applyFont="1" applyFill="1" applyBorder="1" applyAlignment="1" applyProtection="1">
      <alignment horizontal="center" vertical="center" wrapText="1"/>
      <protection hidden="1"/>
    </xf>
    <xf numFmtId="2" fontId="34" fillId="48" borderId="37" xfId="55" applyNumberFormat="1" applyFont="1" applyFill="1" applyBorder="1" applyAlignment="1" applyProtection="1">
      <alignment horizontal="center" vertical="center" wrapText="1"/>
      <protection hidden="1"/>
    </xf>
    <xf numFmtId="2" fontId="34" fillId="48" borderId="16" xfId="55" applyNumberFormat="1" applyFont="1" applyFill="1" applyBorder="1" applyAlignment="1" applyProtection="1">
      <alignment horizontal="center" vertical="center" wrapText="1"/>
      <protection hidden="1"/>
    </xf>
    <xf numFmtId="2" fontId="34" fillId="48" borderId="19" xfId="55" applyNumberFormat="1" applyFont="1" applyFill="1" applyBorder="1" applyAlignment="1" applyProtection="1">
      <alignment horizontal="center" vertical="center" wrapText="1"/>
      <protection hidden="1"/>
    </xf>
    <xf numFmtId="2" fontId="34" fillId="48" borderId="32" xfId="0" applyNumberFormat="1" applyFont="1" applyFill="1" applyBorder="1" applyAlignment="1" applyProtection="1">
      <alignment horizontal="center" vertical="center" wrapText="1"/>
      <protection hidden="1"/>
    </xf>
    <xf numFmtId="0" fontId="51" fillId="0" borderId="0" xfId="0" applyFont="1" applyFill="1" applyBorder="1" applyAlignment="1" applyProtection="1">
      <alignment horizontal="center" vertical="center" wrapText="1"/>
      <protection hidden="1"/>
    </xf>
    <xf numFmtId="0" fontId="34" fillId="48" borderId="36" xfId="0" applyFont="1" applyFill="1" applyBorder="1" applyAlignment="1" applyProtection="1">
      <alignment horizontal="center" vertical="center" wrapText="1"/>
      <protection hidden="1"/>
    </xf>
    <xf numFmtId="0" fontId="34" fillId="48" borderId="16" xfId="0" applyFont="1" applyFill="1" applyBorder="1" applyAlignment="1" applyProtection="1">
      <alignment horizontal="center" vertical="center" wrapText="1"/>
      <protection hidden="1"/>
    </xf>
    <xf numFmtId="2" fontId="34" fillId="48" borderId="36" xfId="0" applyNumberFormat="1" applyFont="1" applyFill="1" applyBorder="1" applyAlignment="1" applyProtection="1">
      <alignment horizontal="center" vertical="center" wrapText="1"/>
      <protection hidden="1"/>
    </xf>
    <xf numFmtId="2" fontId="34" fillId="48" borderId="16" xfId="0" applyNumberFormat="1" applyFont="1" applyFill="1" applyBorder="1" applyAlignment="1" applyProtection="1">
      <alignment horizontal="center" vertical="center" wrapText="1"/>
      <protection hidden="1"/>
    </xf>
    <xf numFmtId="3" fontId="34" fillId="53" borderId="49" xfId="0" applyNumberFormat="1" applyFont="1" applyFill="1" applyBorder="1" applyAlignment="1" applyProtection="1">
      <alignment horizontal="center" vertical="center" wrapText="1"/>
      <protection hidden="1"/>
    </xf>
    <xf numFmtId="3" fontId="34" fillId="53" borderId="57" xfId="0" applyNumberFormat="1" applyFont="1" applyFill="1" applyBorder="1" applyAlignment="1" applyProtection="1">
      <alignment horizontal="center" vertical="center" wrapText="1"/>
      <protection hidden="1"/>
    </xf>
    <xf numFmtId="0" fontId="34" fillId="48" borderId="17" xfId="0" applyFont="1" applyFill="1" applyBorder="1" applyAlignment="1" applyProtection="1">
      <alignment horizontal="left" vertical="center" wrapText="1"/>
      <protection hidden="1"/>
    </xf>
    <xf numFmtId="0" fontId="34" fillId="48" borderId="18" xfId="0" applyFont="1" applyFill="1" applyBorder="1" applyAlignment="1" applyProtection="1">
      <alignment horizontal="left" vertical="center" wrapText="1"/>
      <protection hidden="1"/>
    </xf>
    <xf numFmtId="0" fontId="34" fillId="48" borderId="31" xfId="0" applyFont="1" applyFill="1" applyBorder="1" applyAlignment="1" applyProtection="1">
      <alignment horizontal="left" vertical="center" wrapText="1"/>
      <protection hidden="1"/>
    </xf>
    <xf numFmtId="0" fontId="32" fillId="48" borderId="0" xfId="0" applyFont="1" applyFill="1" applyAlignment="1" applyProtection="1">
      <alignment horizontal="left"/>
      <protection hidden="1"/>
    </xf>
    <xf numFmtId="3" fontId="1" fillId="51" borderId="52" xfId="0" applyNumberFormat="1" applyFont="1" applyFill="1" applyBorder="1" applyAlignment="1" applyProtection="1">
      <alignment horizontal="center" vertical="center" wrapText="1"/>
      <protection locked="0"/>
    </xf>
    <xf numFmtId="3" fontId="1" fillId="51" borderId="56" xfId="0" applyNumberFormat="1" applyFont="1" applyFill="1" applyBorder="1" applyAlignment="1" applyProtection="1">
      <alignment horizontal="center" vertical="center" wrapText="1"/>
      <protection locked="0"/>
    </xf>
    <xf numFmtId="0" fontId="34" fillId="54" borderId="90" xfId="0" applyFont="1" applyFill="1" applyBorder="1" applyAlignment="1" applyProtection="1">
      <alignment horizontal="left" vertical="center" wrapText="1"/>
      <protection hidden="1"/>
    </xf>
    <xf numFmtId="0" fontId="34" fillId="54" borderId="76" xfId="0" applyFont="1" applyFill="1" applyBorder="1" applyAlignment="1" applyProtection="1">
      <alignment horizontal="center" vertical="center" wrapText="1"/>
      <protection hidden="1"/>
    </xf>
    <xf numFmtId="3" fontId="34" fillId="54" borderId="76" xfId="55" applyNumberFormat="1" applyFont="1" applyFill="1" applyBorder="1" applyAlignment="1" applyProtection="1">
      <alignment horizontal="center" vertical="center" wrapText="1"/>
      <protection hidden="1"/>
    </xf>
    <xf numFmtId="3" fontId="34" fillId="54" borderId="65" xfId="55" applyNumberFormat="1" applyFont="1" applyFill="1" applyBorder="1" applyAlignment="1" applyProtection="1">
      <alignment horizontal="center" vertical="center" wrapText="1"/>
      <protection hidden="1"/>
    </xf>
    <xf numFmtId="4" fontId="51" fillId="45" borderId="55" xfId="55" applyNumberFormat="1" applyFont="1" applyFill="1" applyBorder="1" applyAlignment="1" applyProtection="1">
      <alignment horizontal="center" vertical="center" wrapText="1"/>
      <protection locked="0"/>
    </xf>
    <xf numFmtId="4" fontId="51" fillId="45" borderId="52" xfId="55" applyNumberFormat="1" applyFont="1" applyFill="1" applyBorder="1" applyAlignment="1" applyProtection="1">
      <alignment horizontal="center" vertical="center" wrapText="1"/>
      <protection locked="0"/>
    </xf>
    <xf numFmtId="164" fontId="51" fillId="45" borderId="55" xfId="55" applyNumberFormat="1" applyFont="1" applyFill="1" applyBorder="1" applyAlignment="1" applyProtection="1">
      <alignment horizontal="center" vertical="center" wrapText="1"/>
      <protection locked="0"/>
    </xf>
    <xf numFmtId="164" fontId="51" fillId="45" borderId="52" xfId="55" applyNumberFormat="1" applyFont="1" applyFill="1" applyBorder="1" applyAlignment="1" applyProtection="1">
      <alignment horizontal="center" vertical="center" wrapText="1"/>
      <protection locked="0"/>
    </xf>
    <xf numFmtId="0" fontId="34" fillId="48" borderId="33" xfId="0" applyFont="1" applyFill="1" applyBorder="1" applyAlignment="1" applyProtection="1">
      <alignment horizontal="left" vertical="center" wrapText="1"/>
      <protection hidden="1"/>
    </xf>
    <xf numFmtId="0" fontId="34" fillId="48" borderId="29" xfId="0" applyFont="1" applyFill="1" applyBorder="1" applyAlignment="1" applyProtection="1">
      <alignment horizontal="center" vertical="center" wrapText="1"/>
      <protection hidden="1"/>
    </xf>
    <xf numFmtId="39" fontId="34" fillId="48" borderId="29" xfId="55" applyNumberFormat="1" applyFont="1" applyFill="1" applyBorder="1" applyAlignment="1" applyProtection="1">
      <alignment horizontal="center" vertical="center" wrapText="1"/>
      <protection hidden="1"/>
    </xf>
    <xf numFmtId="39" fontId="34" fillId="48" borderId="77" xfId="55" applyNumberFormat="1" applyFont="1" applyFill="1" applyBorder="1" applyAlignment="1" applyProtection="1">
      <alignment horizontal="center" vertical="center" wrapText="1"/>
      <protection hidden="1"/>
    </xf>
    <xf numFmtId="0" fontId="51" fillId="45" borderId="55" xfId="0" applyFont="1" applyFill="1" applyBorder="1" applyAlignment="1" applyProtection="1">
      <alignment horizontal="center" vertical="center" wrapText="1"/>
      <protection locked="0"/>
    </xf>
    <xf numFmtId="0" fontId="51" fillId="45" borderId="52" xfId="0" applyFont="1" applyFill="1" applyBorder="1" applyAlignment="1" applyProtection="1">
      <alignment horizontal="center" vertical="center" wrapText="1"/>
      <protection locked="0"/>
    </xf>
    <xf numFmtId="170" fontId="51" fillId="48" borderId="55" xfId="0" applyNumberFormat="1" applyFont="1" applyFill="1" applyBorder="1" applyAlignment="1" applyProtection="1">
      <alignment horizontal="center" vertical="center"/>
      <protection locked="0"/>
    </xf>
    <xf numFmtId="170" fontId="51" fillId="48" borderId="148" xfId="0" applyNumberFormat="1" applyFont="1" applyFill="1" applyBorder="1" applyAlignment="1" applyProtection="1">
      <alignment horizontal="center" vertical="center"/>
      <protection locked="0"/>
    </xf>
    <xf numFmtId="0" fontId="51" fillId="48" borderId="0" xfId="0" applyFont="1" applyFill="1" applyBorder="1" applyAlignment="1" applyProtection="1">
      <alignment horizontal="center" vertical="center"/>
      <protection hidden="1"/>
    </xf>
    <xf numFmtId="0" fontId="51" fillId="48" borderId="51" xfId="0" applyFont="1" applyFill="1" applyBorder="1" applyAlignment="1" applyProtection="1">
      <alignment horizontal="left" vertical="center"/>
      <protection hidden="1"/>
    </xf>
    <xf numFmtId="0" fontId="51" fillId="48" borderId="53" xfId="0" applyFont="1" applyFill="1" applyBorder="1" applyAlignment="1" applyProtection="1">
      <alignment horizontal="left" vertical="center"/>
      <protection hidden="1"/>
    </xf>
    <xf numFmtId="170" fontId="51" fillId="48" borderId="52" xfId="0" applyNumberFormat="1" applyFont="1" applyFill="1" applyBorder="1" applyAlignment="1" applyProtection="1">
      <alignment horizontal="center" vertical="center"/>
      <protection locked="0"/>
    </xf>
    <xf numFmtId="170" fontId="51" fillId="48" borderId="196" xfId="0" applyNumberFormat="1" applyFont="1" applyFill="1" applyBorder="1" applyAlignment="1" applyProtection="1">
      <alignment horizontal="center" vertical="center"/>
      <protection locked="0"/>
    </xf>
    <xf numFmtId="0" fontId="51" fillId="54" borderId="51" xfId="0" applyFont="1" applyFill="1" applyBorder="1" applyAlignment="1" applyProtection="1">
      <alignment horizontal="left" vertical="center"/>
      <protection hidden="1"/>
    </xf>
    <xf numFmtId="0" fontId="51" fillId="54" borderId="53" xfId="0" applyFont="1" applyFill="1" applyBorder="1" applyAlignment="1" applyProtection="1">
      <alignment horizontal="left" vertical="center"/>
      <protection hidden="1"/>
    </xf>
    <xf numFmtId="0" fontId="51" fillId="54" borderId="195" xfId="0" applyFont="1" applyFill="1" applyBorder="1" applyAlignment="1" applyProtection="1">
      <alignment horizontal="left" vertical="center"/>
      <protection hidden="1"/>
    </xf>
    <xf numFmtId="0" fontId="34" fillId="53" borderId="64" xfId="0" applyFont="1" applyFill="1" applyBorder="1" applyAlignment="1" applyProtection="1">
      <alignment horizontal="left" vertical="center"/>
      <protection hidden="1"/>
    </xf>
    <xf numFmtId="0" fontId="34" fillId="53" borderId="49" xfId="0" applyFont="1" applyFill="1" applyBorder="1" applyAlignment="1" applyProtection="1">
      <alignment horizontal="center" vertical="center"/>
      <protection hidden="1"/>
    </xf>
    <xf numFmtId="170" fontId="51" fillId="45" borderId="55" xfId="0" applyNumberFormat="1" applyFont="1" applyFill="1" applyBorder="1" applyAlignment="1" applyProtection="1">
      <alignment horizontal="center" vertical="center"/>
      <protection locked="0"/>
    </xf>
    <xf numFmtId="170" fontId="51" fillId="45" borderId="52" xfId="0" applyNumberFormat="1" applyFont="1" applyFill="1" applyBorder="1" applyAlignment="1" applyProtection="1">
      <alignment horizontal="center" vertical="center"/>
      <protection locked="0"/>
    </xf>
    <xf numFmtId="1" fontId="51" fillId="45" borderId="55" xfId="0" applyNumberFormat="1" applyFont="1" applyFill="1" applyBorder="1" applyAlignment="1" applyProtection="1">
      <alignment horizontal="center" vertical="center"/>
      <protection locked="0"/>
    </xf>
    <xf numFmtId="1" fontId="51" fillId="45" borderId="52" xfId="0" applyNumberFormat="1" applyFont="1" applyFill="1" applyBorder="1" applyAlignment="1" applyProtection="1">
      <alignment horizontal="center" vertical="center"/>
      <protection locked="0"/>
    </xf>
    <xf numFmtId="2" fontId="51" fillId="45" borderId="55" xfId="0" applyNumberFormat="1" applyFont="1" applyFill="1" applyBorder="1" applyAlignment="1" applyProtection="1">
      <alignment horizontal="center" vertical="center"/>
      <protection locked="0"/>
    </xf>
    <xf numFmtId="2" fontId="51" fillId="45" borderId="52" xfId="0" applyNumberFormat="1" applyFont="1" applyFill="1" applyBorder="1" applyAlignment="1" applyProtection="1">
      <alignment horizontal="center" vertical="center"/>
      <protection locked="0"/>
    </xf>
    <xf numFmtId="170" fontId="51" fillId="45" borderId="148" xfId="0" applyNumberFormat="1" applyFont="1" applyFill="1" applyBorder="1" applyAlignment="1" applyProtection="1">
      <alignment horizontal="center" vertical="center"/>
      <protection locked="0"/>
    </xf>
    <xf numFmtId="170" fontId="51" fillId="45" borderId="196" xfId="0" applyNumberFormat="1" applyFont="1" applyFill="1" applyBorder="1" applyAlignment="1" applyProtection="1">
      <alignment horizontal="center" vertical="center"/>
      <protection locked="0"/>
    </xf>
    <xf numFmtId="0" fontId="51" fillId="48" borderId="0" xfId="0" applyFont="1" applyFill="1" applyBorder="1" applyAlignment="1" applyProtection="1">
      <alignment horizontal="left" vertical="center"/>
      <protection hidden="1"/>
    </xf>
    <xf numFmtId="0" fontId="51" fillId="48" borderId="0" xfId="0" applyFont="1" applyFill="1" applyBorder="1" applyAlignment="1" applyProtection="1">
      <alignment vertical="center"/>
      <protection hidden="1"/>
    </xf>
    <xf numFmtId="167" fontId="51" fillId="48" borderId="16" xfId="57" applyNumberFormat="1" applyFont="1" applyFill="1" applyBorder="1" applyAlignment="1" applyProtection="1">
      <alignment horizontal="center" vertical="center"/>
      <protection hidden="1"/>
    </xf>
    <xf numFmtId="2" fontId="51" fillId="48" borderId="19" xfId="0" applyNumberFormat="1" applyFont="1" applyFill="1" applyBorder="1" applyAlignment="1" applyProtection="1">
      <alignment horizontal="center" vertical="center"/>
      <protection hidden="1"/>
    </xf>
    <xf numFmtId="3" fontId="51" fillId="48" borderId="0" xfId="57" applyNumberFormat="1" applyFont="1" applyFill="1" applyBorder="1" applyAlignment="1" applyProtection="1">
      <alignment horizontal="center" vertical="center"/>
      <protection hidden="1"/>
    </xf>
    <xf numFmtId="167" fontId="51" fillId="48" borderId="61" xfId="57" applyNumberFormat="1" applyFont="1" applyFill="1" applyBorder="1" applyAlignment="1" applyProtection="1">
      <alignment horizontal="center" vertical="center"/>
      <protection hidden="1"/>
    </xf>
    <xf numFmtId="2" fontId="51" fillId="48" borderId="70" xfId="0" applyNumberFormat="1" applyFont="1" applyFill="1" applyBorder="1" applyAlignment="1" applyProtection="1">
      <alignment horizontal="center" vertical="center"/>
      <protection hidden="1"/>
    </xf>
    <xf numFmtId="9" fontId="51" fillId="48" borderId="0" xfId="89" applyFont="1" applyFill="1" applyBorder="1" applyAlignment="1" applyProtection="1">
      <alignment horizontal="center" vertical="center"/>
      <protection hidden="1"/>
    </xf>
    <xf numFmtId="0" fontId="31" fillId="48" borderId="0" xfId="0" applyFont="1" applyFill="1" applyBorder="1" applyAlignment="1" applyProtection="1">
      <alignment horizontal="left" vertical="center"/>
      <protection hidden="1"/>
    </xf>
    <xf numFmtId="0" fontId="51" fillId="54" borderId="128" xfId="0" applyFont="1" applyFill="1" applyBorder="1" applyAlignment="1" applyProtection="1">
      <alignment horizontal="center" vertical="center" wrapText="1"/>
      <protection hidden="1"/>
    </xf>
    <xf numFmtId="0" fontId="51" fillId="54" borderId="50" xfId="0" applyFont="1" applyFill="1" applyBorder="1" applyAlignment="1" applyProtection="1">
      <alignment horizontal="center" vertical="center" wrapText="1"/>
      <protection hidden="1"/>
    </xf>
    <xf numFmtId="0" fontId="34" fillId="54" borderId="34" xfId="0" applyFont="1" applyFill="1" applyBorder="1" applyAlignment="1" applyProtection="1">
      <alignment horizontal="left" vertical="center"/>
      <protection hidden="1"/>
    </xf>
    <xf numFmtId="168" fontId="34" fillId="54" borderId="35" xfId="55" applyNumberFormat="1" applyFont="1" applyFill="1" applyBorder="1" applyAlignment="1" applyProtection="1">
      <alignment horizontal="center" vertical="center"/>
      <protection hidden="1"/>
    </xf>
    <xf numFmtId="0" fontId="51" fillId="45" borderId="190" xfId="0" applyFont="1" applyFill="1" applyBorder="1" applyAlignment="1" applyProtection="1">
      <alignment horizontal="left" vertical="center" wrapText="1"/>
      <protection locked="0"/>
    </xf>
    <xf numFmtId="0" fontId="51" fillId="45" borderId="53" xfId="0" applyFont="1" applyFill="1" applyBorder="1" applyAlignment="1" applyProtection="1">
      <alignment horizontal="left" vertical="center" wrapText="1"/>
      <protection locked="0"/>
    </xf>
    <xf numFmtId="0" fontId="51" fillId="45" borderId="54" xfId="0" applyFont="1" applyFill="1" applyBorder="1" applyAlignment="1" applyProtection="1">
      <alignment horizontal="left" vertical="center" wrapText="1"/>
      <protection locked="0"/>
    </xf>
    <xf numFmtId="3" fontId="51" fillId="45" borderId="50" xfId="57" applyNumberFormat="1" applyFont="1" applyFill="1" applyBorder="1" applyAlignment="1" applyProtection="1">
      <alignment horizontal="center" vertical="center"/>
      <protection locked="0"/>
    </xf>
    <xf numFmtId="0" fontId="51" fillId="45" borderId="56" xfId="0" applyFont="1" applyFill="1" applyBorder="1" applyAlignment="1" applyProtection="1">
      <alignment horizontal="center" vertical="center"/>
      <protection locked="0"/>
    </xf>
    <xf numFmtId="2" fontId="51" fillId="45" borderId="128" xfId="0" applyNumberFormat="1" applyFont="1" applyFill="1" applyBorder="1" applyAlignment="1" applyProtection="1">
      <alignment horizontal="center" vertical="center" wrapText="1"/>
      <protection locked="0"/>
    </xf>
    <xf numFmtId="2" fontId="51" fillId="45" borderId="149" xfId="0" applyNumberFormat="1" applyFont="1" applyFill="1" applyBorder="1" applyAlignment="1" applyProtection="1">
      <alignment horizontal="center" vertical="center"/>
      <protection locked="0"/>
    </xf>
    <xf numFmtId="2" fontId="51" fillId="45" borderId="55" xfId="55" applyNumberFormat="1" applyFont="1" applyFill="1" applyBorder="1" applyAlignment="1" applyProtection="1">
      <alignment horizontal="center" vertical="center"/>
      <protection locked="0"/>
    </xf>
    <xf numFmtId="170" fontId="51" fillId="45" borderId="55" xfId="57" applyNumberFormat="1" applyFont="1" applyFill="1" applyBorder="1" applyAlignment="1" applyProtection="1">
      <alignment horizontal="center" vertical="center"/>
      <protection locked="0"/>
    </xf>
    <xf numFmtId="170" fontId="51" fillId="45" borderId="128" xfId="0" applyNumberFormat="1" applyFont="1" applyFill="1" applyBorder="1" applyAlignment="1" applyProtection="1">
      <alignment horizontal="center" vertical="center"/>
      <protection locked="0"/>
    </xf>
    <xf numFmtId="170" fontId="51" fillId="45" borderId="149" xfId="73" applyNumberFormat="1" applyFont="1" applyFill="1" applyBorder="1" applyAlignment="1" applyProtection="1">
      <alignment horizontal="center" vertical="center" wrapText="1"/>
      <protection locked="0"/>
    </xf>
    <xf numFmtId="2" fontId="51" fillId="45" borderId="50" xfId="0" applyNumberFormat="1" applyFont="1" applyFill="1" applyBorder="1" applyAlignment="1" applyProtection="1">
      <alignment horizontal="center" vertical="center"/>
      <protection locked="0"/>
    </xf>
    <xf numFmtId="2" fontId="51" fillId="45" borderId="56" xfId="0" applyNumberFormat="1" applyFont="1" applyFill="1" applyBorder="1" applyAlignment="1" applyProtection="1">
      <alignment horizontal="center" vertical="center"/>
      <protection locked="0"/>
    </xf>
    <xf numFmtId="3" fontId="34" fillId="50" borderId="96" xfId="57" applyNumberFormat="1" applyFont="1" applyFill="1" applyBorder="1" applyAlignment="1" applyProtection="1">
      <alignment horizontal="center" vertical="center"/>
      <protection hidden="1"/>
    </xf>
    <xf numFmtId="3" fontId="34" fillId="50" borderId="116" xfId="57" applyNumberFormat="1" applyFont="1" applyFill="1" applyBorder="1" applyAlignment="1" applyProtection="1">
      <alignment horizontal="center" vertical="center"/>
      <protection hidden="1"/>
    </xf>
    <xf numFmtId="4" fontId="34" fillId="50" borderId="144" xfId="0" applyNumberFormat="1" applyFont="1" applyFill="1" applyBorder="1" applyAlignment="1" applyProtection="1">
      <alignment horizontal="center" vertical="center"/>
      <protection hidden="1"/>
    </xf>
    <xf numFmtId="4" fontId="34" fillId="50" borderId="122" xfId="0" applyNumberFormat="1" applyFont="1" applyFill="1" applyBorder="1" applyAlignment="1" applyProtection="1">
      <alignment horizontal="center" vertical="center"/>
      <protection hidden="1"/>
    </xf>
    <xf numFmtId="3" fontId="34" fillId="50" borderId="144" xfId="57" applyNumberFormat="1" applyFont="1" applyFill="1" applyBorder="1" applyAlignment="1" applyProtection="1">
      <alignment horizontal="center" vertical="center"/>
      <protection hidden="1"/>
    </xf>
    <xf numFmtId="3" fontId="34" fillId="50" borderId="122" xfId="57" applyNumberFormat="1" applyFont="1" applyFill="1" applyBorder="1" applyAlignment="1" applyProtection="1">
      <alignment horizontal="center" vertical="center"/>
      <protection hidden="1"/>
    </xf>
    <xf numFmtId="0" fontId="34" fillId="55" borderId="51" xfId="0" applyFont="1" applyFill="1" applyBorder="1" applyAlignment="1" applyProtection="1">
      <alignment horizontal="left" vertical="center" wrapText="1"/>
      <protection hidden="1"/>
    </xf>
    <xf numFmtId="0" fontId="51" fillId="55" borderId="54" xfId="0" applyFont="1" applyFill="1" applyBorder="1" applyAlignment="1" applyProtection="1">
      <alignment horizontal="left" vertical="center" wrapText="1"/>
      <protection hidden="1"/>
    </xf>
    <xf numFmtId="0" fontId="51" fillId="55" borderId="24" xfId="0" applyFont="1" applyFill="1" applyBorder="1" applyAlignment="1" applyProtection="1">
      <alignment vertical="center" wrapText="1"/>
      <protection hidden="1"/>
    </xf>
    <xf numFmtId="0" fontId="51" fillId="55" borderId="34" xfId="0" applyFont="1" applyFill="1" applyBorder="1" applyAlignment="1" applyProtection="1">
      <alignment vertical="center" wrapText="1"/>
      <protection hidden="1"/>
    </xf>
    <xf numFmtId="0" fontId="51" fillId="54" borderId="87" xfId="0" applyFont="1" applyFill="1" applyBorder="1" applyAlignment="1" applyProtection="1">
      <alignment horizontal="left" vertical="center"/>
      <protection hidden="1"/>
    </xf>
    <xf numFmtId="0" fontId="51" fillId="48" borderId="114" xfId="0" applyFont="1" applyFill="1" applyBorder="1" applyAlignment="1" applyProtection="1">
      <alignment horizontal="left" vertical="center" wrapText="1"/>
      <protection hidden="1"/>
    </xf>
    <xf numFmtId="0" fontId="51" fillId="48" borderId="113" xfId="0" applyFont="1" applyFill="1" applyBorder="1" applyAlignment="1" applyProtection="1">
      <alignment horizontal="left" vertical="center"/>
      <protection hidden="1"/>
    </xf>
    <xf numFmtId="0" fontId="51" fillId="48" borderId="114" xfId="0" applyFont="1" applyFill="1" applyBorder="1" applyAlignment="1" applyProtection="1">
      <alignment horizontal="left" vertical="center"/>
      <protection hidden="1"/>
    </xf>
    <xf numFmtId="170" fontId="51" fillId="45" borderId="100" xfId="89" applyNumberFormat="1" applyFont="1" applyFill="1" applyBorder="1" applyAlignment="1" applyProtection="1">
      <alignment horizontal="center" vertical="center"/>
      <protection locked="0"/>
    </xf>
    <xf numFmtId="170" fontId="51" fillId="45" borderId="96" xfId="89" applyNumberFormat="1" applyFont="1" applyFill="1" applyBorder="1" applyAlignment="1" applyProtection="1">
      <alignment horizontal="center" vertical="center"/>
      <protection locked="0"/>
    </xf>
    <xf numFmtId="170" fontId="51" fillId="45" borderId="96" xfId="89" applyNumberFormat="1" applyFont="1" applyFill="1" applyBorder="1" applyAlignment="1" applyProtection="1">
      <alignment horizontal="center" vertical="center" wrapText="1"/>
      <protection locked="0"/>
    </xf>
    <xf numFmtId="170" fontId="51" fillId="45" borderId="101" xfId="89" applyNumberFormat="1" applyFont="1" applyFill="1" applyBorder="1" applyAlignment="1" applyProtection="1">
      <alignment horizontal="center" vertical="center" wrapText="1"/>
      <protection locked="0"/>
    </xf>
    <xf numFmtId="0" fontId="51" fillId="51" borderId="55" xfId="81" applyFont="1" applyFill="1" applyBorder="1" applyAlignment="1" applyProtection="1">
      <alignment horizontal="center" vertical="center" wrapText="1"/>
      <protection locked="0"/>
    </xf>
    <xf numFmtId="0" fontId="51" fillId="51" borderId="52" xfId="81" applyFont="1" applyFill="1" applyBorder="1" applyAlignment="1" applyProtection="1">
      <alignment horizontal="center" vertical="center" wrapText="1"/>
      <protection locked="0"/>
    </xf>
    <xf numFmtId="170" fontId="51" fillId="45" borderId="55" xfId="81" applyNumberFormat="1" applyFont="1" applyFill="1" applyBorder="1" applyAlignment="1" applyProtection="1">
      <alignment horizontal="center" vertical="center" wrapText="1"/>
      <protection locked="0"/>
    </xf>
    <xf numFmtId="170" fontId="51" fillId="45" borderId="52" xfId="81" applyNumberFormat="1" applyFont="1" applyFill="1" applyBorder="1" applyAlignment="1" applyProtection="1">
      <alignment horizontal="center" vertical="center" wrapText="1"/>
      <protection locked="0"/>
    </xf>
    <xf numFmtId="174" fontId="51" fillId="45" borderId="55" xfId="57" applyNumberFormat="1" applyFont="1" applyFill="1" applyBorder="1" applyAlignment="1" applyProtection="1">
      <alignment horizontal="center" vertical="center" wrapText="1"/>
      <protection locked="0"/>
    </xf>
    <xf numFmtId="174" fontId="51" fillId="45" borderId="52" xfId="57" applyNumberFormat="1" applyFont="1" applyFill="1" applyBorder="1" applyAlignment="1" applyProtection="1">
      <alignment horizontal="center" vertical="center" wrapText="1"/>
      <protection locked="0"/>
    </xf>
    <xf numFmtId="168" fontId="51" fillId="51" borderId="50" xfId="81" applyNumberFormat="1" applyFont="1" applyFill="1" applyBorder="1" applyAlignment="1" applyProtection="1">
      <alignment horizontal="center" vertical="center" wrapText="1"/>
      <protection locked="0"/>
    </xf>
    <xf numFmtId="168" fontId="51" fillId="51" borderId="56" xfId="81" applyNumberFormat="1" applyFont="1" applyFill="1" applyBorder="1" applyAlignment="1" applyProtection="1">
      <alignment horizontal="center" vertical="center" wrapText="1"/>
      <protection locked="0"/>
    </xf>
    <xf numFmtId="164" fontId="51" fillId="45" borderId="52" xfId="0" applyNumberFormat="1" applyFont="1" applyFill="1" applyBorder="1" applyAlignment="1" applyProtection="1">
      <alignment horizontal="center" vertical="center"/>
      <protection locked="0"/>
    </xf>
    <xf numFmtId="3" fontId="51" fillId="45" borderId="52" xfId="0" applyNumberFormat="1" applyFont="1" applyFill="1" applyBorder="1" applyAlignment="1" applyProtection="1">
      <alignment horizontal="center" vertical="center"/>
      <protection locked="0"/>
    </xf>
    <xf numFmtId="170" fontId="51" fillId="45" borderId="55" xfId="89" applyNumberFormat="1" applyFont="1" applyFill="1" applyBorder="1" applyAlignment="1" applyProtection="1">
      <alignment horizontal="center" vertical="center" wrapText="1"/>
      <protection locked="0"/>
    </xf>
    <xf numFmtId="0" fontId="51" fillId="48" borderId="53" xfId="0" applyFont="1" applyFill="1" applyBorder="1" applyAlignment="1" applyProtection="1">
      <alignment horizontal="left" vertical="center"/>
      <protection locked="0"/>
    </xf>
    <xf numFmtId="0" fontId="126" fillId="48" borderId="0" xfId="82" applyFill="1"/>
    <xf numFmtId="0" fontId="126" fillId="48" borderId="0" xfId="82" applyFill="1" applyAlignment="1">
      <alignment vertical="center"/>
    </xf>
    <xf numFmtId="0" fontId="126" fillId="48" borderId="0" xfId="82" applyFill="1" applyAlignment="1">
      <alignment vertical="center" wrapText="1"/>
    </xf>
    <xf numFmtId="0" fontId="70" fillId="48" borderId="72" xfId="82" applyFont="1" applyFill="1" applyBorder="1" applyAlignment="1">
      <alignment wrapText="1"/>
    </xf>
    <xf numFmtId="0" fontId="136" fillId="48" borderId="0" xfId="82" applyFont="1" applyFill="1" applyAlignment="1">
      <alignment horizontal="left"/>
    </xf>
    <xf numFmtId="0" fontId="133" fillId="48" borderId="0" xfId="82" applyFont="1" applyFill="1" applyAlignment="1">
      <alignment horizontal="left"/>
    </xf>
    <xf numFmtId="0" fontId="70" fillId="48" borderId="13" xfId="82" applyFont="1" applyFill="1" applyBorder="1" applyAlignment="1">
      <alignment wrapText="1"/>
    </xf>
    <xf numFmtId="0" fontId="70" fillId="48" borderId="0" xfId="82" applyFont="1" applyFill="1" applyBorder="1" applyAlignment="1">
      <alignment wrapText="1"/>
    </xf>
    <xf numFmtId="0" fontId="70" fillId="0" borderId="49" xfId="82" applyFont="1" applyFill="1" applyBorder="1" applyAlignment="1">
      <alignment wrapText="1"/>
    </xf>
    <xf numFmtId="0" fontId="59" fillId="25" borderId="96" xfId="82" applyFont="1" applyFill="1" applyBorder="1" applyAlignment="1">
      <alignment vertical="center" wrapText="1"/>
    </xf>
    <xf numFmtId="0" fontId="70" fillId="0" borderId="96" xfId="82" applyFont="1" applyFill="1" applyBorder="1" applyAlignment="1">
      <alignment vertical="center" wrapText="1"/>
    </xf>
    <xf numFmtId="0" fontId="70" fillId="48" borderId="71" xfId="82" applyFont="1" applyFill="1" applyBorder="1" applyAlignment="1">
      <alignment wrapText="1"/>
    </xf>
    <xf numFmtId="0" fontId="59" fillId="0" borderId="188" xfId="82" applyFont="1" applyFill="1" applyBorder="1" applyAlignment="1">
      <alignment vertical="center" wrapText="1"/>
    </xf>
    <xf numFmtId="0" fontId="70" fillId="0" borderId="188" xfId="82" applyFont="1" applyFill="1" applyBorder="1" applyAlignment="1">
      <alignment vertical="center" wrapText="1"/>
    </xf>
    <xf numFmtId="0" fontId="70" fillId="0" borderId="10" xfId="82" applyFont="1" applyFill="1" applyBorder="1" applyAlignment="1">
      <alignment vertical="center" wrapText="1"/>
    </xf>
    <xf numFmtId="0" fontId="70" fillId="48" borderId="10" xfId="82" applyFont="1" applyFill="1" applyBorder="1" applyAlignment="1">
      <alignment wrapText="1"/>
    </xf>
    <xf numFmtId="0" fontId="70" fillId="48" borderId="49" xfId="82" applyFont="1" applyFill="1" applyBorder="1" applyAlignment="1">
      <alignment wrapText="1"/>
    </xf>
    <xf numFmtId="0" fontId="59" fillId="48" borderId="204" xfId="82" applyFont="1" applyFill="1" applyBorder="1" applyAlignment="1">
      <alignment wrapText="1"/>
    </xf>
    <xf numFmtId="0" fontId="59" fillId="48" borderId="0" xfId="82" applyFont="1" applyFill="1" applyBorder="1" applyAlignment="1">
      <alignment wrapText="1"/>
    </xf>
    <xf numFmtId="0" fontId="70" fillId="48" borderId="45" xfId="82" applyFont="1" applyFill="1" applyBorder="1" applyAlignment="1">
      <alignment wrapText="1"/>
    </xf>
    <xf numFmtId="0" fontId="59" fillId="25" borderId="32" xfId="82" applyFont="1" applyFill="1" applyBorder="1" applyAlignment="1">
      <alignment vertical="center" wrapText="1"/>
    </xf>
    <xf numFmtId="0" fontId="1" fillId="45" borderId="16" xfId="0" applyNumberFormat="1" applyFont="1" applyFill="1" applyBorder="1" applyAlignment="1" applyProtection="1">
      <alignment horizontal="center" vertical="center"/>
      <protection locked="0"/>
    </xf>
    <xf numFmtId="0" fontId="1" fillId="45" borderId="19" xfId="0" applyNumberFormat="1" applyFont="1" applyFill="1" applyBorder="1" applyAlignment="1" applyProtection="1">
      <alignment horizontal="center" vertical="center"/>
      <protection locked="0"/>
    </xf>
    <xf numFmtId="0" fontId="1" fillId="45" borderId="16" xfId="56" applyNumberFormat="1" applyFont="1" applyFill="1" applyBorder="1" applyAlignment="1" applyProtection="1">
      <alignment horizontal="center" vertical="center"/>
      <protection locked="0"/>
    </xf>
    <xf numFmtId="0" fontId="1" fillId="45" borderId="58" xfId="56" applyNumberFormat="1" applyFont="1" applyFill="1" applyBorder="1" applyAlignment="1" applyProtection="1">
      <alignment horizontal="center" vertical="center"/>
      <protection locked="0"/>
    </xf>
    <xf numFmtId="0" fontId="1" fillId="45" borderId="16" xfId="60" applyNumberFormat="1" applyFont="1" applyFill="1" applyBorder="1" applyAlignment="1" applyProtection="1">
      <alignment horizontal="center" vertical="center"/>
      <protection locked="0"/>
    </xf>
    <xf numFmtId="0" fontId="1" fillId="45" borderId="58" xfId="60" applyNumberFormat="1" applyFont="1" applyFill="1" applyBorder="1" applyAlignment="1" applyProtection="1">
      <alignment horizontal="center" vertical="center"/>
      <protection locked="0"/>
    </xf>
    <xf numFmtId="0" fontId="1" fillId="45" borderId="70" xfId="0" applyFont="1" applyFill="1" applyBorder="1" applyAlignment="1" applyProtection="1">
      <alignment horizontal="left" vertical="center"/>
      <protection locked="0"/>
    </xf>
    <xf numFmtId="49" fontId="1" fillId="45" borderId="16" xfId="0" applyNumberFormat="1" applyFont="1" applyFill="1" applyBorder="1" applyAlignment="1" applyProtection="1">
      <alignment horizontal="center" vertical="center"/>
      <protection locked="0"/>
    </xf>
    <xf numFmtId="49" fontId="1" fillId="45" borderId="12" xfId="0" applyNumberFormat="1" applyFont="1" applyFill="1" applyBorder="1" applyAlignment="1" applyProtection="1">
      <alignment vertical="center"/>
      <protection locked="0"/>
    </xf>
    <xf numFmtId="0" fontId="2" fillId="48" borderId="0" xfId="0" applyFont="1" applyFill="1" applyBorder="1" applyAlignment="1" applyProtection="1">
      <alignment horizontal="left" vertical="center" wrapText="1" indent="1"/>
      <protection hidden="1"/>
    </xf>
    <xf numFmtId="0" fontId="47" fillId="48" borderId="45" xfId="0" applyFont="1" applyFill="1" applyBorder="1" applyAlignment="1" applyProtection="1">
      <alignment horizontal="center" vertical="center"/>
      <protection hidden="1"/>
    </xf>
    <xf numFmtId="0" fontId="36" fillId="48" borderId="45" xfId="0" applyFont="1" applyFill="1" applyBorder="1" applyAlignment="1" applyProtection="1">
      <alignment horizontal="center" vertical="center"/>
      <protection hidden="1"/>
    </xf>
    <xf numFmtId="0" fontId="26" fillId="48" borderId="0" xfId="0" applyFont="1" applyFill="1" applyBorder="1" applyAlignment="1" applyProtection="1">
      <alignment horizontal="center" vertical="center" wrapText="1"/>
      <protection hidden="1"/>
    </xf>
    <xf numFmtId="10" fontId="26" fillId="48" borderId="0" xfId="90" applyNumberFormat="1" applyFont="1" applyFill="1" applyBorder="1" applyAlignment="1" applyProtection="1">
      <alignment horizontal="center" vertical="center" wrapText="1"/>
      <protection hidden="1"/>
    </xf>
    <xf numFmtId="10" fontId="26" fillId="48" borderId="0" xfId="90" applyNumberFormat="1" applyFont="1" applyFill="1" applyBorder="1" applyAlignment="1" applyProtection="1">
      <alignment horizontal="center" vertical="center"/>
      <protection hidden="1"/>
    </xf>
    <xf numFmtId="0" fontId="2" fillId="48" borderId="0" xfId="0" applyFont="1" applyFill="1" applyBorder="1" applyAlignment="1" applyProtection="1">
      <alignment horizontal="center" vertical="center" wrapText="1"/>
      <protection hidden="1"/>
    </xf>
    <xf numFmtId="0" fontId="2" fillId="48" borderId="0" xfId="0" applyFont="1" applyFill="1" applyBorder="1" applyAlignment="1" applyProtection="1">
      <alignment horizontal="center" vertical="center"/>
      <protection hidden="1"/>
    </xf>
    <xf numFmtId="11" fontId="26" fillId="48" borderId="0" xfId="90" applyNumberFormat="1" applyFont="1" applyFill="1" applyBorder="1" applyAlignment="1" applyProtection="1">
      <alignment horizontal="center" vertical="center" wrapText="1"/>
      <protection hidden="1"/>
    </xf>
    <xf numFmtId="184" fontId="26" fillId="48" borderId="0" xfId="89" applyNumberFormat="1" applyFont="1" applyFill="1" applyBorder="1" applyAlignment="1" applyProtection="1">
      <alignment horizontal="center" vertical="center" wrapText="1"/>
      <protection hidden="1"/>
    </xf>
    <xf numFmtId="3" fontId="1" fillId="54" borderId="149" xfId="0" applyNumberFormat="1" applyFont="1" applyFill="1" applyBorder="1" applyAlignment="1" applyProtection="1">
      <alignment horizontal="center" vertical="center" wrapText="1"/>
      <protection locked="0"/>
    </xf>
    <xf numFmtId="3" fontId="1" fillId="54" borderId="52" xfId="0" applyNumberFormat="1" applyFont="1" applyFill="1" applyBorder="1" applyAlignment="1" applyProtection="1">
      <alignment horizontal="center" vertical="center" wrapText="1"/>
      <protection locked="0"/>
    </xf>
    <xf numFmtId="0" fontId="26" fillId="55" borderId="33" xfId="0" applyFont="1" applyFill="1" applyBorder="1" applyAlignment="1" applyProtection="1">
      <alignment horizontal="center" vertical="center" wrapText="1"/>
      <protection hidden="1"/>
    </xf>
    <xf numFmtId="0" fontId="26" fillId="55" borderId="29" xfId="0" applyFont="1" applyFill="1" applyBorder="1" applyAlignment="1" applyProtection="1">
      <alignment horizontal="center" vertical="center" wrapText="1"/>
      <protection hidden="1"/>
    </xf>
    <xf numFmtId="3" fontId="26" fillId="55" borderId="77" xfId="0" applyNumberFormat="1" applyFont="1" applyFill="1" applyBorder="1" applyAlignment="1" applyProtection="1">
      <alignment horizontal="center" vertical="center" wrapText="1"/>
      <protection hidden="1"/>
    </xf>
    <xf numFmtId="0" fontId="2" fillId="55" borderId="90" xfId="0" applyFont="1" applyFill="1" applyBorder="1" applyAlignment="1" applyProtection="1">
      <alignment horizontal="center" vertical="center" wrapText="1"/>
      <protection hidden="1"/>
    </xf>
    <xf numFmtId="0" fontId="26" fillId="55" borderId="76" xfId="0" applyFont="1" applyFill="1" applyBorder="1" applyAlignment="1" applyProtection="1">
      <alignment horizontal="center" vertical="center" wrapText="1"/>
      <protection hidden="1"/>
    </xf>
    <xf numFmtId="0" fontId="26" fillId="55" borderId="65" xfId="0" applyFont="1" applyFill="1" applyBorder="1" applyAlignment="1" applyProtection="1">
      <alignment horizontal="center" vertical="center" wrapText="1"/>
      <protection hidden="1"/>
    </xf>
    <xf numFmtId="0" fontId="0" fillId="51" borderId="66" xfId="0" applyFill="1" applyBorder="1" applyAlignment="1" applyProtection="1">
      <alignment horizontal="center" vertical="center"/>
      <protection locked="0"/>
    </xf>
    <xf numFmtId="0" fontId="34" fillId="55" borderId="11" xfId="0" applyFont="1" applyFill="1" applyBorder="1" applyAlignment="1" applyProtection="1">
      <alignment horizontal="center" vertical="center" wrapText="1"/>
      <protection hidden="1"/>
    </xf>
    <xf numFmtId="0" fontId="34" fillId="55" borderId="12" xfId="0" applyFont="1" applyFill="1" applyBorder="1" applyAlignment="1" applyProtection="1">
      <alignment horizontal="center" vertical="center" wrapText="1"/>
      <protection hidden="1"/>
    </xf>
    <xf numFmtId="0" fontId="26" fillId="51" borderId="66" xfId="0" applyFont="1" applyFill="1" applyBorder="1" applyAlignment="1" applyProtection="1">
      <alignment horizontal="center" vertical="center"/>
      <protection locked="0"/>
    </xf>
    <xf numFmtId="0" fontId="34" fillId="54" borderId="145" xfId="0" applyFont="1" applyFill="1" applyBorder="1" applyAlignment="1" applyProtection="1">
      <alignment horizontal="center" vertical="center" wrapText="1"/>
      <protection hidden="1"/>
    </xf>
    <xf numFmtId="0" fontId="34" fillId="54" borderId="140" xfId="0" applyFont="1" applyFill="1" applyBorder="1" applyAlignment="1" applyProtection="1">
      <alignment horizontal="center" vertical="center" wrapText="1"/>
      <protection hidden="1"/>
    </xf>
    <xf numFmtId="0" fontId="34" fillId="54" borderId="69" xfId="0" applyFont="1" applyFill="1" applyBorder="1" applyAlignment="1" applyProtection="1">
      <alignment horizontal="center" vertical="center"/>
      <protection hidden="1"/>
    </xf>
    <xf numFmtId="0" fontId="1" fillId="60" borderId="53" xfId="0" applyFont="1" applyFill="1" applyBorder="1" applyAlignment="1" applyProtection="1">
      <alignment horizontal="left" vertical="center" wrapText="1"/>
      <protection hidden="1"/>
    </xf>
    <xf numFmtId="0" fontId="1" fillId="60" borderId="27" xfId="0" applyFont="1" applyFill="1" applyBorder="1" applyAlignment="1" applyProtection="1">
      <alignment horizontal="left" vertical="center" wrapText="1"/>
      <protection hidden="1"/>
    </xf>
    <xf numFmtId="0" fontId="34" fillId="54" borderId="62" xfId="0" applyFont="1" applyFill="1" applyBorder="1" applyAlignment="1" applyProtection="1">
      <alignment horizontal="center" vertical="center" wrapText="1"/>
      <protection hidden="1"/>
    </xf>
    <xf numFmtId="3" fontId="1" fillId="45" borderId="96" xfId="0" applyNumberFormat="1" applyFont="1" applyFill="1" applyBorder="1" applyAlignment="1" applyProtection="1">
      <alignment horizontal="center" vertical="center"/>
      <protection locked="0"/>
    </xf>
    <xf numFmtId="0" fontId="1" fillId="45" borderId="96" xfId="0" applyNumberFormat="1" applyFont="1" applyFill="1" applyBorder="1" applyAlignment="1" applyProtection="1">
      <alignment horizontal="center" vertical="center"/>
      <protection locked="0"/>
    </xf>
    <xf numFmtId="0" fontId="1" fillId="45" borderId="129" xfId="0" applyNumberFormat="1" applyFont="1" applyFill="1" applyBorder="1" applyAlignment="1" applyProtection="1">
      <alignment horizontal="center" vertical="center"/>
      <protection locked="0"/>
    </xf>
    <xf numFmtId="3" fontId="1" fillId="45" borderId="96" xfId="56" applyNumberFormat="1" applyFont="1" applyFill="1" applyBorder="1" applyAlignment="1" applyProtection="1">
      <alignment horizontal="center" vertical="center"/>
      <protection locked="0"/>
    </xf>
    <xf numFmtId="0" fontId="1" fillId="45" borderId="116" xfId="0" applyNumberFormat="1" applyFont="1" applyFill="1" applyBorder="1" applyAlignment="1" applyProtection="1">
      <alignment horizontal="center" vertical="center"/>
      <protection locked="0"/>
    </xf>
    <xf numFmtId="0" fontId="1" fillId="48" borderId="62" xfId="0" applyFont="1" applyFill="1" applyBorder="1" applyAlignment="1" applyProtection="1">
      <alignment horizontal="left" vertical="center" wrapText="1" indent="1"/>
      <protection hidden="1"/>
    </xf>
    <xf numFmtId="3" fontId="1" fillId="45" borderId="151" xfId="0" applyNumberFormat="1" applyFont="1" applyFill="1" applyBorder="1" applyAlignment="1" applyProtection="1">
      <alignment horizontal="center" vertical="center"/>
      <protection locked="0"/>
    </xf>
    <xf numFmtId="0" fontId="1" fillId="45" borderId="58" xfId="0" applyNumberFormat="1" applyFont="1" applyFill="1" applyBorder="1" applyAlignment="1" applyProtection="1">
      <alignment horizontal="center" vertical="center"/>
      <protection locked="0"/>
    </xf>
    <xf numFmtId="0" fontId="34" fillId="57" borderId="16" xfId="0" applyFont="1" applyFill="1" applyBorder="1" applyAlignment="1" applyProtection="1">
      <alignment horizontal="center" vertical="center" wrapText="1"/>
      <protection hidden="1"/>
    </xf>
    <xf numFmtId="0" fontId="51" fillId="51" borderId="16" xfId="0" applyFont="1" applyFill="1" applyBorder="1" applyAlignment="1" applyProtection="1">
      <alignment horizontal="center" vertical="center" wrapText="1"/>
      <protection locked="0"/>
    </xf>
    <xf numFmtId="0" fontId="51" fillId="51" borderId="19" xfId="0" applyFont="1" applyFill="1" applyBorder="1" applyAlignment="1" applyProtection="1">
      <alignment horizontal="center" vertical="center" wrapText="1"/>
      <protection locked="0"/>
    </xf>
    <xf numFmtId="0" fontId="51" fillId="54" borderId="18" xfId="0" applyFont="1" applyFill="1" applyBorder="1" applyAlignment="1" applyProtection="1">
      <alignment horizontal="left" vertical="center" wrapText="1"/>
      <protection hidden="1"/>
    </xf>
    <xf numFmtId="0" fontId="51" fillId="54" borderId="16" xfId="0" applyFont="1" applyFill="1" applyBorder="1" applyAlignment="1" applyProtection="1">
      <alignment horizontal="left" vertical="center" wrapText="1"/>
      <protection hidden="1"/>
    </xf>
    <xf numFmtId="0" fontId="34" fillId="55" borderId="24" xfId="0" applyFont="1" applyFill="1" applyBorder="1" applyAlignment="1" applyProtection="1">
      <alignment horizontal="left" vertical="center" wrapText="1"/>
      <protection hidden="1"/>
    </xf>
    <xf numFmtId="0" fontId="16" fillId="29" borderId="0" xfId="73" applyFill="1" applyAlignment="1" applyProtection="1">
      <alignment horizontal="center" vertical="center" textRotation="90"/>
    </xf>
    <xf numFmtId="0" fontId="0" fillId="48" borderId="0" xfId="0" applyFill="1" applyAlignment="1" applyProtection="1">
      <alignment horizontal="center"/>
      <protection hidden="1"/>
    </xf>
    <xf numFmtId="0" fontId="0" fillId="48" borderId="0" xfId="0" applyFill="1" applyBorder="1" applyProtection="1">
      <protection hidden="1"/>
    </xf>
    <xf numFmtId="3" fontId="0" fillId="48" borderId="0" xfId="0" applyNumberFormat="1" applyFill="1" applyAlignment="1" applyProtection="1">
      <alignment horizontal="center"/>
      <protection hidden="1"/>
    </xf>
    <xf numFmtId="0" fontId="0" fillId="48" borderId="0" xfId="0" applyFill="1" applyProtection="1">
      <protection hidden="1"/>
    </xf>
    <xf numFmtId="0" fontId="0" fillId="48" borderId="0" xfId="0" applyFill="1" applyAlignment="1" applyProtection="1">
      <protection hidden="1"/>
    </xf>
    <xf numFmtId="0" fontId="0" fillId="48" borderId="0" xfId="0" applyFill="1" applyBorder="1" applyAlignment="1" applyProtection="1">
      <alignment horizontal="center"/>
      <protection hidden="1"/>
    </xf>
    <xf numFmtId="3" fontId="3" fillId="48" borderId="0" xfId="0" applyNumberFormat="1" applyFont="1" applyFill="1" applyBorder="1" applyAlignment="1" applyProtection="1">
      <alignment horizontal="center" vertical="center" wrapText="1"/>
      <protection hidden="1"/>
    </xf>
    <xf numFmtId="0" fontId="1" fillId="48" borderId="0" xfId="0" applyFont="1" applyFill="1" applyProtection="1">
      <protection hidden="1"/>
    </xf>
    <xf numFmtId="0" fontId="0" fillId="48" borderId="0" xfId="0" applyFill="1" applyAlignment="1" applyProtection="1">
      <alignment vertical="center"/>
      <protection hidden="1"/>
    </xf>
    <xf numFmtId="0" fontId="41" fillId="48" borderId="0" xfId="0" applyFont="1" applyFill="1" applyBorder="1" applyAlignment="1" applyProtection="1">
      <alignment horizontal="center"/>
      <protection hidden="1"/>
    </xf>
    <xf numFmtId="49" fontId="0" fillId="48" borderId="0" xfId="0" applyNumberFormat="1" applyFill="1" applyAlignment="1" applyProtection="1">
      <protection hidden="1"/>
    </xf>
    <xf numFmtId="0" fontId="0" fillId="48" borderId="0" xfId="0" applyFill="1" applyAlignment="1" applyProtection="1">
      <alignment wrapText="1"/>
      <protection hidden="1"/>
    </xf>
    <xf numFmtId="0" fontId="0" fillId="48" borderId="0" xfId="0" applyFill="1" applyAlignment="1" applyProtection="1">
      <alignment horizontal="left" wrapText="1"/>
      <protection hidden="1"/>
    </xf>
    <xf numFmtId="0" fontId="42" fillId="48" borderId="0" xfId="0" applyFont="1" applyFill="1" applyBorder="1" applyProtection="1">
      <protection hidden="1"/>
    </xf>
    <xf numFmtId="0" fontId="42" fillId="48" borderId="0" xfId="0" applyFont="1" applyFill="1" applyAlignment="1" applyProtection="1">
      <protection hidden="1"/>
    </xf>
    <xf numFmtId="0" fontId="42" fillId="48" borderId="0" xfId="0" applyFont="1" applyFill="1" applyProtection="1">
      <protection hidden="1"/>
    </xf>
    <xf numFmtId="0" fontId="54" fillId="48" borderId="0" xfId="0" applyFont="1" applyFill="1" applyBorder="1" applyAlignment="1" applyProtection="1">
      <alignment horizontal="left" vertical="center"/>
      <protection hidden="1"/>
    </xf>
    <xf numFmtId="3" fontId="4" fillId="54" borderId="0" xfId="0" applyNumberFormat="1" applyFont="1" applyFill="1" applyBorder="1" applyAlignment="1" applyProtection="1">
      <alignment horizontal="center" vertical="center" wrapText="1"/>
      <protection hidden="1"/>
    </xf>
    <xf numFmtId="0" fontId="0" fillId="54" borderId="40" xfId="0" applyFill="1" applyBorder="1" applyAlignment="1" applyProtection="1">
      <alignment vertical="center" wrapText="1"/>
      <protection hidden="1"/>
    </xf>
    <xf numFmtId="0" fontId="0" fillId="48" borderId="0" xfId="0" applyFill="1" applyAlignment="1" applyProtection="1">
      <alignment vertical="center" wrapText="1"/>
      <protection hidden="1"/>
    </xf>
    <xf numFmtId="3" fontId="3" fillId="54" borderId="0" xfId="0" applyNumberFormat="1" applyFont="1" applyFill="1" applyBorder="1" applyAlignment="1" applyProtection="1">
      <alignment horizontal="center" vertical="center" wrapText="1"/>
      <protection hidden="1"/>
    </xf>
    <xf numFmtId="0" fontId="16" fillId="54" borderId="40" xfId="73" applyFill="1" applyBorder="1" applyAlignment="1" applyProtection="1">
      <alignment horizontal="center" vertical="center" wrapText="1"/>
      <protection hidden="1"/>
    </xf>
    <xf numFmtId="0" fontId="0" fillId="48" borderId="0" xfId="0" applyFill="1" applyBorder="1" applyAlignment="1" applyProtection="1">
      <alignment vertical="center" wrapText="1"/>
      <protection hidden="1"/>
    </xf>
    <xf numFmtId="0" fontId="16" fillId="54" borderId="40" xfId="73" applyFill="1" applyBorder="1" applyAlignment="1" applyProtection="1">
      <protection hidden="1"/>
    </xf>
    <xf numFmtId="0" fontId="17" fillId="54" borderId="40" xfId="73" applyFont="1" applyFill="1" applyBorder="1" applyAlignment="1" applyProtection="1">
      <alignment horizontal="center" vertical="center" wrapText="1"/>
      <protection hidden="1"/>
    </xf>
    <xf numFmtId="0" fontId="3" fillId="48" borderId="0" xfId="0" applyFont="1" applyFill="1" applyBorder="1" applyAlignment="1" applyProtection="1">
      <alignment horizontal="left" vertical="center" wrapText="1" indent="1"/>
      <protection hidden="1"/>
    </xf>
    <xf numFmtId="3" fontId="0" fillId="54" borderId="45" xfId="0" applyNumberFormat="1" applyFill="1" applyBorder="1" applyAlignment="1" applyProtection="1">
      <alignment horizontal="center" vertical="center" wrapText="1"/>
      <protection hidden="1"/>
    </xf>
    <xf numFmtId="0" fontId="16" fillId="54" borderId="23" xfId="73" applyFill="1" applyBorder="1" applyAlignment="1" applyProtection="1">
      <alignment horizontal="center" vertical="center" wrapText="1"/>
      <protection hidden="1"/>
    </xf>
    <xf numFmtId="0" fontId="0" fillId="48" borderId="0" xfId="0" applyFill="1" applyAlignment="1" applyProtection="1">
      <alignment horizontal="center" vertical="center" wrapText="1"/>
      <protection hidden="1"/>
    </xf>
    <xf numFmtId="3" fontId="0" fillId="48" borderId="0" xfId="0" applyNumberFormat="1" applyFill="1" applyBorder="1" applyAlignment="1" applyProtection="1">
      <alignment horizontal="center" vertical="center" wrapText="1"/>
      <protection hidden="1"/>
    </xf>
    <xf numFmtId="0" fontId="0" fillId="48" borderId="0" xfId="0" applyFill="1" applyBorder="1" applyAlignment="1" applyProtection="1">
      <alignment horizontal="center" vertical="center" wrapText="1"/>
      <protection hidden="1"/>
    </xf>
    <xf numFmtId="0" fontId="0" fillId="48" borderId="0" xfId="0" applyFill="1" applyBorder="1" applyAlignment="1" applyProtection="1">
      <alignment vertical="center"/>
      <protection hidden="1"/>
    </xf>
    <xf numFmtId="3" fontId="0" fillId="48" borderId="0" xfId="0" applyNumberFormat="1" applyFill="1" applyBorder="1" applyAlignment="1" applyProtection="1">
      <alignment horizontal="center"/>
      <protection hidden="1"/>
    </xf>
    <xf numFmtId="0" fontId="21" fillId="48" borderId="0" xfId="0" applyFont="1" applyFill="1" applyBorder="1" applyProtection="1">
      <protection hidden="1"/>
    </xf>
    <xf numFmtId="3" fontId="21" fillId="48" borderId="0" xfId="0" applyNumberFormat="1" applyFont="1" applyFill="1" applyBorder="1" applyProtection="1">
      <protection hidden="1"/>
    </xf>
    <xf numFmtId="0" fontId="1" fillId="48" borderId="18" xfId="0" applyFont="1" applyFill="1" applyBorder="1" applyAlignment="1" applyProtection="1">
      <alignment horizontal="left" vertical="center" wrapText="1"/>
      <protection hidden="1"/>
    </xf>
    <xf numFmtId="0" fontId="21" fillId="48" borderId="10" xfId="0" applyFont="1" applyFill="1" applyBorder="1" applyAlignment="1" applyProtection="1">
      <alignment horizontal="center" vertical="center"/>
      <protection hidden="1"/>
    </xf>
    <xf numFmtId="0" fontId="21" fillId="48" borderId="85" xfId="0" applyFont="1" applyFill="1" applyBorder="1" applyAlignment="1" applyProtection="1">
      <alignment vertical="center"/>
      <protection hidden="1"/>
    </xf>
    <xf numFmtId="0" fontId="29" fillId="48" borderId="0" xfId="0" applyFont="1" applyFill="1" applyBorder="1" applyAlignment="1" applyProtection="1">
      <alignment horizontal="center" vertical="center" wrapText="1"/>
      <protection hidden="1"/>
    </xf>
    <xf numFmtId="0" fontId="30" fillId="48" borderId="0" xfId="0" applyFont="1" applyFill="1" applyBorder="1" applyAlignment="1" applyProtection="1">
      <alignment vertical="center" wrapText="1"/>
      <protection hidden="1"/>
    </xf>
    <xf numFmtId="0" fontId="0" fillId="0" borderId="0" xfId="0" applyAlignment="1" applyProtection="1">
      <alignment vertical="center"/>
      <protection hidden="1"/>
    </xf>
    <xf numFmtId="0" fontId="0" fillId="0" borderId="0" xfId="0" applyProtection="1">
      <protection hidden="1"/>
    </xf>
    <xf numFmtId="0" fontId="1" fillId="48" borderId="0" xfId="0" applyFont="1" applyFill="1" applyAlignment="1" applyProtection="1">
      <alignment vertical="center"/>
      <protection hidden="1"/>
    </xf>
    <xf numFmtId="0" fontId="26" fillId="48" borderId="0" xfId="0" applyFont="1" applyFill="1" applyAlignment="1" applyProtection="1">
      <alignment vertical="center"/>
      <protection hidden="1"/>
    </xf>
    <xf numFmtId="0" fontId="1" fillId="0" borderId="0" xfId="0" applyFont="1" applyProtection="1">
      <protection hidden="1"/>
    </xf>
    <xf numFmtId="0" fontId="1" fillId="0" borderId="0" xfId="0" applyFont="1" applyAlignment="1" applyProtection="1">
      <alignment vertical="center"/>
      <protection hidden="1"/>
    </xf>
    <xf numFmtId="0" fontId="1" fillId="48" borderId="0" xfId="0" applyFont="1" applyFill="1" applyBorder="1" applyAlignment="1" applyProtection="1">
      <alignment vertical="center"/>
      <protection hidden="1"/>
    </xf>
    <xf numFmtId="185" fontId="1" fillId="48" borderId="0" xfId="0" applyNumberFormat="1" applyFont="1" applyFill="1" applyBorder="1" applyAlignment="1" applyProtection="1">
      <alignment horizontal="left" vertical="center"/>
      <protection hidden="1"/>
    </xf>
    <xf numFmtId="0" fontId="26" fillId="48" borderId="0" xfId="0" applyFont="1" applyFill="1" applyBorder="1" applyAlignment="1" applyProtection="1">
      <alignment vertical="center"/>
      <protection hidden="1"/>
    </xf>
    <xf numFmtId="0" fontId="1" fillId="0" borderId="0" xfId="0" applyFont="1" applyFill="1" applyBorder="1" applyProtection="1">
      <protection hidden="1"/>
    </xf>
    <xf numFmtId="0" fontId="1" fillId="0" borderId="0" xfId="0" applyFont="1" applyFill="1" applyBorder="1" applyAlignment="1" applyProtection="1">
      <alignment vertical="center"/>
      <protection hidden="1"/>
    </xf>
    <xf numFmtId="3" fontId="1" fillId="48" borderId="0" xfId="0" applyNumberFormat="1" applyFont="1" applyFill="1" applyBorder="1" applyProtection="1">
      <protection hidden="1"/>
    </xf>
    <xf numFmtId="0" fontId="1" fillId="48" borderId="0" xfId="0" applyFont="1" applyFill="1" applyBorder="1" applyProtection="1">
      <protection hidden="1"/>
    </xf>
    <xf numFmtId="0" fontId="26" fillId="55" borderId="90" xfId="0" applyFont="1" applyFill="1" applyBorder="1" applyAlignment="1" applyProtection="1">
      <alignment horizontal="center" vertical="center" wrapText="1"/>
      <protection hidden="1"/>
    </xf>
    <xf numFmtId="0" fontId="26" fillId="55" borderId="76" xfId="0" applyFont="1" applyFill="1" applyBorder="1" applyAlignment="1" applyProtection="1">
      <alignment horizontal="left" vertical="center" wrapText="1"/>
      <protection hidden="1"/>
    </xf>
    <xf numFmtId="3" fontId="26" fillId="55" borderId="76" xfId="0" applyNumberFormat="1" applyFont="1" applyFill="1" applyBorder="1" applyAlignment="1" applyProtection="1">
      <alignment horizontal="center" vertical="center" wrapText="1"/>
      <protection hidden="1"/>
    </xf>
    <xf numFmtId="10" fontId="26" fillId="55" borderId="76" xfId="90" applyNumberFormat="1" applyFont="1" applyFill="1" applyBorder="1" applyAlignment="1" applyProtection="1">
      <alignment horizontal="center" vertical="center" wrapText="1"/>
      <protection hidden="1"/>
    </xf>
    <xf numFmtId="10" fontId="26" fillId="55" borderId="65" xfId="90" applyNumberFormat="1" applyFont="1" applyFill="1" applyBorder="1" applyAlignment="1" applyProtection="1">
      <alignment horizontal="center" vertical="center" wrapText="1"/>
      <protection hidden="1"/>
    </xf>
    <xf numFmtId="10" fontId="1" fillId="48" borderId="0" xfId="0" applyNumberFormat="1" applyFont="1" applyFill="1" applyProtection="1">
      <protection hidden="1"/>
    </xf>
    <xf numFmtId="0" fontId="34" fillId="48" borderId="13" xfId="0" applyFont="1" applyFill="1" applyBorder="1" applyAlignment="1" applyProtection="1">
      <alignment horizontal="center" vertical="center" wrapText="1"/>
      <protection hidden="1"/>
    </xf>
    <xf numFmtId="0" fontId="2" fillId="0" borderId="0" xfId="0" applyFont="1" applyFill="1" applyBorder="1" applyAlignment="1" applyProtection="1">
      <alignment vertical="center" wrapText="1"/>
      <protection hidden="1"/>
    </xf>
    <xf numFmtId="164" fontId="34" fillId="0" borderId="0" xfId="0" applyNumberFormat="1" applyFont="1" applyBorder="1" applyAlignment="1" applyProtection="1">
      <alignment horizontal="center" vertical="center" wrapText="1"/>
      <protection hidden="1"/>
    </xf>
    <xf numFmtId="171" fontId="34" fillId="0" borderId="0" xfId="90" applyNumberFormat="1" applyFont="1" applyBorder="1" applyAlignment="1" applyProtection="1">
      <alignment horizontal="center" vertical="center" wrapText="1"/>
      <protection hidden="1"/>
    </xf>
    <xf numFmtId="164" fontId="34" fillId="48" borderId="0" xfId="0" applyNumberFormat="1" applyFont="1" applyFill="1" applyBorder="1" applyAlignment="1" applyProtection="1">
      <alignment horizontal="center" vertical="center" wrapText="1"/>
      <protection hidden="1"/>
    </xf>
    <xf numFmtId="171" fontId="34" fillId="48" borderId="0" xfId="90" applyNumberFormat="1" applyFont="1" applyFill="1" applyBorder="1" applyAlignment="1" applyProtection="1">
      <alignment horizontal="center" vertical="center" wrapText="1"/>
      <protection hidden="1"/>
    </xf>
    <xf numFmtId="3" fontId="34" fillId="48" borderId="0" xfId="0" applyNumberFormat="1" applyFont="1" applyFill="1" applyBorder="1" applyAlignment="1" applyProtection="1">
      <alignment horizontal="center" vertical="center" wrapText="1"/>
      <protection hidden="1"/>
    </xf>
    <xf numFmtId="178" fontId="34" fillId="48" borderId="0" xfId="90" applyNumberFormat="1" applyFont="1" applyFill="1" applyBorder="1" applyAlignment="1" applyProtection="1">
      <alignment horizontal="center" vertical="center" wrapText="1"/>
      <protection hidden="1"/>
    </xf>
    <xf numFmtId="169" fontId="34" fillId="48" borderId="0" xfId="90" applyNumberFormat="1" applyFont="1" applyFill="1" applyBorder="1" applyAlignment="1" applyProtection="1">
      <alignment horizontal="center" vertical="center" wrapText="1"/>
      <protection hidden="1"/>
    </xf>
    <xf numFmtId="3" fontId="51" fillId="0" borderId="0" xfId="0" applyNumberFormat="1" applyFont="1" applyBorder="1" applyAlignment="1" applyProtection="1">
      <alignment horizontal="center" vertical="center" wrapText="1"/>
      <protection hidden="1"/>
    </xf>
    <xf numFmtId="178" fontId="34" fillId="48" borderId="0" xfId="0" applyNumberFormat="1" applyFont="1" applyFill="1" applyBorder="1" applyAlignment="1" applyProtection="1">
      <alignment horizontal="center" vertical="center" wrapText="1"/>
      <protection hidden="1"/>
    </xf>
    <xf numFmtId="168" fontId="34" fillId="48" borderId="0" xfId="55" applyNumberFormat="1" applyFont="1" applyFill="1" applyBorder="1" applyAlignment="1" applyProtection="1">
      <alignment horizontal="center" vertical="center" wrapText="1"/>
      <protection hidden="1"/>
    </xf>
    <xf numFmtId="0" fontId="34" fillId="48" borderId="0" xfId="0" applyFont="1" applyFill="1" applyBorder="1" applyAlignment="1" applyProtection="1">
      <alignment horizontal="center" vertical="center"/>
      <protection hidden="1"/>
    </xf>
    <xf numFmtId="0" fontId="26" fillId="48" borderId="0" xfId="0" applyFont="1" applyFill="1" applyProtection="1">
      <protection hidden="1"/>
    </xf>
    <xf numFmtId="164" fontId="1" fillId="59" borderId="88" xfId="0" applyNumberFormat="1" applyFont="1" applyFill="1" applyBorder="1" applyAlignment="1" applyProtection="1">
      <alignment horizontal="center" vertical="center" wrapText="1"/>
      <protection hidden="1"/>
    </xf>
    <xf numFmtId="4" fontId="1" fillId="59" borderId="88" xfId="0" applyNumberFormat="1" applyFont="1" applyFill="1" applyBorder="1" applyAlignment="1" applyProtection="1">
      <alignment horizontal="center" vertical="center" wrapText="1"/>
      <protection hidden="1"/>
    </xf>
    <xf numFmtId="4" fontId="1" fillId="59" borderId="89" xfId="56" applyNumberFormat="1" applyFont="1" applyFill="1" applyBorder="1" applyAlignment="1" applyProtection="1">
      <alignment horizontal="center" vertical="center" wrapText="1"/>
      <protection hidden="1"/>
    </xf>
    <xf numFmtId="164" fontId="1" fillId="48" borderId="0" xfId="0" applyNumberFormat="1" applyFont="1" applyFill="1" applyBorder="1" applyAlignment="1" applyProtection="1">
      <alignment horizontal="center" vertical="center" wrapText="1"/>
      <protection hidden="1"/>
    </xf>
    <xf numFmtId="9" fontId="34" fillId="48" borderId="0" xfId="90" applyFont="1" applyFill="1" applyBorder="1" applyAlignment="1" applyProtection="1">
      <alignment horizontal="center" vertical="center" wrapText="1"/>
      <protection hidden="1"/>
    </xf>
    <xf numFmtId="164" fontId="1" fillId="58" borderId="88" xfId="0" applyNumberFormat="1" applyFont="1" applyFill="1" applyBorder="1" applyAlignment="1" applyProtection="1">
      <alignment horizontal="center" vertical="center" wrapText="1"/>
      <protection hidden="1"/>
    </xf>
    <xf numFmtId="3" fontId="1" fillId="58" borderId="88" xfId="0" applyNumberFormat="1" applyFont="1" applyFill="1" applyBorder="1" applyAlignment="1" applyProtection="1">
      <alignment horizontal="center" vertical="center" wrapText="1"/>
      <protection hidden="1"/>
    </xf>
    <xf numFmtId="3" fontId="1" fillId="58" borderId="89" xfId="56" applyNumberFormat="1" applyFont="1" applyFill="1" applyBorder="1" applyAlignment="1" applyProtection="1">
      <alignment horizontal="center" vertical="center" wrapText="1"/>
      <protection hidden="1"/>
    </xf>
    <xf numFmtId="164" fontId="1" fillId="60" borderId="28" xfId="0" applyNumberFormat="1" applyFont="1" applyFill="1" applyBorder="1" applyAlignment="1" applyProtection="1">
      <alignment horizontal="center" vertical="center" wrapText="1"/>
      <protection hidden="1"/>
    </xf>
    <xf numFmtId="3" fontId="1" fillId="60" borderId="28" xfId="0" applyNumberFormat="1" applyFont="1" applyFill="1" applyBorder="1" applyAlignment="1" applyProtection="1">
      <alignment horizontal="center" vertical="center" wrapText="1"/>
      <protection hidden="1"/>
    </xf>
    <xf numFmtId="3" fontId="1" fillId="60" borderId="30" xfId="56" applyNumberFormat="1" applyFont="1" applyFill="1" applyBorder="1" applyAlignment="1" applyProtection="1">
      <alignment horizontal="center" vertical="center" wrapText="1"/>
      <protection hidden="1"/>
    </xf>
    <xf numFmtId="164" fontId="34" fillId="54" borderId="61" xfId="0" applyNumberFormat="1" applyFont="1" applyFill="1" applyBorder="1" applyAlignment="1" applyProtection="1">
      <alignment horizontal="center" vertical="center" wrapText="1"/>
      <protection hidden="1"/>
    </xf>
    <xf numFmtId="9" fontId="34" fillId="54" borderId="70" xfId="90" applyNumberFormat="1" applyFont="1" applyFill="1" applyBorder="1" applyAlignment="1" applyProtection="1">
      <alignment horizontal="center" vertical="center" wrapText="1"/>
      <protection hidden="1"/>
    </xf>
    <xf numFmtId="164" fontId="1" fillId="58" borderId="128" xfId="0" applyNumberFormat="1" applyFont="1" applyFill="1" applyBorder="1" applyAlignment="1" applyProtection="1">
      <alignment horizontal="center" vertical="center" wrapText="1"/>
      <protection hidden="1"/>
    </xf>
    <xf numFmtId="3" fontId="1" fillId="58" borderId="128" xfId="0" applyNumberFormat="1" applyFont="1" applyFill="1" applyBorder="1" applyAlignment="1" applyProtection="1">
      <alignment horizontal="center" vertical="center" wrapText="1"/>
      <protection hidden="1"/>
    </xf>
    <xf numFmtId="164" fontId="1" fillId="58" borderId="55" xfId="0" applyNumberFormat="1" applyFont="1" applyFill="1" applyBorder="1" applyAlignment="1" applyProtection="1">
      <alignment horizontal="center" vertical="center" wrapText="1"/>
      <protection hidden="1"/>
    </xf>
    <xf numFmtId="10" fontId="1" fillId="60" borderId="55" xfId="90" applyNumberFormat="1" applyFont="1" applyFill="1" applyBorder="1" applyAlignment="1" applyProtection="1">
      <alignment horizontal="center" vertical="center" wrapText="1"/>
      <protection hidden="1"/>
    </xf>
    <xf numFmtId="10" fontId="2" fillId="48" borderId="0" xfId="90" applyNumberFormat="1" applyFont="1" applyFill="1" applyBorder="1" applyAlignment="1" applyProtection="1">
      <alignment horizontal="center" vertical="center" wrapText="1"/>
      <protection hidden="1"/>
    </xf>
    <xf numFmtId="169" fontId="1" fillId="59" borderId="55" xfId="0" applyNumberFormat="1" applyFont="1" applyFill="1" applyBorder="1" applyAlignment="1" applyProtection="1">
      <alignment horizontal="center" vertical="center" wrapText="1"/>
      <protection hidden="1"/>
    </xf>
    <xf numFmtId="4" fontId="1" fillId="59" borderId="55" xfId="0" applyNumberFormat="1" applyFont="1" applyFill="1" applyBorder="1" applyAlignment="1" applyProtection="1">
      <alignment horizontal="center" vertical="center" wrapText="1"/>
      <protection hidden="1"/>
    </xf>
    <xf numFmtId="169" fontId="34" fillId="48" borderId="0" xfId="0" applyNumberFormat="1" applyFont="1" applyFill="1" applyBorder="1" applyAlignment="1" applyProtection="1">
      <alignment horizontal="center" vertical="center" wrapText="1"/>
      <protection hidden="1"/>
    </xf>
    <xf numFmtId="169" fontId="1" fillId="59" borderId="50" xfId="0" applyNumberFormat="1" applyFont="1" applyFill="1" applyBorder="1" applyAlignment="1" applyProtection="1">
      <alignment horizontal="center" vertical="center" wrapText="1"/>
      <protection hidden="1"/>
    </xf>
    <xf numFmtId="43" fontId="34" fillId="48" borderId="0" xfId="56" applyFont="1" applyFill="1" applyBorder="1" applyAlignment="1" applyProtection="1">
      <alignment horizontal="center" vertical="center" wrapText="1"/>
      <protection hidden="1"/>
    </xf>
    <xf numFmtId="0" fontId="2" fillId="48" borderId="0" xfId="0" applyFont="1" applyFill="1" applyBorder="1" applyAlignment="1" applyProtection="1">
      <alignment vertical="center" wrapText="1"/>
      <protection hidden="1"/>
    </xf>
    <xf numFmtId="3" fontId="17" fillId="48" borderId="0" xfId="74" applyNumberFormat="1" applyFill="1" applyBorder="1" applyAlignment="1" applyProtection="1">
      <alignment horizontal="center" vertical="center" wrapText="1"/>
      <protection hidden="1"/>
    </xf>
    <xf numFmtId="0" fontId="17" fillId="48" borderId="0" xfId="74" applyFill="1" applyBorder="1" applyAlignment="1" applyProtection="1">
      <alignment horizontal="center" vertical="center" wrapText="1"/>
      <protection hidden="1"/>
    </xf>
    <xf numFmtId="0" fontId="48" fillId="48" borderId="0" xfId="0" applyFont="1" applyFill="1" applyProtection="1">
      <protection hidden="1"/>
    </xf>
    <xf numFmtId="0" fontId="48" fillId="48" borderId="0" xfId="0" applyFont="1" applyFill="1" applyAlignment="1" applyProtection="1">
      <alignment horizontal="right"/>
      <protection hidden="1"/>
    </xf>
    <xf numFmtId="0" fontId="17" fillId="48" borderId="0" xfId="74" applyFill="1" applyAlignment="1" applyProtection="1">
      <protection hidden="1"/>
    </xf>
    <xf numFmtId="3" fontId="17" fillId="0" borderId="66" xfId="74" applyNumberFormat="1" applyFill="1" applyBorder="1" applyAlignment="1" applyProtection="1">
      <alignment horizontal="center" vertical="center" wrapText="1"/>
      <protection hidden="1"/>
    </xf>
    <xf numFmtId="0" fontId="80" fillId="48" borderId="22" xfId="0" applyFont="1" applyFill="1" applyBorder="1" applyAlignment="1" applyProtection="1">
      <alignment horizontal="left"/>
      <protection hidden="1"/>
    </xf>
    <xf numFmtId="0" fontId="81" fillId="48" borderId="49" xfId="0" applyFont="1" applyFill="1" applyBorder="1" applyAlignment="1" applyProtection="1">
      <alignment horizontal="left"/>
      <protection hidden="1"/>
    </xf>
    <xf numFmtId="0" fontId="81" fillId="48" borderId="57" xfId="0" applyFont="1" applyFill="1" applyBorder="1" applyAlignment="1" applyProtection="1">
      <alignment horizontal="left"/>
      <protection hidden="1"/>
    </xf>
    <xf numFmtId="168" fontId="0" fillId="48" borderId="0" xfId="55" applyNumberFormat="1" applyFont="1" applyFill="1" applyProtection="1">
      <protection hidden="1"/>
    </xf>
    <xf numFmtId="0" fontId="51" fillId="48" borderId="16" xfId="0" applyFont="1" applyFill="1" applyBorder="1" applyAlignment="1" applyProtection="1">
      <alignment horizontal="left" vertical="center"/>
      <protection hidden="1"/>
    </xf>
    <xf numFmtId="0" fontId="34" fillId="48" borderId="16" xfId="0" applyFont="1" applyFill="1" applyBorder="1" applyAlignment="1" applyProtection="1">
      <alignment horizontal="left" vertical="center"/>
      <protection hidden="1"/>
    </xf>
    <xf numFmtId="3" fontId="0" fillId="48" borderId="0" xfId="0" applyNumberFormat="1" applyFill="1" applyProtection="1">
      <protection hidden="1"/>
    </xf>
    <xf numFmtId="0" fontId="21" fillId="48" borderId="0" xfId="0" applyFont="1" applyFill="1" applyProtection="1">
      <protection hidden="1"/>
    </xf>
    <xf numFmtId="0" fontId="47" fillId="48" borderId="0" xfId="0" applyFont="1" applyFill="1" applyProtection="1">
      <protection hidden="1"/>
    </xf>
    <xf numFmtId="0" fontId="1" fillId="53" borderId="127" xfId="0" applyFont="1" applyFill="1" applyBorder="1" applyAlignment="1" applyProtection="1">
      <alignment horizontal="center" vertical="center"/>
      <protection hidden="1"/>
    </xf>
    <xf numFmtId="0" fontId="1" fillId="54" borderId="21" xfId="0" applyFont="1" applyFill="1" applyBorder="1" applyProtection="1">
      <protection hidden="1"/>
    </xf>
    <xf numFmtId="0" fontId="1" fillId="53" borderId="43" xfId="0" applyFont="1" applyFill="1" applyBorder="1" applyProtection="1">
      <protection hidden="1"/>
    </xf>
    <xf numFmtId="0" fontId="1" fillId="53" borderId="44" xfId="0" applyFont="1" applyFill="1" applyBorder="1" applyProtection="1">
      <protection hidden="1"/>
    </xf>
    <xf numFmtId="0" fontId="1" fillId="54" borderId="23" xfId="0" applyFont="1" applyFill="1" applyBorder="1" applyProtection="1">
      <protection hidden="1"/>
    </xf>
    <xf numFmtId="0" fontId="82" fillId="48" borderId="0" xfId="0" applyFont="1" applyFill="1" applyBorder="1" applyAlignment="1" applyProtection="1">
      <alignment vertical="center"/>
      <protection hidden="1"/>
    </xf>
    <xf numFmtId="187" fontId="0" fillId="48" borderId="0" xfId="0" applyNumberFormat="1" applyFill="1" applyProtection="1">
      <protection hidden="1"/>
    </xf>
    <xf numFmtId="0" fontId="34" fillId="57" borderId="16" xfId="0" applyFont="1" applyFill="1" applyBorder="1" applyAlignment="1" applyProtection="1">
      <alignment horizontal="center" vertical="center"/>
      <protection hidden="1"/>
    </xf>
    <xf numFmtId="0" fontId="74" fillId="48" borderId="39" xfId="0" applyFont="1" applyFill="1" applyBorder="1" applyAlignment="1" applyProtection="1">
      <alignment vertical="center"/>
      <protection hidden="1"/>
    </xf>
    <xf numFmtId="0" fontId="35" fillId="48" borderId="39" xfId="0" applyFont="1" applyFill="1" applyBorder="1" applyAlignment="1" applyProtection="1">
      <alignment vertical="center"/>
      <protection hidden="1"/>
    </xf>
    <xf numFmtId="0" fontId="32" fillId="48" borderId="68" xfId="0" applyFont="1" applyFill="1" applyBorder="1" applyAlignment="1" applyProtection="1">
      <alignment vertical="center"/>
      <protection hidden="1"/>
    </xf>
    <xf numFmtId="49" fontId="21" fillId="48" borderId="0" xfId="0" applyNumberFormat="1" applyFont="1" applyFill="1" applyProtection="1">
      <protection hidden="1"/>
    </xf>
    <xf numFmtId="0" fontId="21" fillId="48" borderId="0" xfId="0" applyNumberFormat="1" applyFont="1" applyFill="1" applyAlignment="1" applyProtection="1">
      <protection hidden="1"/>
    </xf>
    <xf numFmtId="0" fontId="0" fillId="48" borderId="0" xfId="0" applyNumberFormat="1" applyFill="1" applyProtection="1">
      <protection hidden="1"/>
    </xf>
    <xf numFmtId="0" fontId="82" fillId="48" borderId="0" xfId="0" applyFont="1" applyFill="1" applyProtection="1">
      <protection hidden="1"/>
    </xf>
    <xf numFmtId="0" fontId="36" fillId="48" borderId="0" xfId="0" applyFont="1" applyFill="1" applyAlignment="1" applyProtection="1">
      <alignment horizontal="centerContinuous"/>
      <protection hidden="1"/>
    </xf>
    <xf numFmtId="0" fontId="51" fillId="48" borderId="0" xfId="0" applyFont="1" applyFill="1" applyProtection="1">
      <protection hidden="1"/>
    </xf>
    <xf numFmtId="0" fontId="34" fillId="48" borderId="0" xfId="0" applyFont="1" applyFill="1" applyAlignment="1" applyProtection="1">
      <alignment horizontal="center"/>
      <protection hidden="1"/>
    </xf>
    <xf numFmtId="0" fontId="34" fillId="48" borderId="0" xfId="0" applyFont="1" applyFill="1" applyProtection="1">
      <protection hidden="1"/>
    </xf>
    <xf numFmtId="49" fontId="51" fillId="48" borderId="0" xfId="0" applyNumberFormat="1" applyFont="1" applyFill="1" applyProtection="1">
      <protection hidden="1"/>
    </xf>
    <xf numFmtId="3" fontId="51" fillId="48" borderId="0" xfId="0" applyNumberFormat="1" applyFont="1" applyFill="1" applyProtection="1">
      <protection hidden="1"/>
    </xf>
    <xf numFmtId="37" fontId="51" fillId="48" borderId="0" xfId="0" applyNumberFormat="1" applyFont="1" applyFill="1" applyProtection="1">
      <protection hidden="1"/>
    </xf>
    <xf numFmtId="0" fontId="51" fillId="48" borderId="13" xfId="0" applyFont="1" applyFill="1" applyBorder="1" applyProtection="1">
      <protection hidden="1"/>
    </xf>
    <xf numFmtId="0" fontId="51" fillId="48" borderId="21" xfId="0" applyNumberFormat="1" applyFont="1" applyFill="1" applyBorder="1" applyProtection="1">
      <protection hidden="1"/>
    </xf>
    <xf numFmtId="0" fontId="34" fillId="55" borderId="17" xfId="0" applyFont="1" applyFill="1" applyBorder="1" applyAlignment="1" applyProtection="1">
      <alignment horizontal="center"/>
      <protection hidden="1"/>
    </xf>
    <xf numFmtId="0" fontId="34" fillId="55" borderId="69" xfId="0" applyFont="1" applyFill="1" applyBorder="1" applyAlignment="1" applyProtection="1">
      <alignment horizontal="center"/>
      <protection hidden="1"/>
    </xf>
    <xf numFmtId="0" fontId="51" fillId="48" borderId="0" xfId="0" applyFont="1" applyFill="1" applyBorder="1" applyProtection="1">
      <protection hidden="1"/>
    </xf>
    <xf numFmtId="0" fontId="34" fillId="55" borderId="34" xfId="0" applyFont="1" applyFill="1" applyBorder="1" applyAlignment="1" applyProtection="1">
      <alignment horizontal="center"/>
      <protection hidden="1"/>
    </xf>
    <xf numFmtId="3" fontId="34" fillId="55" borderId="45" xfId="55" applyNumberFormat="1" applyFont="1" applyFill="1" applyBorder="1" applyAlignment="1" applyProtection="1">
      <alignment horizontal="center"/>
      <protection hidden="1"/>
    </xf>
    <xf numFmtId="0" fontId="34" fillId="55" borderId="23" xfId="0" applyFont="1" applyFill="1" applyBorder="1" applyAlignment="1" applyProtection="1">
      <alignment horizontal="center"/>
      <protection hidden="1"/>
    </xf>
    <xf numFmtId="0" fontId="21" fillId="48" borderId="49" xfId="0" applyFont="1" applyFill="1" applyBorder="1" applyAlignment="1" applyProtection="1">
      <alignment horizontal="center" vertical="center"/>
      <protection hidden="1"/>
    </xf>
    <xf numFmtId="3" fontId="1" fillId="45" borderId="96" xfId="0" applyNumberFormat="1" applyFont="1" applyFill="1" applyBorder="1" applyAlignment="1" applyProtection="1">
      <alignment horizontal="center" vertical="center"/>
      <protection hidden="1"/>
    </xf>
    <xf numFmtId="0" fontId="1" fillId="45" borderId="96" xfId="0" applyNumberFormat="1" applyFont="1" applyFill="1" applyBorder="1" applyAlignment="1" applyProtection="1">
      <alignment horizontal="center" vertical="center"/>
      <protection hidden="1"/>
    </xf>
    <xf numFmtId="0" fontId="1" fillId="45" borderId="151" xfId="0" applyNumberFormat="1" applyFont="1" applyFill="1" applyBorder="1" applyAlignment="1" applyProtection="1">
      <alignment horizontal="center" vertical="center"/>
      <protection hidden="1"/>
    </xf>
    <xf numFmtId="3" fontId="1" fillId="48" borderId="0" xfId="0" applyNumberFormat="1" applyFont="1" applyFill="1" applyBorder="1" applyAlignment="1" applyProtection="1">
      <alignment vertical="center"/>
      <protection hidden="1"/>
    </xf>
    <xf numFmtId="187" fontId="1" fillId="52" borderId="96" xfId="0" applyNumberFormat="1" applyFont="1" applyFill="1" applyBorder="1" applyAlignment="1" applyProtection="1">
      <alignment horizontal="center" vertical="center"/>
      <protection hidden="1"/>
    </xf>
    <xf numFmtId="3" fontId="1" fillId="52" borderId="96" xfId="0" applyNumberFormat="1" applyFont="1" applyFill="1" applyBorder="1" applyAlignment="1" applyProtection="1">
      <alignment horizontal="center" vertical="center"/>
      <protection hidden="1"/>
    </xf>
    <xf numFmtId="0" fontId="1" fillId="52" borderId="96" xfId="0" applyNumberFormat="1" applyFont="1" applyFill="1" applyBorder="1" applyAlignment="1" applyProtection="1">
      <alignment horizontal="center" vertical="center"/>
      <protection hidden="1"/>
    </xf>
    <xf numFmtId="0" fontId="1" fillId="52" borderId="101" xfId="0" applyNumberFormat="1" applyFont="1" applyFill="1" applyBorder="1" applyAlignment="1" applyProtection="1">
      <alignment horizontal="center" vertical="center"/>
      <protection hidden="1"/>
    </xf>
    <xf numFmtId="3" fontId="1" fillId="52" borderId="131" xfId="0" applyNumberFormat="1" applyFont="1" applyFill="1" applyBorder="1" applyAlignment="1" applyProtection="1">
      <alignment horizontal="center" vertical="center"/>
      <protection hidden="1"/>
    </xf>
    <xf numFmtId="0" fontId="1" fillId="48" borderId="61" xfId="0" applyNumberFormat="1" applyFont="1" applyFill="1" applyBorder="1" applyAlignment="1" applyProtection="1">
      <alignment horizontal="center" vertical="center"/>
      <protection hidden="1"/>
    </xf>
    <xf numFmtId="0" fontId="1" fillId="48" borderId="70" xfId="0" applyNumberFormat="1" applyFont="1" applyFill="1" applyBorder="1" applyAlignment="1" applyProtection="1">
      <alignment horizontal="center" vertical="center"/>
      <protection hidden="1"/>
    </xf>
    <xf numFmtId="0" fontId="1" fillId="45" borderId="141" xfId="0" applyFont="1" applyFill="1" applyBorder="1" applyAlignment="1" applyProtection="1">
      <alignment horizontal="center" vertical="center"/>
      <protection locked="0"/>
    </xf>
    <xf numFmtId="0" fontId="1" fillId="45" borderId="142" xfId="0" applyFont="1" applyFill="1" applyBorder="1" applyAlignment="1" applyProtection="1">
      <alignment horizontal="center" vertical="center"/>
      <protection locked="0"/>
    </xf>
    <xf numFmtId="0" fontId="55" fillId="48" borderId="0" xfId="0" applyFont="1" applyFill="1" applyAlignment="1" applyProtection="1">
      <alignment horizontal="center" vertical="center"/>
      <protection hidden="1"/>
    </xf>
    <xf numFmtId="0" fontId="55" fillId="48" borderId="0" xfId="0" applyFont="1" applyFill="1" applyAlignment="1" applyProtection="1">
      <alignment horizontal="left" vertical="center"/>
      <protection hidden="1"/>
    </xf>
    <xf numFmtId="3" fontId="55" fillId="48" borderId="0" xfId="0" applyNumberFormat="1" applyFont="1" applyFill="1" applyAlignment="1" applyProtection="1">
      <alignment horizontal="center" vertical="center"/>
      <protection hidden="1"/>
    </xf>
    <xf numFmtId="0" fontId="21" fillId="48" borderId="0" xfId="0" applyFont="1" applyFill="1" applyAlignment="1" applyProtection="1">
      <alignment horizontal="center" vertical="center" wrapText="1"/>
      <protection hidden="1"/>
    </xf>
    <xf numFmtId="0" fontId="1" fillId="48" borderId="0" xfId="0" applyFont="1" applyFill="1" applyAlignment="1" applyProtection="1">
      <alignment horizontal="center" vertical="center" wrapText="1"/>
      <protection hidden="1"/>
    </xf>
    <xf numFmtId="0" fontId="55" fillId="48" borderId="0" xfId="0" applyFont="1" applyFill="1" applyAlignment="1" applyProtection="1">
      <alignment horizontal="center" vertical="center" wrapText="1"/>
      <protection hidden="1"/>
    </xf>
    <xf numFmtId="0" fontId="58" fillId="48" borderId="0" xfId="0" applyFont="1" applyFill="1" applyBorder="1" applyAlignment="1" applyProtection="1">
      <alignment horizontal="center" vertical="center"/>
      <protection hidden="1"/>
    </xf>
    <xf numFmtId="0" fontId="43" fillId="55" borderId="36" xfId="0" applyFont="1" applyFill="1" applyBorder="1" applyAlignment="1" applyProtection="1">
      <alignment horizontal="center" vertical="center" wrapText="1"/>
      <protection hidden="1"/>
    </xf>
    <xf numFmtId="0" fontId="43" fillId="55" borderId="37" xfId="0" applyFont="1" applyFill="1" applyBorder="1" applyAlignment="1" applyProtection="1">
      <alignment horizontal="center" vertical="center" wrapText="1"/>
      <protection hidden="1"/>
    </xf>
    <xf numFmtId="0" fontId="55" fillId="48" borderId="0" xfId="0" applyFont="1" applyFill="1" applyBorder="1" applyAlignment="1" applyProtection="1">
      <alignment horizontal="center" vertical="center" wrapText="1"/>
      <protection hidden="1"/>
    </xf>
    <xf numFmtId="0" fontId="58" fillId="48" borderId="0" xfId="0" applyFont="1" applyFill="1" applyBorder="1" applyAlignment="1" applyProtection="1">
      <alignment horizontal="center" vertical="center" textRotation="90"/>
      <protection hidden="1"/>
    </xf>
    <xf numFmtId="0" fontId="0" fillId="48" borderId="0" xfId="0" applyFill="1" applyAlignment="1" applyProtection="1">
      <alignment horizontal="center" vertical="center"/>
      <protection hidden="1"/>
    </xf>
    <xf numFmtId="0" fontId="37" fillId="48" borderId="0" xfId="0" applyFont="1" applyFill="1" applyAlignment="1" applyProtection="1">
      <alignment horizontal="center" vertical="center"/>
      <protection hidden="1"/>
    </xf>
    <xf numFmtId="0" fontId="2" fillId="48" borderId="62" xfId="0" applyFont="1" applyFill="1" applyBorder="1" applyAlignment="1" applyProtection="1">
      <alignment horizontal="left" vertical="center" wrapText="1"/>
      <protection hidden="1"/>
    </xf>
    <xf numFmtId="0" fontId="37" fillId="48" borderId="47" xfId="0" applyFont="1" applyFill="1" applyBorder="1" applyAlignment="1" applyProtection="1">
      <alignment horizontal="center" vertical="center" wrapText="1"/>
      <protection hidden="1"/>
    </xf>
    <xf numFmtId="0" fontId="37" fillId="48" borderId="16" xfId="0" applyFont="1" applyFill="1" applyBorder="1" applyAlignment="1" applyProtection="1">
      <alignment horizontal="center" vertical="center" wrapText="1"/>
      <protection hidden="1"/>
    </xf>
    <xf numFmtId="0" fontId="37" fillId="48" borderId="19" xfId="0" applyFont="1" applyFill="1" applyBorder="1" applyAlignment="1" applyProtection="1">
      <alignment horizontal="center" vertical="center" wrapText="1"/>
      <protection hidden="1"/>
    </xf>
    <xf numFmtId="0" fontId="37" fillId="48" borderId="0" xfId="0" applyFont="1" applyFill="1" applyBorder="1" applyAlignment="1" applyProtection="1">
      <alignment horizontal="center" vertical="center"/>
      <protection hidden="1"/>
    </xf>
    <xf numFmtId="0" fontId="46" fillId="48" borderId="0" xfId="0" applyFont="1" applyFill="1" applyBorder="1" applyAlignment="1" applyProtection="1">
      <alignment horizontal="center" vertical="center"/>
      <protection hidden="1"/>
    </xf>
    <xf numFmtId="0" fontId="127" fillId="48" borderId="0" xfId="0" applyFont="1" applyFill="1" applyAlignment="1" applyProtection="1">
      <alignment horizontal="center" vertical="center"/>
      <protection hidden="1"/>
    </xf>
    <xf numFmtId="0" fontId="55" fillId="48" borderId="0" xfId="0" applyFont="1" applyFill="1" applyBorder="1" applyAlignment="1" applyProtection="1">
      <alignment horizontal="center" vertical="center"/>
      <protection hidden="1"/>
    </xf>
    <xf numFmtId="0" fontId="51" fillId="54" borderId="16" xfId="0" applyFont="1" applyFill="1" applyBorder="1" applyAlignment="1" applyProtection="1">
      <alignment horizontal="center" vertical="center" wrapText="1"/>
      <protection hidden="1"/>
    </xf>
    <xf numFmtId="166" fontId="51" fillId="52" borderId="16" xfId="0" applyNumberFormat="1" applyFont="1" applyFill="1" applyBorder="1" applyAlignment="1" applyProtection="1">
      <alignment horizontal="center" vertical="center"/>
      <protection hidden="1"/>
    </xf>
    <xf numFmtId="166" fontId="51" fillId="52" borderId="19" xfId="0" applyNumberFormat="1" applyFont="1" applyFill="1" applyBorder="1" applyAlignment="1" applyProtection="1">
      <alignment horizontal="center" vertical="center"/>
      <protection hidden="1"/>
    </xf>
    <xf numFmtId="170" fontId="51" fillId="52" borderId="16" xfId="0" applyNumberFormat="1" applyFont="1" applyFill="1" applyBorder="1" applyAlignment="1" applyProtection="1">
      <alignment horizontal="center" vertical="center"/>
      <protection hidden="1"/>
    </xf>
    <xf numFmtId="170" fontId="51" fillId="52" borderId="19" xfId="0" applyNumberFormat="1" applyFont="1" applyFill="1" applyBorder="1" applyAlignment="1" applyProtection="1">
      <alignment horizontal="center" vertical="center"/>
      <protection hidden="1"/>
    </xf>
    <xf numFmtId="2" fontId="55" fillId="48" borderId="0" xfId="0" applyNumberFormat="1" applyFont="1" applyFill="1" applyBorder="1" applyAlignment="1" applyProtection="1">
      <alignment horizontal="center" vertical="center"/>
      <protection hidden="1"/>
    </xf>
    <xf numFmtId="184" fontId="55" fillId="48" borderId="0" xfId="0" applyNumberFormat="1" applyFont="1" applyFill="1" applyBorder="1" applyAlignment="1" applyProtection="1">
      <alignment horizontal="center" vertical="center"/>
      <protection hidden="1"/>
    </xf>
    <xf numFmtId="0" fontId="51" fillId="48" borderId="18" xfId="0" applyFont="1" applyFill="1" applyBorder="1" applyAlignment="1" applyProtection="1">
      <alignment horizontal="left" vertical="center" wrapText="1"/>
      <protection hidden="1"/>
    </xf>
    <xf numFmtId="0" fontId="51" fillId="48" borderId="16" xfId="0" applyFont="1" applyFill="1" applyBorder="1" applyAlignment="1" applyProtection="1">
      <alignment horizontal="center" vertical="center" wrapText="1"/>
      <protection hidden="1"/>
    </xf>
    <xf numFmtId="3" fontId="51" fillId="48" borderId="16" xfId="0" applyNumberFormat="1" applyFont="1" applyFill="1" applyBorder="1" applyAlignment="1" applyProtection="1">
      <alignment horizontal="center" vertical="center" wrapText="1"/>
      <protection hidden="1"/>
    </xf>
    <xf numFmtId="3" fontId="51" fillId="48" borderId="19" xfId="0" applyNumberFormat="1" applyFont="1" applyFill="1" applyBorder="1" applyAlignment="1" applyProtection="1">
      <alignment horizontal="center" vertical="center" wrapText="1"/>
      <protection hidden="1"/>
    </xf>
    <xf numFmtId="4" fontId="55" fillId="48" borderId="0" xfId="0" applyNumberFormat="1" applyFont="1" applyFill="1" applyBorder="1" applyAlignment="1" applyProtection="1">
      <alignment horizontal="center" vertical="center"/>
      <protection hidden="1"/>
    </xf>
    <xf numFmtId="9" fontId="55" fillId="48" borderId="0" xfId="0" applyNumberFormat="1" applyFont="1" applyFill="1" applyBorder="1" applyAlignment="1" applyProtection="1">
      <alignment horizontal="center" vertical="center"/>
      <protection hidden="1"/>
    </xf>
    <xf numFmtId="3" fontId="55" fillId="48" borderId="0" xfId="0" applyNumberFormat="1" applyFont="1" applyFill="1" applyBorder="1" applyAlignment="1" applyProtection="1">
      <alignment horizontal="center" vertical="center"/>
      <protection hidden="1"/>
    </xf>
    <xf numFmtId="0" fontId="46" fillId="48" borderId="0" xfId="0" applyFont="1" applyFill="1" applyAlignment="1" applyProtection="1">
      <alignment horizontal="center" vertical="center"/>
      <protection hidden="1"/>
    </xf>
    <xf numFmtId="0" fontId="51" fillId="54" borderId="31" xfId="0" applyFont="1" applyFill="1" applyBorder="1" applyAlignment="1" applyProtection="1">
      <alignment horizontal="left" vertical="center" wrapText="1"/>
      <protection hidden="1"/>
    </xf>
    <xf numFmtId="0" fontId="51" fillId="54" borderId="32" xfId="0" applyFont="1" applyFill="1" applyBorder="1" applyAlignment="1" applyProtection="1">
      <alignment horizontal="center" vertical="center" wrapText="1"/>
      <protection hidden="1"/>
    </xf>
    <xf numFmtId="0" fontId="51" fillId="54" borderId="76" xfId="0" applyFont="1" applyFill="1" applyBorder="1" applyAlignment="1" applyProtection="1">
      <alignment horizontal="center" vertical="center" wrapText="1"/>
      <protection hidden="1"/>
    </xf>
    <xf numFmtId="3" fontId="34" fillId="54" borderId="76" xfId="0" applyNumberFormat="1" applyFont="1" applyFill="1" applyBorder="1" applyAlignment="1" applyProtection="1">
      <alignment horizontal="center" vertical="center" wrapText="1"/>
      <protection hidden="1"/>
    </xf>
    <xf numFmtId="3" fontId="34" fillId="54" borderId="65" xfId="0" applyNumberFormat="1" applyFont="1" applyFill="1" applyBorder="1" applyAlignment="1" applyProtection="1">
      <alignment horizontal="center" vertical="center" wrapText="1"/>
      <protection hidden="1"/>
    </xf>
    <xf numFmtId="3" fontId="50" fillId="48" borderId="0" xfId="0" applyNumberFormat="1" applyFont="1" applyFill="1" applyBorder="1" applyAlignment="1" applyProtection="1">
      <alignment horizontal="center" vertical="center"/>
      <protection hidden="1"/>
    </xf>
    <xf numFmtId="0" fontId="58" fillId="48" borderId="0" xfId="0" applyFont="1" applyFill="1" applyBorder="1" applyAlignment="1" applyProtection="1">
      <alignment horizontal="center" vertical="center" textRotation="90" wrapText="1"/>
      <protection hidden="1"/>
    </xf>
    <xf numFmtId="0" fontId="55" fillId="48" borderId="0" xfId="0" applyFont="1" applyFill="1" applyBorder="1" applyAlignment="1" applyProtection="1">
      <alignment horizontal="left" vertical="center" wrapText="1"/>
      <protection hidden="1"/>
    </xf>
    <xf numFmtId="0" fontId="32" fillId="48" borderId="20" xfId="0" applyFont="1" applyFill="1" applyBorder="1" applyAlignment="1" applyProtection="1">
      <alignment horizontal="left" vertical="center"/>
      <protection hidden="1"/>
    </xf>
    <xf numFmtId="0" fontId="32" fillId="48" borderId="13" xfId="0" applyFont="1" applyFill="1" applyBorder="1" applyAlignment="1" applyProtection="1">
      <alignment horizontal="center" vertical="center"/>
      <protection hidden="1"/>
    </xf>
    <xf numFmtId="0" fontId="55" fillId="48" borderId="13" xfId="0" applyFont="1" applyFill="1" applyBorder="1" applyAlignment="1" applyProtection="1">
      <alignment horizontal="center" vertical="center"/>
      <protection hidden="1"/>
    </xf>
    <xf numFmtId="0" fontId="128" fillId="48" borderId="0" xfId="0" applyFont="1" applyFill="1" applyAlignment="1" applyProtection="1">
      <alignment horizontal="center" vertical="center"/>
      <protection hidden="1"/>
    </xf>
    <xf numFmtId="0" fontId="46" fillId="48" borderId="39" xfId="0" applyFont="1" applyFill="1" applyBorder="1" applyAlignment="1" applyProtection="1">
      <alignment horizontal="left" vertical="center"/>
      <protection hidden="1"/>
    </xf>
    <xf numFmtId="168" fontId="46" fillId="48" borderId="0" xfId="56" applyNumberFormat="1" applyFont="1" applyFill="1" applyBorder="1" applyAlignment="1" applyProtection="1">
      <alignment horizontal="center" vertical="center"/>
      <protection hidden="1"/>
    </xf>
    <xf numFmtId="43" fontId="46" fillId="48" borderId="0" xfId="56" applyNumberFormat="1" applyFont="1" applyFill="1" applyBorder="1" applyAlignment="1" applyProtection="1">
      <alignment horizontal="center" vertical="center"/>
      <protection hidden="1"/>
    </xf>
    <xf numFmtId="0" fontId="32" fillId="48" borderId="62" xfId="0" applyFont="1" applyFill="1" applyBorder="1" applyAlignment="1" applyProtection="1">
      <alignment horizontal="left" vertical="center"/>
      <protection hidden="1"/>
    </xf>
    <xf numFmtId="0" fontId="57" fillId="48" borderId="61" xfId="0" applyFont="1" applyFill="1" applyBorder="1" applyAlignment="1" applyProtection="1">
      <alignment horizontal="center" vertical="center"/>
      <protection hidden="1"/>
    </xf>
    <xf numFmtId="43" fontId="57" fillId="48" borderId="47" xfId="56" applyNumberFormat="1" applyFont="1" applyFill="1" applyBorder="1" applyAlignment="1" applyProtection="1">
      <alignment horizontal="center" vertical="center"/>
      <protection hidden="1"/>
    </xf>
    <xf numFmtId="0" fontId="55" fillId="48" borderId="39" xfId="0" applyFont="1" applyFill="1" applyBorder="1" applyAlignment="1" applyProtection="1">
      <alignment horizontal="left" vertical="center"/>
      <protection hidden="1"/>
    </xf>
    <xf numFmtId="0" fontId="2" fillId="48" borderId="39" xfId="0" applyFont="1" applyFill="1" applyBorder="1" applyAlignment="1" applyProtection="1">
      <alignment horizontal="left" vertical="center"/>
      <protection hidden="1"/>
    </xf>
    <xf numFmtId="43" fontId="55" fillId="48" borderId="47" xfId="55" applyFont="1" applyFill="1" applyBorder="1" applyAlignment="1" applyProtection="1">
      <alignment horizontal="center" vertical="center"/>
      <protection hidden="1"/>
    </xf>
    <xf numFmtId="0" fontId="46" fillId="48" borderId="19" xfId="0" applyFont="1" applyFill="1" applyBorder="1" applyAlignment="1" applyProtection="1">
      <alignment horizontal="center" vertical="center"/>
      <protection hidden="1"/>
    </xf>
    <xf numFmtId="0" fontId="55" fillId="48" borderId="47" xfId="0" applyFont="1" applyFill="1" applyBorder="1" applyAlignment="1" applyProtection="1">
      <alignment horizontal="center" vertical="center"/>
      <protection hidden="1"/>
    </xf>
    <xf numFmtId="0" fontId="56" fillId="48" borderId="39" xfId="0" applyFont="1" applyFill="1" applyBorder="1" applyAlignment="1" applyProtection="1">
      <alignment horizontal="left" vertical="center"/>
      <protection hidden="1"/>
    </xf>
    <xf numFmtId="0" fontId="56" fillId="48" borderId="0" xfId="0" applyFont="1" applyFill="1" applyBorder="1" applyAlignment="1" applyProtection="1">
      <alignment horizontal="center" vertical="center"/>
      <protection hidden="1"/>
    </xf>
    <xf numFmtId="173" fontId="55" fillId="48" borderId="63" xfId="56" applyNumberFormat="1" applyFont="1" applyFill="1" applyBorder="1" applyAlignment="1" applyProtection="1">
      <alignment horizontal="center" vertical="center"/>
      <protection hidden="1"/>
    </xf>
    <xf numFmtId="0" fontId="46" fillId="48" borderId="12" xfId="0" applyFont="1" applyFill="1" applyBorder="1" applyAlignment="1" applyProtection="1">
      <alignment horizontal="center" vertical="center"/>
      <protection hidden="1"/>
    </xf>
    <xf numFmtId="0" fontId="132" fillId="48" borderId="0" xfId="0" applyFont="1" applyFill="1" applyAlignment="1" applyProtection="1">
      <alignment horizontal="center" vertical="center"/>
      <protection hidden="1"/>
    </xf>
    <xf numFmtId="0" fontId="57" fillId="48" borderId="62" xfId="0" applyFont="1" applyFill="1" applyBorder="1" applyAlignment="1" applyProtection="1">
      <alignment horizontal="left" vertical="center"/>
      <protection hidden="1"/>
    </xf>
    <xf numFmtId="168" fontId="57" fillId="48" borderId="47" xfId="56" applyNumberFormat="1" applyFont="1" applyFill="1" applyBorder="1" applyAlignment="1" applyProtection="1">
      <alignment horizontal="center" vertical="center"/>
      <protection hidden="1"/>
    </xf>
    <xf numFmtId="0" fontId="35" fillId="48" borderId="39" xfId="0" applyFont="1" applyFill="1" applyBorder="1" applyAlignment="1" applyProtection="1">
      <alignment horizontal="left" vertical="center"/>
      <protection hidden="1"/>
    </xf>
    <xf numFmtId="0" fontId="35" fillId="48" borderId="0" xfId="0" applyFont="1" applyFill="1" applyBorder="1" applyAlignment="1" applyProtection="1">
      <alignment horizontal="center" vertical="center"/>
      <protection hidden="1"/>
    </xf>
    <xf numFmtId="168" fontId="35" fillId="48" borderId="0" xfId="56" applyNumberFormat="1" applyFont="1" applyFill="1" applyBorder="1" applyAlignment="1" applyProtection="1">
      <alignment horizontal="center" vertical="center"/>
      <protection hidden="1"/>
    </xf>
    <xf numFmtId="0" fontId="55" fillId="48" borderId="0" xfId="0" applyNumberFormat="1" applyFont="1" applyFill="1" applyAlignment="1" applyProtection="1">
      <alignment horizontal="center" vertical="center"/>
      <protection hidden="1"/>
    </xf>
    <xf numFmtId="0" fontId="21" fillId="48" borderId="0" xfId="0" applyNumberFormat="1" applyFont="1" applyFill="1" applyAlignment="1" applyProtection="1">
      <alignment horizontal="center" vertical="center"/>
      <protection hidden="1"/>
    </xf>
    <xf numFmtId="166" fontId="21" fillId="48" borderId="0" xfId="0" applyNumberFormat="1" applyFont="1" applyFill="1" applyAlignment="1" applyProtection="1">
      <alignment horizontal="center" vertical="center"/>
      <protection hidden="1"/>
    </xf>
    <xf numFmtId="168" fontId="55" fillId="48" borderId="0" xfId="0" applyNumberFormat="1" applyFont="1" applyFill="1" applyAlignment="1" applyProtection="1">
      <alignment horizontal="center" vertical="center"/>
      <protection hidden="1"/>
    </xf>
    <xf numFmtId="0" fontId="40" fillId="48" borderId="0" xfId="0" applyFont="1" applyFill="1" applyAlignment="1" applyProtection="1">
      <alignment horizontal="center" vertical="center"/>
      <protection hidden="1"/>
    </xf>
    <xf numFmtId="0" fontId="53" fillId="48" borderId="39" xfId="0" applyFont="1" applyFill="1" applyBorder="1" applyAlignment="1" applyProtection="1">
      <alignment horizontal="left" vertical="center"/>
      <protection hidden="1"/>
    </xf>
    <xf numFmtId="0" fontId="53" fillId="48" borderId="0" xfId="0" applyFont="1" applyFill="1" applyBorder="1" applyAlignment="1" applyProtection="1">
      <alignment horizontal="center" vertical="center"/>
      <protection hidden="1"/>
    </xf>
    <xf numFmtId="168" fontId="53" fillId="48" borderId="0" xfId="56" applyNumberFormat="1" applyFont="1" applyFill="1" applyBorder="1" applyAlignment="1" applyProtection="1">
      <alignment horizontal="center" vertical="center"/>
      <protection hidden="1"/>
    </xf>
    <xf numFmtId="0" fontId="57" fillId="48" borderId="58" xfId="0" applyFont="1" applyFill="1" applyBorder="1" applyAlignment="1" applyProtection="1">
      <alignment horizontal="center" vertical="center"/>
      <protection hidden="1"/>
    </xf>
    <xf numFmtId="168" fontId="57" fillId="48" borderId="61" xfId="56" applyNumberFormat="1" applyFont="1" applyFill="1" applyBorder="1" applyAlignment="1" applyProtection="1">
      <alignment horizontal="center" vertical="center"/>
      <protection hidden="1"/>
    </xf>
    <xf numFmtId="168" fontId="57" fillId="48" borderId="0" xfId="56" applyNumberFormat="1" applyFont="1" applyFill="1" applyBorder="1" applyAlignment="1" applyProtection="1">
      <alignment horizontal="center" vertical="center"/>
      <protection hidden="1"/>
    </xf>
    <xf numFmtId="0" fontId="57" fillId="48" borderId="0" xfId="0" applyFont="1" applyFill="1" applyBorder="1" applyAlignment="1" applyProtection="1">
      <alignment horizontal="center" vertical="center"/>
      <protection hidden="1"/>
    </xf>
    <xf numFmtId="0" fontId="57" fillId="48" borderId="0" xfId="0" applyNumberFormat="1" applyFont="1" applyFill="1" applyBorder="1" applyAlignment="1" applyProtection="1">
      <alignment horizontal="center" vertical="center"/>
      <protection hidden="1"/>
    </xf>
    <xf numFmtId="0" fontId="57" fillId="48" borderId="0" xfId="56" applyNumberFormat="1" applyFont="1" applyFill="1" applyBorder="1" applyAlignment="1" applyProtection="1">
      <alignment horizontal="center" vertical="center"/>
      <protection hidden="1"/>
    </xf>
    <xf numFmtId="0" fontId="32" fillId="48" borderId="75" xfId="0" applyFont="1" applyFill="1" applyBorder="1" applyAlignment="1" applyProtection="1">
      <alignment horizontal="left" vertical="center"/>
      <protection hidden="1"/>
    </xf>
    <xf numFmtId="0" fontId="57" fillId="48" borderId="10" xfId="0" applyFont="1" applyFill="1" applyBorder="1" applyAlignment="1" applyProtection="1">
      <alignment horizontal="center" vertical="center"/>
      <protection hidden="1"/>
    </xf>
    <xf numFmtId="168" fontId="57" fillId="48" borderId="63" xfId="56" applyNumberFormat="1" applyFont="1" applyFill="1" applyBorder="1" applyAlignment="1" applyProtection="1">
      <alignment horizontal="center" vertical="center"/>
      <protection hidden="1"/>
    </xf>
    <xf numFmtId="3" fontId="34" fillId="48" borderId="76" xfId="0" applyNumberFormat="1" applyFont="1" applyFill="1" applyBorder="1" applyAlignment="1" applyProtection="1">
      <alignment horizontal="center" vertical="center" wrapText="1"/>
      <protection hidden="1"/>
    </xf>
    <xf numFmtId="3" fontId="34" fillId="48" borderId="65" xfId="0" applyNumberFormat="1" applyFont="1" applyFill="1" applyBorder="1" applyAlignment="1" applyProtection="1">
      <alignment horizontal="center" vertical="center" wrapText="1"/>
      <protection hidden="1"/>
    </xf>
    <xf numFmtId="0" fontId="55" fillId="48" borderId="19" xfId="0" applyFont="1" applyFill="1" applyBorder="1" applyAlignment="1" applyProtection="1">
      <alignment horizontal="center" vertical="center"/>
      <protection hidden="1"/>
    </xf>
    <xf numFmtId="0" fontId="55" fillId="48" borderId="12" xfId="0" applyFont="1" applyFill="1" applyBorder="1" applyAlignment="1" applyProtection="1">
      <alignment horizontal="center" vertical="center"/>
      <protection hidden="1"/>
    </xf>
    <xf numFmtId="169" fontId="51" fillId="52" borderId="16" xfId="0" applyNumberFormat="1" applyFont="1" applyFill="1" applyBorder="1" applyAlignment="1" applyProtection="1">
      <alignment horizontal="center" vertical="center" wrapText="1"/>
      <protection hidden="1"/>
    </xf>
    <xf numFmtId="169" fontId="51" fillId="52" borderId="19" xfId="0" applyNumberFormat="1" applyFont="1" applyFill="1" applyBorder="1" applyAlignment="1" applyProtection="1">
      <alignment horizontal="center" vertical="center" wrapText="1"/>
      <protection hidden="1"/>
    </xf>
    <xf numFmtId="164" fontId="51" fillId="52" borderId="16" xfId="0" applyNumberFormat="1" applyFont="1" applyFill="1" applyBorder="1" applyAlignment="1" applyProtection="1">
      <alignment horizontal="center" vertical="center" wrapText="1"/>
      <protection hidden="1"/>
    </xf>
    <xf numFmtId="164" fontId="51" fillId="52" borderId="19" xfId="0" applyNumberFormat="1" applyFont="1" applyFill="1" applyBorder="1" applyAlignment="1" applyProtection="1">
      <alignment horizontal="center" vertical="center" wrapText="1"/>
      <protection hidden="1"/>
    </xf>
    <xf numFmtId="0" fontId="21" fillId="48" borderId="0" xfId="0" applyFont="1" applyFill="1" applyAlignment="1" applyProtection="1">
      <alignment horizontal="center" vertical="center"/>
      <protection hidden="1"/>
    </xf>
    <xf numFmtId="3" fontId="77" fillId="53" borderId="65" xfId="0" applyNumberFormat="1" applyFont="1" applyFill="1" applyBorder="1" applyAlignment="1" applyProtection="1">
      <alignment horizontal="center" vertical="center"/>
      <protection hidden="1"/>
    </xf>
    <xf numFmtId="3" fontId="77" fillId="53" borderId="66" xfId="0" applyNumberFormat="1" applyFont="1" applyFill="1" applyBorder="1" applyAlignment="1" applyProtection="1">
      <alignment horizontal="center" vertical="center"/>
      <protection hidden="1"/>
    </xf>
    <xf numFmtId="0" fontId="55" fillId="48" borderId="0" xfId="0" applyFont="1" applyFill="1" applyBorder="1" applyAlignment="1" applyProtection="1">
      <alignment horizontal="center" vertical="center"/>
      <protection locked="0"/>
    </xf>
    <xf numFmtId="0" fontId="51" fillId="48" borderId="0" xfId="0" applyFont="1" applyFill="1" applyAlignment="1" applyProtection="1">
      <alignment horizontal="center" vertical="center"/>
      <protection hidden="1"/>
    </xf>
    <xf numFmtId="0" fontId="51" fillId="48" borderId="0" xfId="0" applyFont="1" applyFill="1" applyAlignment="1" applyProtection="1">
      <alignment horizontal="left" vertical="center"/>
      <protection hidden="1"/>
    </xf>
    <xf numFmtId="3" fontId="51" fillId="48" borderId="0" xfId="0" applyNumberFormat="1" applyFont="1" applyFill="1" applyAlignment="1" applyProtection="1">
      <alignment horizontal="center" vertical="center"/>
      <protection hidden="1"/>
    </xf>
    <xf numFmtId="0" fontId="51" fillId="48" borderId="0" xfId="0" applyFont="1" applyFill="1" applyAlignment="1" applyProtection="1">
      <alignment horizontal="center" vertical="center" wrapText="1"/>
      <protection hidden="1"/>
    </xf>
    <xf numFmtId="0" fontId="140" fillId="48" borderId="0" xfId="0" applyFont="1" applyFill="1" applyBorder="1" applyAlignment="1" applyProtection="1">
      <alignment horizontal="center" vertical="center"/>
      <protection hidden="1"/>
    </xf>
    <xf numFmtId="0" fontId="51" fillId="48" borderId="0" xfId="0" applyFont="1" applyFill="1" applyBorder="1" applyAlignment="1" applyProtection="1">
      <alignment horizontal="center" vertical="center" wrapText="1"/>
      <protection hidden="1"/>
    </xf>
    <xf numFmtId="0" fontId="34" fillId="48" borderId="19" xfId="0" applyFont="1" applyFill="1" applyBorder="1" applyAlignment="1" applyProtection="1">
      <alignment horizontal="center" vertical="center" wrapText="1"/>
      <protection hidden="1"/>
    </xf>
    <xf numFmtId="0" fontId="140" fillId="48" borderId="0" xfId="0" applyFont="1" applyFill="1" applyBorder="1" applyAlignment="1" applyProtection="1">
      <alignment horizontal="center" vertical="center" textRotation="90"/>
      <protection hidden="1"/>
    </xf>
    <xf numFmtId="0" fontId="34" fillId="48" borderId="0" xfId="0" applyFont="1" applyFill="1" applyAlignment="1" applyProtection="1">
      <alignment horizontal="center" vertical="center"/>
      <protection hidden="1"/>
    </xf>
    <xf numFmtId="184" fontId="51" fillId="48" borderId="0" xfId="0" applyNumberFormat="1" applyFont="1" applyFill="1" applyAlignment="1" applyProtection="1">
      <alignment horizontal="center" vertical="center"/>
      <protection hidden="1"/>
    </xf>
    <xf numFmtId="170" fontId="51" fillId="48" borderId="0" xfId="0" applyNumberFormat="1" applyFont="1" applyFill="1" applyAlignment="1" applyProtection="1">
      <alignment horizontal="center" vertical="center"/>
      <protection hidden="1"/>
    </xf>
    <xf numFmtId="0" fontId="141" fillId="48" borderId="0" xfId="0" applyFont="1" applyFill="1" applyAlignment="1" applyProtection="1">
      <alignment horizontal="center" vertical="center"/>
      <protection hidden="1"/>
    </xf>
    <xf numFmtId="166" fontId="51" fillId="52" borderId="16" xfId="0" applyNumberFormat="1" applyFont="1" applyFill="1" applyBorder="1" applyAlignment="1" applyProtection="1">
      <alignment horizontal="center" vertical="center" wrapText="1"/>
      <protection hidden="1"/>
    </xf>
    <xf numFmtId="166" fontId="51" fillId="52" borderId="19" xfId="0" applyNumberFormat="1" applyFont="1" applyFill="1" applyBorder="1" applyAlignment="1" applyProtection="1">
      <alignment horizontal="center" vertical="center" wrapText="1"/>
      <protection hidden="1"/>
    </xf>
    <xf numFmtId="2" fontId="51" fillId="48" borderId="0" xfId="0" applyNumberFormat="1" applyFont="1" applyFill="1" applyBorder="1" applyAlignment="1" applyProtection="1">
      <alignment horizontal="center" vertical="center" wrapText="1"/>
      <protection hidden="1"/>
    </xf>
    <xf numFmtId="184" fontId="51" fillId="48" borderId="0" xfId="0" applyNumberFormat="1" applyFont="1" applyFill="1" applyBorder="1" applyAlignment="1" applyProtection="1">
      <alignment horizontal="center" vertical="center"/>
      <protection hidden="1"/>
    </xf>
    <xf numFmtId="1" fontId="51" fillId="52" borderId="16" xfId="0" applyNumberFormat="1" applyFont="1" applyFill="1" applyBorder="1" applyAlignment="1" applyProtection="1">
      <alignment horizontal="center" vertical="center" wrapText="1"/>
      <protection hidden="1"/>
    </xf>
    <xf numFmtId="1" fontId="51" fillId="52" borderId="19" xfId="0" applyNumberFormat="1" applyFont="1" applyFill="1" applyBorder="1" applyAlignment="1" applyProtection="1">
      <alignment horizontal="center" vertical="center" wrapText="1"/>
      <protection hidden="1"/>
    </xf>
    <xf numFmtId="2" fontId="51" fillId="48" borderId="0" xfId="0" applyNumberFormat="1" applyFont="1" applyFill="1" applyBorder="1" applyAlignment="1" applyProtection="1">
      <alignment horizontal="center" vertical="center"/>
      <protection hidden="1"/>
    </xf>
    <xf numFmtId="170" fontId="51" fillId="52" borderId="16" xfId="0" applyNumberFormat="1" applyFont="1" applyFill="1" applyBorder="1" applyAlignment="1" applyProtection="1">
      <alignment horizontal="center" vertical="center" wrapText="1"/>
      <protection hidden="1"/>
    </xf>
    <xf numFmtId="170" fontId="51" fillId="52" borderId="19" xfId="0" applyNumberFormat="1" applyFont="1" applyFill="1" applyBorder="1" applyAlignment="1" applyProtection="1">
      <alignment horizontal="center" vertical="center" wrapText="1"/>
      <protection hidden="1"/>
    </xf>
    <xf numFmtId="0" fontId="51" fillId="48" borderId="19" xfId="0" applyFont="1" applyFill="1" applyBorder="1" applyAlignment="1" applyProtection="1">
      <alignment horizontal="center" vertical="center" wrapText="1"/>
      <protection hidden="1"/>
    </xf>
    <xf numFmtId="3" fontId="51" fillId="48" borderId="0" xfId="0" applyNumberFormat="1" applyFont="1" applyFill="1" applyBorder="1" applyAlignment="1" applyProtection="1">
      <alignment horizontal="center" vertical="center" wrapText="1"/>
      <protection hidden="1"/>
    </xf>
    <xf numFmtId="4" fontId="51" fillId="48" borderId="0" xfId="0" applyNumberFormat="1" applyFont="1" applyFill="1" applyBorder="1" applyAlignment="1" applyProtection="1">
      <alignment horizontal="center" vertical="center"/>
      <protection hidden="1"/>
    </xf>
    <xf numFmtId="1" fontId="51" fillId="48" borderId="0" xfId="0" applyNumberFormat="1" applyFont="1" applyFill="1" applyBorder="1" applyAlignment="1" applyProtection="1">
      <alignment horizontal="center" vertical="center"/>
      <protection hidden="1"/>
    </xf>
    <xf numFmtId="9" fontId="51" fillId="48" borderId="0" xfId="0" applyNumberFormat="1" applyFont="1" applyFill="1" applyBorder="1" applyAlignment="1" applyProtection="1">
      <alignment horizontal="center" vertical="center" wrapText="1"/>
      <protection hidden="1"/>
    </xf>
    <xf numFmtId="9" fontId="51" fillId="48" borderId="0" xfId="0" applyNumberFormat="1" applyFont="1" applyFill="1" applyBorder="1" applyAlignment="1" applyProtection="1">
      <alignment horizontal="center" vertical="center"/>
      <protection hidden="1"/>
    </xf>
    <xf numFmtId="3" fontId="51" fillId="48" borderId="0" xfId="0" applyNumberFormat="1" applyFont="1" applyFill="1" applyBorder="1" applyAlignment="1" applyProtection="1">
      <alignment horizontal="center" vertical="center"/>
      <protection hidden="1"/>
    </xf>
    <xf numFmtId="3" fontId="142" fillId="48" borderId="0" xfId="0" applyNumberFormat="1" applyFont="1" applyFill="1" applyBorder="1" applyAlignment="1" applyProtection="1">
      <alignment horizontal="center" vertical="center" wrapText="1"/>
      <protection hidden="1"/>
    </xf>
    <xf numFmtId="3" fontId="142" fillId="48" borderId="0" xfId="0" applyNumberFormat="1" applyFont="1" applyFill="1" applyBorder="1" applyAlignment="1" applyProtection="1">
      <alignment horizontal="center" vertical="center"/>
      <protection hidden="1"/>
    </xf>
    <xf numFmtId="168" fontId="51" fillId="48" borderId="0" xfId="55" applyNumberFormat="1" applyFont="1" applyFill="1" applyBorder="1" applyAlignment="1" applyProtection="1">
      <alignment horizontal="center" vertical="center"/>
      <protection hidden="1"/>
    </xf>
    <xf numFmtId="0" fontId="31" fillId="48" borderId="13" xfId="0" applyFont="1" applyFill="1" applyBorder="1" applyAlignment="1" applyProtection="1">
      <alignment horizontal="left" vertical="center"/>
      <protection hidden="1"/>
    </xf>
    <xf numFmtId="0" fontId="31" fillId="48" borderId="0" xfId="0" applyFont="1" applyFill="1" applyBorder="1" applyAlignment="1" applyProtection="1">
      <alignment horizontal="center" vertical="center"/>
      <protection hidden="1"/>
    </xf>
    <xf numFmtId="168" fontId="51" fillId="48" borderId="0" xfId="56" applyNumberFormat="1" applyFont="1" applyFill="1" applyBorder="1" applyAlignment="1" applyProtection="1">
      <alignment horizontal="center" vertical="center"/>
      <protection hidden="1"/>
    </xf>
    <xf numFmtId="0" fontId="31" fillId="48" borderId="58" xfId="0" applyFont="1" applyFill="1" applyBorder="1" applyAlignment="1" applyProtection="1">
      <alignment horizontal="left" vertical="center"/>
      <protection hidden="1"/>
    </xf>
    <xf numFmtId="0" fontId="31" fillId="48" borderId="61" xfId="0" applyFont="1" applyFill="1" applyBorder="1" applyAlignment="1" applyProtection="1">
      <alignment horizontal="center" vertical="center"/>
      <protection hidden="1"/>
    </xf>
    <xf numFmtId="168" fontId="31" fillId="48" borderId="47" xfId="56" applyNumberFormat="1" applyFont="1" applyFill="1" applyBorder="1" applyAlignment="1" applyProtection="1">
      <alignment horizontal="center" vertical="center"/>
      <protection hidden="1"/>
    </xf>
    <xf numFmtId="168" fontId="31" fillId="48" borderId="61" xfId="56" applyNumberFormat="1" applyFont="1" applyFill="1" applyBorder="1" applyAlignment="1" applyProtection="1">
      <alignment horizontal="center" vertical="center"/>
      <protection hidden="1"/>
    </xf>
    <xf numFmtId="168" fontId="51" fillId="48" borderId="0" xfId="0" applyNumberFormat="1" applyFont="1" applyFill="1" applyAlignment="1" applyProtection="1">
      <alignment horizontal="center" vertical="center"/>
      <protection hidden="1"/>
    </xf>
    <xf numFmtId="0" fontId="34" fillId="48" borderId="0" xfId="0" applyFont="1" applyFill="1" applyAlignment="1" applyProtection="1">
      <alignment horizontal="left" vertical="center"/>
      <protection hidden="1"/>
    </xf>
    <xf numFmtId="1" fontId="51" fillId="52" borderId="16" xfId="0" applyNumberFormat="1" applyFont="1" applyFill="1" applyBorder="1" applyAlignment="1" applyProtection="1">
      <alignment horizontal="center" vertical="center"/>
      <protection hidden="1"/>
    </xf>
    <xf numFmtId="1" fontId="51" fillId="52" borderId="19" xfId="0" applyNumberFormat="1" applyFont="1" applyFill="1" applyBorder="1" applyAlignment="1" applyProtection="1">
      <alignment horizontal="center" vertical="center"/>
      <protection hidden="1"/>
    </xf>
    <xf numFmtId="3" fontId="76" fillId="53" borderId="66" xfId="0" applyNumberFormat="1" applyFont="1" applyFill="1" applyBorder="1" applyAlignment="1" applyProtection="1">
      <alignment horizontal="center" vertical="center"/>
      <protection hidden="1"/>
    </xf>
    <xf numFmtId="1" fontId="51" fillId="48" borderId="0" xfId="0" applyNumberFormat="1" applyFont="1" applyFill="1" applyAlignment="1" applyProtection="1">
      <alignment horizontal="center" vertical="center"/>
      <protection hidden="1"/>
    </xf>
    <xf numFmtId="0" fontId="51" fillId="48" borderId="0" xfId="0" applyFont="1" applyFill="1" applyAlignment="1" applyProtection="1">
      <alignment wrapText="1"/>
      <protection hidden="1"/>
    </xf>
    <xf numFmtId="0" fontId="140" fillId="48" borderId="40" xfId="0" applyFont="1" applyFill="1" applyBorder="1" applyAlignment="1" applyProtection="1">
      <alignment horizontal="center" vertical="center"/>
      <protection hidden="1"/>
    </xf>
    <xf numFmtId="0" fontId="51" fillId="48" borderId="0" xfId="0" applyFont="1" applyFill="1" applyBorder="1" applyAlignment="1" applyProtection="1">
      <alignment vertical="center" wrapText="1"/>
      <protection hidden="1"/>
    </xf>
    <xf numFmtId="0" fontId="51" fillId="48" borderId="0" xfId="0" applyFont="1" applyFill="1" applyAlignment="1" applyProtection="1">
      <alignment vertical="center" wrapText="1"/>
      <protection hidden="1"/>
    </xf>
    <xf numFmtId="0" fontId="34" fillId="48" borderId="0" xfId="0" applyFont="1" applyFill="1" applyBorder="1" applyProtection="1">
      <protection hidden="1"/>
    </xf>
    <xf numFmtId="0" fontId="141" fillId="48" borderId="0" xfId="0" applyFont="1" applyFill="1" applyProtection="1">
      <protection hidden="1"/>
    </xf>
    <xf numFmtId="0" fontId="143" fillId="48" borderId="0" xfId="0" applyFont="1" applyFill="1" applyProtection="1">
      <protection hidden="1"/>
    </xf>
    <xf numFmtId="0" fontId="51" fillId="48" borderId="0" xfId="0" applyFont="1" applyFill="1" applyBorder="1" applyAlignment="1" applyProtection="1">
      <alignment vertical="top" wrapText="1"/>
      <protection hidden="1"/>
    </xf>
    <xf numFmtId="0" fontId="51" fillId="48" borderId="0" xfId="0" applyFont="1" applyFill="1" applyAlignment="1" applyProtection="1">
      <alignment vertical="top" wrapText="1"/>
      <protection hidden="1"/>
    </xf>
    <xf numFmtId="0" fontId="141" fillId="48" borderId="0" xfId="0" applyFont="1" applyFill="1" applyAlignment="1" applyProtection="1">
      <alignment vertical="top" wrapText="1"/>
      <protection hidden="1"/>
    </xf>
    <xf numFmtId="0" fontId="51" fillId="48" borderId="0" xfId="0" applyFont="1" applyFill="1" applyBorder="1" applyAlignment="1" applyProtection="1">
      <alignment horizontal="left" vertical="center" readingOrder="1"/>
      <protection hidden="1"/>
    </xf>
    <xf numFmtId="184" fontId="51" fillId="48" borderId="0" xfId="0" applyNumberFormat="1" applyFont="1" applyFill="1" applyBorder="1" applyProtection="1">
      <protection hidden="1"/>
    </xf>
    <xf numFmtId="173" fontId="51" fillId="48" borderId="0" xfId="0" applyNumberFormat="1" applyFont="1" applyFill="1" applyBorder="1" applyProtection="1">
      <protection hidden="1"/>
    </xf>
    <xf numFmtId="167" fontId="51" fillId="48" borderId="0" xfId="0" applyNumberFormat="1" applyFont="1" applyFill="1" applyBorder="1" applyProtection="1">
      <protection hidden="1"/>
    </xf>
    <xf numFmtId="4" fontId="51" fillId="48" borderId="0" xfId="0" applyNumberFormat="1" applyFont="1" applyFill="1" applyBorder="1" applyProtection="1">
      <protection hidden="1"/>
    </xf>
    <xf numFmtId="43" fontId="51" fillId="48" borderId="0" xfId="0" applyNumberFormat="1" applyFont="1" applyFill="1" applyBorder="1" applyProtection="1">
      <protection hidden="1"/>
    </xf>
    <xf numFmtId="9" fontId="51" fillId="48" borderId="0" xfId="0" applyNumberFormat="1" applyFont="1" applyFill="1" applyBorder="1" applyProtection="1">
      <protection hidden="1"/>
    </xf>
    <xf numFmtId="171" fontId="51" fillId="48" borderId="0" xfId="0" applyNumberFormat="1" applyFont="1" applyFill="1" applyBorder="1" applyProtection="1">
      <protection hidden="1"/>
    </xf>
    <xf numFmtId="2" fontId="51" fillId="48" borderId="0" xfId="0" applyNumberFormat="1" applyFont="1" applyFill="1" applyBorder="1" applyProtection="1">
      <protection hidden="1"/>
    </xf>
    <xf numFmtId="3" fontId="51" fillId="48" borderId="0" xfId="0" applyNumberFormat="1" applyFont="1" applyFill="1" applyBorder="1" applyProtection="1">
      <protection hidden="1"/>
    </xf>
    <xf numFmtId="168" fontId="142" fillId="48" borderId="0" xfId="0" applyNumberFormat="1" applyFont="1" applyFill="1" applyBorder="1" applyProtection="1">
      <protection hidden="1"/>
    </xf>
    <xf numFmtId="0" fontId="31" fillId="48" borderId="16" xfId="0" applyFont="1" applyFill="1" applyBorder="1" applyAlignment="1" applyProtection="1">
      <alignment horizontal="left" vertical="center"/>
      <protection hidden="1"/>
    </xf>
    <xf numFmtId="0" fontId="31" fillId="48" borderId="16" xfId="0" applyFont="1" applyFill="1" applyBorder="1" applyAlignment="1" applyProtection="1">
      <alignment horizontal="center" vertical="center"/>
      <protection hidden="1"/>
    </xf>
    <xf numFmtId="0" fontId="51" fillId="48" borderId="16" xfId="0" applyFont="1" applyFill="1" applyBorder="1" applyAlignment="1" applyProtection="1">
      <alignment horizontal="center" vertical="center"/>
      <protection hidden="1"/>
    </xf>
    <xf numFmtId="0" fontId="51" fillId="48" borderId="16" xfId="0" applyFont="1" applyFill="1" applyBorder="1" applyProtection="1">
      <protection hidden="1"/>
    </xf>
    <xf numFmtId="168" fontId="51" fillId="48" borderId="16" xfId="56" applyNumberFormat="1" applyFont="1" applyFill="1" applyBorder="1" applyAlignment="1" applyProtection="1">
      <alignment horizontal="center" vertical="center"/>
      <protection hidden="1"/>
    </xf>
    <xf numFmtId="0" fontId="34" fillId="48" borderId="16" xfId="0" applyFont="1" applyFill="1" applyBorder="1" applyAlignment="1" applyProtection="1">
      <alignment horizontal="center" vertical="center"/>
      <protection hidden="1"/>
    </xf>
    <xf numFmtId="168" fontId="51" fillId="48" borderId="0" xfId="0" applyNumberFormat="1" applyFont="1" applyFill="1" applyProtection="1">
      <protection hidden="1"/>
    </xf>
    <xf numFmtId="168" fontId="31" fillId="48" borderId="16" xfId="56" applyNumberFormat="1" applyFont="1" applyFill="1" applyBorder="1" applyAlignment="1" applyProtection="1">
      <alignment horizontal="center" vertical="center"/>
      <protection hidden="1"/>
    </xf>
    <xf numFmtId="0" fontId="31" fillId="48" borderId="16" xfId="0" applyFont="1" applyFill="1" applyBorder="1" applyAlignment="1" applyProtection="1">
      <protection hidden="1"/>
    </xf>
    <xf numFmtId="3" fontId="76" fillId="53" borderId="65" xfId="0" applyNumberFormat="1" applyFont="1" applyFill="1" applyBorder="1" applyAlignment="1" applyProtection="1">
      <alignment horizontal="center" vertical="center"/>
      <protection hidden="1"/>
    </xf>
    <xf numFmtId="0" fontId="51" fillId="48" borderId="0" xfId="81" applyFont="1" applyFill="1" applyAlignment="1" applyProtection="1">
      <alignment horizontal="left" vertical="center"/>
      <protection hidden="1"/>
    </xf>
    <xf numFmtId="0" fontId="51" fillId="48" borderId="0" xfId="81" applyFont="1" applyFill="1" applyAlignment="1" applyProtection="1">
      <alignment horizontal="center" vertical="center"/>
      <protection hidden="1"/>
    </xf>
    <xf numFmtId="0" fontId="71" fillId="48" borderId="15" xfId="0" applyFont="1" applyFill="1" applyBorder="1" applyAlignment="1" applyProtection="1">
      <alignment horizontal="left" vertical="center" wrapText="1"/>
      <protection hidden="1"/>
    </xf>
    <xf numFmtId="3" fontId="71" fillId="48" borderId="46" xfId="0" applyNumberFormat="1" applyFont="1" applyFill="1" applyBorder="1" applyAlignment="1" applyProtection="1">
      <alignment horizontal="center" vertical="center" wrapText="1"/>
      <protection hidden="1"/>
    </xf>
    <xf numFmtId="0" fontId="71" fillId="48" borderId="0" xfId="81" applyFont="1" applyFill="1" applyAlignment="1" applyProtection="1">
      <alignment horizontal="left" vertical="center"/>
      <protection hidden="1"/>
    </xf>
    <xf numFmtId="0" fontId="71" fillId="48" borderId="0" xfId="81" applyFont="1" applyFill="1" applyAlignment="1" applyProtection="1">
      <alignment horizontal="center" vertical="center"/>
      <protection hidden="1"/>
    </xf>
    <xf numFmtId="0" fontId="51" fillId="54" borderId="18" xfId="81" applyFont="1" applyFill="1" applyBorder="1" applyAlignment="1" applyProtection="1">
      <alignment horizontal="left" vertical="center"/>
      <protection hidden="1"/>
    </xf>
    <xf numFmtId="0" fontId="51" fillId="54" borderId="16" xfId="81" applyFont="1" applyFill="1" applyBorder="1" applyAlignment="1" applyProtection="1">
      <alignment horizontal="center" vertical="center"/>
      <protection hidden="1"/>
    </xf>
    <xf numFmtId="0" fontId="51" fillId="54" borderId="31" xfId="81" applyFont="1" applyFill="1" applyBorder="1" applyAlignment="1" applyProtection="1">
      <alignment horizontal="left" vertical="center"/>
      <protection hidden="1"/>
    </xf>
    <xf numFmtId="0" fontId="51" fillId="48" borderId="32" xfId="81" applyFont="1" applyFill="1" applyBorder="1" applyAlignment="1" applyProtection="1">
      <alignment horizontal="center" vertical="center"/>
      <protection hidden="1"/>
    </xf>
    <xf numFmtId="0" fontId="51" fillId="54" borderId="90" xfId="81" applyFont="1" applyFill="1" applyBorder="1" applyAlignment="1" applyProtection="1">
      <alignment horizontal="left" vertical="center"/>
      <protection hidden="1"/>
    </xf>
    <xf numFmtId="0" fontId="51" fillId="54" borderId="76" xfId="81" applyFont="1" applyFill="1" applyBorder="1" applyAlignment="1" applyProtection="1">
      <alignment horizontal="center" vertical="center"/>
      <protection hidden="1"/>
    </xf>
    <xf numFmtId="37" fontId="51" fillId="54" borderId="76" xfId="57" applyNumberFormat="1" applyFont="1" applyFill="1" applyBorder="1" applyAlignment="1" applyProtection="1">
      <alignment horizontal="center" vertical="center"/>
      <protection hidden="1"/>
    </xf>
    <xf numFmtId="37" fontId="51" fillId="54" borderId="65" xfId="57" applyNumberFormat="1" applyFont="1" applyFill="1" applyBorder="1" applyAlignment="1" applyProtection="1">
      <alignment horizontal="center" vertical="center"/>
      <protection hidden="1"/>
    </xf>
    <xf numFmtId="0" fontId="51" fillId="55" borderId="17" xfId="81" applyFont="1" applyFill="1" applyBorder="1" applyAlignment="1" applyProtection="1">
      <alignment horizontal="left" vertical="center"/>
      <protection hidden="1"/>
    </xf>
    <xf numFmtId="0" fontId="51" fillId="55" borderId="36" xfId="81" applyFont="1" applyFill="1" applyBorder="1" applyAlignment="1" applyProtection="1">
      <alignment horizontal="center" vertical="center"/>
      <protection hidden="1"/>
    </xf>
    <xf numFmtId="0" fontId="2" fillId="55" borderId="36" xfId="81" applyFont="1" applyFill="1" applyBorder="1" applyAlignment="1" applyProtection="1">
      <alignment horizontal="center" vertical="center"/>
      <protection hidden="1"/>
    </xf>
    <xf numFmtId="0" fontId="2" fillId="55" borderId="37" xfId="81" applyFont="1" applyFill="1" applyBorder="1" applyAlignment="1" applyProtection="1">
      <alignment horizontal="center" vertical="center"/>
      <protection hidden="1"/>
    </xf>
    <xf numFmtId="0" fontId="131" fillId="48" borderId="0" xfId="0" applyFont="1" applyFill="1" applyAlignment="1" applyProtection="1">
      <alignment horizontal="center" vertical="center"/>
      <protection hidden="1"/>
    </xf>
    <xf numFmtId="0" fontId="51" fillId="54" borderId="0" xfId="0" applyFont="1" applyFill="1" applyAlignment="1" applyProtection="1">
      <alignment horizontal="center"/>
      <protection hidden="1"/>
    </xf>
    <xf numFmtId="0" fontId="51" fillId="54" borderId="0" xfId="0" applyFont="1" applyFill="1" applyAlignment="1" applyProtection="1">
      <protection hidden="1"/>
    </xf>
    <xf numFmtId="0" fontId="51" fillId="54" borderId="0" xfId="0" applyFont="1" applyFill="1" applyProtection="1">
      <protection hidden="1"/>
    </xf>
    <xf numFmtId="0" fontId="51" fillId="54" borderId="0" xfId="0" applyFont="1" applyFill="1" applyAlignment="1" applyProtection="1">
      <alignment vertical="center"/>
      <protection hidden="1"/>
    </xf>
    <xf numFmtId="43" fontId="51" fillId="54" borderId="0" xfId="55" applyFont="1" applyFill="1" applyAlignment="1" applyProtection="1">
      <alignment vertical="center"/>
      <protection hidden="1"/>
    </xf>
    <xf numFmtId="0" fontId="51" fillId="54" borderId="0" xfId="0" applyFont="1" applyFill="1" applyBorder="1" applyAlignment="1" applyProtection="1">
      <alignment horizontal="center" vertical="center" wrapText="1"/>
      <protection hidden="1"/>
    </xf>
    <xf numFmtId="0" fontId="51" fillId="54" borderId="13" xfId="0" applyFont="1" applyFill="1" applyBorder="1" applyAlignment="1" applyProtection="1">
      <alignment horizontal="center" vertical="center" wrapText="1"/>
      <protection hidden="1"/>
    </xf>
    <xf numFmtId="3" fontId="51" fillId="54" borderId="0" xfId="55" applyNumberFormat="1" applyFont="1" applyFill="1" applyBorder="1" applyAlignment="1" applyProtection="1">
      <alignment horizontal="center" vertical="center" wrapText="1"/>
      <protection hidden="1"/>
    </xf>
    <xf numFmtId="0" fontId="51" fillId="54" borderId="0" xfId="0" applyFont="1" applyFill="1" applyBorder="1" applyAlignment="1" applyProtection="1">
      <alignment vertical="center" wrapText="1"/>
      <protection hidden="1"/>
    </xf>
    <xf numFmtId="0" fontId="51" fillId="54" borderId="40" xfId="0" applyFont="1" applyFill="1" applyBorder="1" applyAlignment="1" applyProtection="1">
      <alignment horizontal="center" vertical="center"/>
      <protection hidden="1"/>
    </xf>
    <xf numFmtId="0" fontId="51" fillId="54" borderId="0" xfId="0" applyFont="1" applyFill="1" applyAlignment="1" applyProtection="1">
      <alignment vertical="center" wrapText="1"/>
      <protection hidden="1"/>
    </xf>
    <xf numFmtId="0" fontId="51" fillId="55" borderId="58" xfId="0" applyFont="1" applyFill="1" applyBorder="1" applyAlignment="1" applyProtection="1">
      <alignment horizontal="left" vertical="center" wrapText="1"/>
      <protection hidden="1"/>
    </xf>
    <xf numFmtId="3" fontId="51" fillId="55" borderId="189" xfId="0" applyNumberFormat="1" applyFont="1" applyFill="1" applyBorder="1" applyAlignment="1" applyProtection="1">
      <alignment horizontal="center" vertical="center" wrapText="1"/>
      <protection hidden="1"/>
    </xf>
    <xf numFmtId="0" fontId="51" fillId="54" borderId="0" xfId="0" applyFont="1" applyFill="1" applyBorder="1" applyAlignment="1" applyProtection="1">
      <alignment vertical="center"/>
      <protection hidden="1"/>
    </xf>
    <xf numFmtId="0" fontId="122" fillId="54" borderId="0" xfId="73" applyFont="1" applyFill="1" applyBorder="1" applyAlignment="1" applyProtection="1">
      <alignment horizontal="center" vertical="center" wrapText="1"/>
      <protection hidden="1"/>
    </xf>
    <xf numFmtId="0" fontId="134" fillId="54" borderId="136" xfId="0" applyFont="1" applyFill="1" applyBorder="1" applyAlignment="1" applyProtection="1">
      <alignment horizontal="left" vertical="center"/>
      <protection hidden="1"/>
    </xf>
    <xf numFmtId="0" fontId="134" fillId="54" borderId="137" xfId="0" applyFont="1" applyFill="1" applyBorder="1" applyAlignment="1" applyProtection="1">
      <alignment horizontal="left" vertical="center" indent="1"/>
      <protection hidden="1"/>
    </xf>
    <xf numFmtId="0" fontId="134" fillId="54" borderId="0" xfId="0" applyFont="1" applyFill="1" applyBorder="1" applyAlignment="1" applyProtection="1">
      <alignment horizontal="left" vertical="center"/>
      <protection hidden="1"/>
    </xf>
    <xf numFmtId="0" fontId="134" fillId="54" borderId="0" xfId="0" applyFont="1" applyFill="1" applyBorder="1" applyAlignment="1" applyProtection="1">
      <alignment horizontal="left" vertical="center" indent="1"/>
      <protection hidden="1"/>
    </xf>
    <xf numFmtId="0" fontId="51" fillId="54" borderId="132" xfId="0" applyFont="1" applyFill="1" applyBorder="1" applyAlignment="1" applyProtection="1">
      <alignment horizontal="center" vertical="center"/>
      <protection hidden="1"/>
    </xf>
    <xf numFmtId="0" fontId="51" fillId="54" borderId="134" xfId="0" applyFont="1" applyFill="1" applyBorder="1" applyAlignment="1" applyProtection="1">
      <alignment horizontal="left" vertical="center" indent="1"/>
      <protection hidden="1"/>
    </xf>
    <xf numFmtId="0" fontId="51" fillId="54" borderId="0" xfId="0" applyFont="1" applyFill="1" applyBorder="1" applyAlignment="1" applyProtection="1">
      <alignment horizontal="center" vertical="center"/>
      <protection hidden="1"/>
    </xf>
    <xf numFmtId="0" fontId="51" fillId="54" borderId="0" xfId="0" applyFont="1" applyFill="1" applyBorder="1" applyAlignment="1" applyProtection="1">
      <alignment horizontal="left" vertical="center" indent="1"/>
      <protection hidden="1"/>
    </xf>
    <xf numFmtId="43" fontId="51" fillId="54" borderId="16" xfId="55" applyFont="1" applyFill="1" applyBorder="1" applyAlignment="1" applyProtection="1">
      <alignment vertical="center"/>
      <protection hidden="1"/>
    </xf>
    <xf numFmtId="0" fontId="51" fillId="54" borderId="16" xfId="0" applyFont="1" applyFill="1" applyBorder="1" applyAlignment="1" applyProtection="1">
      <alignment vertical="center"/>
      <protection hidden="1"/>
    </xf>
    <xf numFmtId="166" fontId="51" fillId="52" borderId="55" xfId="0" applyNumberFormat="1" applyFont="1" applyFill="1" applyBorder="1" applyAlignment="1" applyProtection="1">
      <alignment horizontal="center" vertical="center" wrapText="1"/>
      <protection hidden="1"/>
    </xf>
    <xf numFmtId="166" fontId="51" fillId="52" borderId="52" xfId="0" applyNumberFormat="1" applyFont="1" applyFill="1" applyBorder="1" applyAlignment="1" applyProtection="1">
      <alignment horizontal="center" vertical="center" wrapText="1"/>
      <protection hidden="1"/>
    </xf>
    <xf numFmtId="0" fontId="51" fillId="54" borderId="133" xfId="0" applyFont="1" applyFill="1" applyBorder="1" applyAlignment="1" applyProtection="1">
      <alignment horizontal="center" vertical="center"/>
      <protection hidden="1"/>
    </xf>
    <xf numFmtId="0" fontId="51" fillId="54" borderId="135" xfId="0" applyFont="1" applyFill="1" applyBorder="1" applyAlignment="1" applyProtection="1">
      <alignment horizontal="left" vertical="center" indent="1"/>
      <protection hidden="1"/>
    </xf>
    <xf numFmtId="0" fontId="51" fillId="54" borderId="0" xfId="0" applyFont="1" applyFill="1" applyBorder="1" applyAlignment="1" applyProtection="1">
      <alignment horizontal="left" vertical="center"/>
      <protection hidden="1"/>
    </xf>
    <xf numFmtId="43" fontId="51" fillId="54" borderId="0" xfId="0" applyNumberFormat="1" applyFont="1" applyFill="1" applyAlignment="1" applyProtection="1">
      <alignment vertical="center"/>
      <protection hidden="1"/>
    </xf>
    <xf numFmtId="0" fontId="51" fillId="54" borderId="144" xfId="0" applyFont="1" applyFill="1" applyBorder="1" applyAlignment="1" applyProtection="1">
      <alignment horizontal="center" vertical="center" wrapText="1"/>
      <protection hidden="1"/>
    </xf>
    <xf numFmtId="43" fontId="51" fillId="54" borderId="0" xfId="55" applyFont="1" applyFill="1" applyBorder="1" applyAlignment="1" applyProtection="1">
      <alignment vertical="center"/>
      <protection hidden="1"/>
    </xf>
    <xf numFmtId="0" fontId="51" fillId="54" borderId="188" xfId="0" applyFont="1" applyFill="1" applyBorder="1" applyAlignment="1" applyProtection="1">
      <alignment horizontal="center" vertical="center" wrapText="1"/>
      <protection hidden="1"/>
    </xf>
    <xf numFmtId="0" fontId="51" fillId="54" borderId="0" xfId="0" applyFont="1" applyFill="1" applyAlignment="1" applyProtection="1">
      <alignment horizontal="left"/>
      <protection hidden="1"/>
    </xf>
    <xf numFmtId="0" fontId="51" fillId="54" borderId="0" xfId="0" applyFont="1" applyFill="1" applyAlignment="1" applyProtection="1">
      <alignment horizontal="left" vertical="center"/>
      <protection hidden="1"/>
    </xf>
    <xf numFmtId="0" fontId="51" fillId="54" borderId="0" xfId="0" applyFont="1" applyFill="1" applyAlignment="1" applyProtection="1">
      <alignment horizontal="center" vertical="center"/>
      <protection hidden="1"/>
    </xf>
    <xf numFmtId="3" fontId="51" fillId="54" borderId="0" xfId="0" applyNumberFormat="1" applyFont="1" applyFill="1" applyAlignment="1" applyProtection="1">
      <alignment horizontal="center" vertical="center"/>
      <protection hidden="1"/>
    </xf>
    <xf numFmtId="168" fontId="51" fillId="54" borderId="0" xfId="55" applyNumberFormat="1" applyFont="1" applyFill="1" applyAlignment="1" applyProtection="1">
      <alignment vertical="center"/>
      <protection hidden="1"/>
    </xf>
    <xf numFmtId="0" fontId="51" fillId="0" borderId="0" xfId="0" applyFont="1" applyAlignment="1" applyProtection="1">
      <alignment horizontal="center" vertical="center"/>
      <protection hidden="1"/>
    </xf>
    <xf numFmtId="0" fontId="51" fillId="55" borderId="15" xfId="0" applyFont="1" applyFill="1" applyBorder="1" applyAlignment="1" applyProtection="1">
      <alignment horizontal="left" vertical="center" wrapText="1"/>
      <protection hidden="1"/>
    </xf>
    <xf numFmtId="3" fontId="51" fillId="55" borderId="172" xfId="0" applyNumberFormat="1" applyFont="1" applyFill="1" applyBorder="1" applyAlignment="1" applyProtection="1">
      <alignment horizontal="center" vertical="center" wrapText="1"/>
      <protection hidden="1"/>
    </xf>
    <xf numFmtId="0" fontId="34" fillId="55" borderId="20" xfId="0" applyFont="1" applyFill="1" applyBorder="1" applyAlignment="1" applyProtection="1">
      <alignment horizontal="left" vertical="center"/>
      <protection hidden="1"/>
    </xf>
    <xf numFmtId="0" fontId="51" fillId="55" borderId="13" xfId="0" applyFont="1" applyFill="1" applyBorder="1" applyAlignment="1" applyProtection="1">
      <alignment horizontal="center" vertical="center"/>
      <protection hidden="1"/>
    </xf>
    <xf numFmtId="0" fontId="51" fillId="55" borderId="21" xfId="0" applyFont="1" applyFill="1" applyBorder="1" applyAlignment="1" applyProtection="1">
      <alignment horizontal="center" vertical="center"/>
      <protection hidden="1"/>
    </xf>
    <xf numFmtId="0" fontId="51" fillId="48" borderId="156" xfId="0" applyFont="1" applyFill="1" applyBorder="1" applyAlignment="1" applyProtection="1">
      <alignment horizontal="left" vertical="center"/>
      <protection hidden="1"/>
    </xf>
    <xf numFmtId="0" fontId="51" fillId="48" borderId="138" xfId="0" applyFont="1" applyFill="1" applyBorder="1" applyAlignment="1" applyProtection="1">
      <alignment horizontal="center" vertical="center"/>
      <protection hidden="1"/>
    </xf>
    <xf numFmtId="0" fontId="34" fillId="54" borderId="138" xfId="0" applyFont="1" applyFill="1" applyBorder="1" applyAlignment="1" applyProtection="1">
      <alignment horizontal="center" vertical="center"/>
      <protection hidden="1"/>
    </xf>
    <xf numFmtId="0" fontId="34" fillId="54" borderId="139" xfId="0" applyFont="1" applyFill="1" applyBorder="1" applyAlignment="1" applyProtection="1">
      <alignment horizontal="center" vertical="center"/>
      <protection hidden="1"/>
    </xf>
    <xf numFmtId="0" fontId="51" fillId="0" borderId="0" xfId="0" applyFont="1" applyFill="1" applyBorder="1" applyAlignment="1" applyProtection="1">
      <alignment horizontal="center" vertical="center"/>
      <protection hidden="1"/>
    </xf>
    <xf numFmtId="0" fontId="51" fillId="54" borderId="114" xfId="0" applyFont="1" applyFill="1" applyBorder="1" applyAlignment="1" applyProtection="1">
      <alignment horizontal="left" vertical="center"/>
      <protection hidden="1"/>
    </xf>
    <xf numFmtId="0" fontId="51" fillId="48" borderId="96" xfId="0" applyFont="1" applyFill="1" applyBorder="1" applyAlignment="1" applyProtection="1">
      <alignment horizontal="center" vertical="center"/>
      <protection hidden="1"/>
    </xf>
    <xf numFmtId="0" fontId="51" fillId="54" borderId="96" xfId="0" applyFont="1" applyFill="1" applyBorder="1" applyAlignment="1" applyProtection="1">
      <alignment horizontal="center" vertical="center"/>
      <protection hidden="1"/>
    </xf>
    <xf numFmtId="43" fontId="51" fillId="54" borderId="96" xfId="56" applyFont="1" applyFill="1" applyBorder="1" applyAlignment="1" applyProtection="1">
      <alignment horizontal="center" vertical="center"/>
      <protection hidden="1"/>
    </xf>
    <xf numFmtId="37" fontId="51" fillId="54" borderId="96" xfId="56" applyNumberFormat="1" applyFont="1" applyFill="1" applyBorder="1" applyAlignment="1" applyProtection="1">
      <alignment horizontal="center" vertical="center"/>
      <protection hidden="1"/>
    </xf>
    <xf numFmtId="37" fontId="51" fillId="54" borderId="116" xfId="56" applyNumberFormat="1" applyFont="1" applyFill="1" applyBorder="1" applyAlignment="1" applyProtection="1">
      <alignment horizontal="center" vertical="center"/>
      <protection hidden="1"/>
    </xf>
    <xf numFmtId="0" fontId="51" fillId="54" borderId="121" xfId="0" applyFont="1" applyFill="1" applyBorder="1" applyAlignment="1" applyProtection="1">
      <alignment horizontal="left" vertical="center"/>
      <protection hidden="1"/>
    </xf>
    <xf numFmtId="0" fontId="51" fillId="48" borderId="144" xfId="0" applyFont="1" applyFill="1" applyBorder="1" applyAlignment="1" applyProtection="1">
      <alignment horizontal="center" vertical="center"/>
      <protection hidden="1"/>
    </xf>
    <xf numFmtId="0" fontId="34" fillId="48" borderId="17" xfId="0" applyFont="1" applyFill="1" applyBorder="1" applyAlignment="1" applyProtection="1">
      <alignment horizontal="left" vertical="center"/>
      <protection hidden="1"/>
    </xf>
    <xf numFmtId="0" fontId="51" fillId="48" borderId="36" xfId="0" applyFont="1" applyFill="1" applyBorder="1" applyAlignment="1" applyProtection="1">
      <alignment horizontal="center" vertical="center"/>
      <protection hidden="1"/>
    </xf>
    <xf numFmtId="0" fontId="51" fillId="48" borderId="37" xfId="0" applyFont="1" applyFill="1" applyBorder="1" applyAlignment="1" applyProtection="1">
      <alignment horizontal="center" vertical="center"/>
      <protection hidden="1"/>
    </xf>
    <xf numFmtId="0" fontId="51" fillId="46" borderId="98" xfId="0" applyFont="1" applyFill="1" applyBorder="1" applyAlignment="1" applyProtection="1">
      <alignment horizontal="center" vertical="center"/>
      <protection hidden="1"/>
    </xf>
    <xf numFmtId="0" fontId="51" fillId="46" borderId="73" xfId="0" applyFont="1" applyFill="1" applyBorder="1" applyAlignment="1" applyProtection="1">
      <alignment horizontal="center" vertical="center"/>
      <protection hidden="1"/>
    </xf>
    <xf numFmtId="0" fontId="51" fillId="46" borderId="99" xfId="0" applyFont="1" applyFill="1" applyBorder="1" applyAlignment="1" applyProtection="1">
      <alignment horizontal="center" vertical="center"/>
      <protection hidden="1"/>
    </xf>
    <xf numFmtId="0" fontId="51" fillId="48" borderId="18" xfId="0" applyFont="1" applyFill="1" applyBorder="1" applyAlignment="1" applyProtection="1">
      <alignment horizontal="left" vertical="center"/>
      <protection hidden="1"/>
    </xf>
    <xf numFmtId="0" fontId="51" fillId="48" borderId="19" xfId="0" applyFont="1" applyFill="1" applyBorder="1" applyAlignment="1" applyProtection="1">
      <alignment horizontal="center" vertical="center"/>
      <protection hidden="1"/>
    </xf>
    <xf numFmtId="0" fontId="144" fillId="46" borderId="68" xfId="0" applyFont="1" applyFill="1" applyBorder="1" applyAlignment="1" applyProtection="1">
      <alignment horizontal="center" vertical="center"/>
      <protection hidden="1"/>
    </xf>
    <xf numFmtId="0" fontId="51" fillId="46" borderId="0" xfId="0" applyFont="1" applyFill="1" applyBorder="1" applyAlignment="1" applyProtection="1">
      <alignment horizontal="center" vertical="center"/>
      <protection hidden="1"/>
    </xf>
    <xf numFmtId="0" fontId="51" fillId="46" borderId="42" xfId="0" applyFont="1" applyFill="1" applyBorder="1" applyAlignment="1" applyProtection="1">
      <alignment horizontal="center" vertical="center"/>
      <protection hidden="1"/>
    </xf>
    <xf numFmtId="170" fontId="51" fillId="48" borderId="16" xfId="0" applyNumberFormat="1" applyFont="1" applyFill="1" applyBorder="1" applyAlignment="1" applyProtection="1">
      <alignment horizontal="center" vertical="center"/>
      <protection hidden="1"/>
    </xf>
    <xf numFmtId="170" fontId="51" fillId="48" borderId="19" xfId="0" applyNumberFormat="1" applyFont="1" applyFill="1" applyBorder="1" applyAlignment="1" applyProtection="1">
      <alignment horizontal="center" vertical="center"/>
      <protection hidden="1"/>
    </xf>
    <xf numFmtId="0" fontId="51" fillId="46" borderId="16" xfId="0" applyFont="1" applyFill="1" applyBorder="1" applyAlignment="1" applyProtection="1">
      <alignment horizontal="center" vertical="center"/>
      <protection hidden="1"/>
    </xf>
    <xf numFmtId="166" fontId="51" fillId="46" borderId="0" xfId="0" applyNumberFormat="1" applyFont="1" applyFill="1" applyBorder="1" applyAlignment="1" applyProtection="1">
      <alignment horizontal="center" vertical="center"/>
      <protection hidden="1"/>
    </xf>
    <xf numFmtId="10" fontId="51" fillId="46" borderId="0" xfId="90" applyNumberFormat="1" applyFont="1" applyFill="1" applyBorder="1" applyAlignment="1" applyProtection="1">
      <alignment horizontal="center" vertical="center"/>
      <protection hidden="1"/>
    </xf>
    <xf numFmtId="43" fontId="51" fillId="48" borderId="16" xfId="55" applyFont="1" applyFill="1" applyBorder="1" applyAlignment="1" applyProtection="1">
      <alignment horizontal="center" vertical="center"/>
      <protection hidden="1"/>
    </xf>
    <xf numFmtId="43" fontId="51" fillId="48" borderId="19" xfId="55" applyFont="1" applyFill="1" applyBorder="1" applyAlignment="1" applyProtection="1">
      <alignment horizontal="center" vertical="center"/>
      <protection hidden="1"/>
    </xf>
    <xf numFmtId="0" fontId="51" fillId="48" borderId="67" xfId="0" applyFont="1" applyFill="1" applyBorder="1" applyAlignment="1" applyProtection="1">
      <alignment horizontal="center" vertical="center"/>
      <protection hidden="1"/>
    </xf>
    <xf numFmtId="0" fontId="51" fillId="48" borderId="38" xfId="0" applyFont="1" applyFill="1" applyBorder="1" applyAlignment="1" applyProtection="1">
      <alignment horizontal="left" vertical="center"/>
      <protection hidden="1"/>
    </xf>
    <xf numFmtId="168" fontId="51" fillId="48" borderId="11" xfId="56" applyNumberFormat="1" applyFont="1" applyFill="1" applyBorder="1" applyAlignment="1" applyProtection="1">
      <alignment horizontal="center" vertical="center"/>
      <protection hidden="1"/>
    </xf>
    <xf numFmtId="37" fontId="51" fillId="48" borderId="11" xfId="56" applyNumberFormat="1" applyFont="1" applyFill="1" applyBorder="1" applyAlignment="1" applyProtection="1">
      <alignment horizontal="center" vertical="center"/>
      <protection hidden="1"/>
    </xf>
    <xf numFmtId="37" fontId="51" fillId="48" borderId="12" xfId="56" applyNumberFormat="1" applyFont="1" applyFill="1" applyBorder="1" applyAlignment="1" applyProtection="1">
      <alignment horizontal="center" vertical="center"/>
      <protection hidden="1"/>
    </xf>
    <xf numFmtId="43" fontId="51" fillId="48" borderId="0" xfId="56" applyFont="1" applyFill="1" applyBorder="1" applyAlignment="1" applyProtection="1">
      <alignment horizontal="center" vertical="center"/>
      <protection hidden="1"/>
    </xf>
    <xf numFmtId="0" fontId="51" fillId="48" borderId="39" xfId="0" applyFont="1" applyFill="1" applyBorder="1" applyAlignment="1" applyProtection="1">
      <alignment horizontal="left" vertical="center"/>
      <protection hidden="1"/>
    </xf>
    <xf numFmtId="172" fontId="51" fillId="48" borderId="16" xfId="56" applyNumberFormat="1" applyFont="1" applyFill="1" applyBorder="1" applyAlignment="1" applyProtection="1">
      <alignment horizontal="center" vertical="center"/>
      <protection hidden="1"/>
    </xf>
    <xf numFmtId="184" fontId="51" fillId="48" borderId="16" xfId="0" applyNumberFormat="1" applyFont="1" applyFill="1" applyBorder="1" applyAlignment="1" applyProtection="1">
      <alignment horizontal="center" vertical="center"/>
      <protection hidden="1"/>
    </xf>
    <xf numFmtId="184" fontId="51" fillId="48" borderId="19" xfId="0" applyNumberFormat="1" applyFont="1" applyFill="1" applyBorder="1" applyAlignment="1" applyProtection="1">
      <alignment horizontal="center" vertical="center"/>
      <protection hidden="1"/>
    </xf>
    <xf numFmtId="166" fontId="51" fillId="46" borderId="84" xfId="0" applyNumberFormat="1" applyFont="1" applyFill="1" applyBorder="1" applyAlignment="1" applyProtection="1">
      <alignment horizontal="center" vertical="center"/>
      <protection hidden="1"/>
    </xf>
    <xf numFmtId="10" fontId="51" fillId="46" borderId="84" xfId="90" applyNumberFormat="1" applyFont="1" applyFill="1" applyBorder="1" applyAlignment="1" applyProtection="1">
      <alignment horizontal="center" vertical="center"/>
      <protection hidden="1"/>
    </xf>
    <xf numFmtId="0" fontId="51" fillId="46" borderId="103" xfId="0" applyFont="1" applyFill="1" applyBorder="1" applyAlignment="1" applyProtection="1">
      <alignment horizontal="center" vertical="center"/>
      <protection hidden="1"/>
    </xf>
    <xf numFmtId="0" fontId="51" fillId="26" borderId="20" xfId="0" applyFont="1" applyFill="1" applyBorder="1" applyAlignment="1" applyProtection="1">
      <alignment horizontal="center" vertical="center"/>
      <protection hidden="1"/>
    </xf>
    <xf numFmtId="0" fontId="51" fillId="26" borderId="13" xfId="0" applyFont="1" applyFill="1" applyBorder="1" applyAlignment="1" applyProtection="1">
      <alignment horizontal="center" vertical="center"/>
      <protection hidden="1"/>
    </xf>
    <xf numFmtId="0" fontId="51" fillId="26" borderId="21" xfId="0" applyFont="1" applyFill="1" applyBorder="1" applyAlignment="1" applyProtection="1">
      <alignment horizontal="center" vertical="center"/>
      <protection hidden="1"/>
    </xf>
    <xf numFmtId="43" fontId="51" fillId="48" borderId="11" xfId="56" applyFont="1" applyFill="1" applyBorder="1" applyAlignment="1" applyProtection="1">
      <alignment horizontal="center" vertical="center"/>
      <protection hidden="1"/>
    </xf>
    <xf numFmtId="0" fontId="51" fillId="26" borderId="39" xfId="0" applyFont="1" applyFill="1" applyBorder="1" applyAlignment="1" applyProtection="1">
      <alignment horizontal="center" vertical="center"/>
      <protection hidden="1"/>
    </xf>
    <xf numFmtId="0" fontId="51" fillId="26" borderId="0" xfId="0" applyFont="1" applyFill="1" applyBorder="1" applyAlignment="1" applyProtection="1">
      <alignment horizontal="center" vertical="center"/>
      <protection hidden="1"/>
    </xf>
    <xf numFmtId="0" fontId="51" fillId="26" borderId="40" xfId="0" applyFont="1" applyFill="1" applyBorder="1" applyAlignment="1" applyProtection="1">
      <alignment horizontal="center" vertical="center"/>
      <protection hidden="1"/>
    </xf>
    <xf numFmtId="172" fontId="51" fillId="48" borderId="16" xfId="55" applyNumberFormat="1" applyFont="1" applyFill="1" applyBorder="1" applyAlignment="1" applyProtection="1">
      <alignment horizontal="center" vertical="center"/>
      <protection hidden="1"/>
    </xf>
    <xf numFmtId="0" fontId="51" fillId="26" borderId="22" xfId="0" applyFont="1" applyFill="1" applyBorder="1" applyAlignment="1" applyProtection="1">
      <alignment horizontal="center" vertical="center"/>
      <protection hidden="1"/>
    </xf>
    <xf numFmtId="0" fontId="51" fillId="26" borderId="45" xfId="0" applyFont="1" applyFill="1" applyBorder="1" applyAlignment="1" applyProtection="1">
      <alignment horizontal="center" vertical="center"/>
      <protection hidden="1"/>
    </xf>
    <xf numFmtId="0" fontId="51" fillId="26" borderId="23" xfId="0" applyFont="1" applyFill="1" applyBorder="1" applyAlignment="1" applyProtection="1">
      <alignment horizontal="center" vertical="center"/>
      <protection hidden="1"/>
    </xf>
    <xf numFmtId="37" fontId="51" fillId="48" borderId="0" xfId="56" applyNumberFormat="1" applyFont="1" applyFill="1" applyBorder="1" applyAlignment="1" applyProtection="1">
      <alignment horizontal="center" vertical="center"/>
      <protection hidden="1"/>
    </xf>
    <xf numFmtId="0" fontId="51" fillId="48" borderId="17" xfId="0" applyFont="1" applyFill="1" applyBorder="1" applyAlignment="1" applyProtection="1">
      <alignment horizontal="left" vertical="center"/>
      <protection hidden="1"/>
    </xf>
    <xf numFmtId="3" fontId="51" fillId="48" borderId="36" xfId="0" applyNumberFormat="1" applyFont="1" applyFill="1" applyBorder="1" applyAlignment="1" applyProtection="1">
      <alignment horizontal="center" vertical="center"/>
      <protection hidden="1"/>
    </xf>
    <xf numFmtId="3" fontId="51" fillId="48" borderId="37" xfId="0" applyNumberFormat="1" applyFont="1" applyFill="1" applyBorder="1" applyAlignment="1" applyProtection="1">
      <alignment horizontal="center" vertical="center"/>
      <protection hidden="1"/>
    </xf>
    <xf numFmtId="3" fontId="51" fillId="48" borderId="16" xfId="0" applyNumberFormat="1" applyFont="1" applyFill="1" applyBorder="1" applyAlignment="1" applyProtection="1">
      <alignment horizontal="center" vertical="center"/>
      <protection hidden="1"/>
    </xf>
    <xf numFmtId="3" fontId="51" fillId="48" borderId="19" xfId="0" applyNumberFormat="1" applyFont="1" applyFill="1" applyBorder="1" applyAlignment="1" applyProtection="1">
      <alignment horizontal="center" vertical="center"/>
      <protection hidden="1"/>
    </xf>
    <xf numFmtId="0" fontId="34" fillId="48" borderId="11" xfId="0" applyFont="1" applyFill="1" applyBorder="1" applyAlignment="1" applyProtection="1">
      <alignment horizontal="center" vertical="center"/>
      <protection hidden="1"/>
    </xf>
    <xf numFmtId="3" fontId="51" fillId="48" borderId="11" xfId="0" applyNumberFormat="1" applyFont="1" applyFill="1" applyBorder="1" applyAlignment="1" applyProtection="1">
      <alignment horizontal="center" vertical="center"/>
      <protection hidden="1"/>
    </xf>
    <xf numFmtId="3" fontId="51" fillId="48" borderId="12" xfId="0" applyNumberFormat="1" applyFont="1" applyFill="1" applyBorder="1" applyAlignment="1" applyProtection="1">
      <alignment horizontal="center" vertical="center"/>
      <protection hidden="1"/>
    </xf>
    <xf numFmtId="41" fontId="51" fillId="48" borderId="11" xfId="56" applyNumberFormat="1" applyFont="1" applyFill="1" applyBorder="1" applyAlignment="1" applyProtection="1">
      <alignment horizontal="center" vertical="center"/>
      <protection hidden="1"/>
    </xf>
    <xf numFmtId="41" fontId="51" fillId="48" borderId="12" xfId="56" applyNumberFormat="1" applyFont="1" applyFill="1" applyBorder="1" applyAlignment="1" applyProtection="1">
      <alignment horizontal="center" vertical="center"/>
      <protection hidden="1"/>
    </xf>
    <xf numFmtId="168" fontId="51" fillId="48" borderId="12" xfId="56" applyNumberFormat="1" applyFont="1" applyFill="1" applyBorder="1" applyAlignment="1" applyProtection="1">
      <alignment horizontal="center" vertical="center"/>
      <protection hidden="1"/>
    </xf>
    <xf numFmtId="0" fontId="51" fillId="48" borderId="39" xfId="0" applyFont="1" applyFill="1" applyBorder="1" applyAlignment="1" applyProtection="1">
      <alignment horizontal="center" vertical="center"/>
      <protection hidden="1"/>
    </xf>
    <xf numFmtId="0" fontId="34" fillId="48" borderId="0" xfId="0" applyFont="1" applyFill="1" applyBorder="1" applyAlignment="1" applyProtection="1">
      <alignment horizontal="left" vertical="center"/>
      <protection hidden="1"/>
    </xf>
    <xf numFmtId="166" fontId="51" fillId="48" borderId="16" xfId="0" applyNumberFormat="1" applyFont="1" applyFill="1" applyBorder="1" applyAlignment="1" applyProtection="1">
      <alignment horizontal="center" vertical="center"/>
      <protection hidden="1"/>
    </xf>
    <xf numFmtId="0" fontId="34" fillId="48" borderId="138" xfId="0" applyFont="1" applyFill="1" applyBorder="1" applyAlignment="1" applyProtection="1">
      <alignment horizontal="center" vertical="center"/>
      <protection hidden="1"/>
    </xf>
    <xf numFmtId="0" fontId="34" fillId="48" borderId="139" xfId="0" applyFont="1" applyFill="1" applyBorder="1" applyAlignment="1" applyProtection="1">
      <alignment horizontal="center" vertical="center"/>
      <protection hidden="1"/>
    </xf>
    <xf numFmtId="2" fontId="51" fillId="48" borderId="16" xfId="0" applyNumberFormat="1" applyFont="1" applyFill="1" applyBorder="1" applyAlignment="1" applyProtection="1">
      <alignment horizontal="center" vertical="center"/>
      <protection hidden="1"/>
    </xf>
    <xf numFmtId="0" fontId="145" fillId="0" borderId="0" xfId="0" applyFont="1" applyBorder="1" applyAlignment="1" applyProtection="1">
      <alignment horizontal="center" vertical="center"/>
      <protection hidden="1"/>
    </xf>
    <xf numFmtId="166" fontId="51" fillId="0" borderId="0" xfId="0" applyNumberFormat="1" applyFont="1" applyBorder="1" applyAlignment="1" applyProtection="1">
      <alignment horizontal="center" vertical="center"/>
      <protection hidden="1"/>
    </xf>
    <xf numFmtId="10" fontId="51" fillId="0" borderId="0" xfId="90" applyNumberFormat="1" applyFont="1" applyBorder="1" applyAlignment="1" applyProtection="1">
      <alignment horizontal="center" vertical="center"/>
      <protection hidden="1"/>
    </xf>
    <xf numFmtId="0" fontId="51" fillId="0" borderId="0" xfId="0" applyFont="1" applyBorder="1" applyAlignment="1" applyProtection="1">
      <alignment horizontal="center" vertical="center"/>
      <protection hidden="1"/>
    </xf>
    <xf numFmtId="0" fontId="145" fillId="24" borderId="0" xfId="0" applyFont="1" applyFill="1" applyBorder="1" applyAlignment="1" applyProtection="1">
      <alignment horizontal="center" vertical="center"/>
      <protection hidden="1"/>
    </xf>
    <xf numFmtId="166" fontId="51" fillId="24" borderId="0" xfId="0" applyNumberFormat="1" applyFont="1" applyFill="1" applyBorder="1" applyAlignment="1" applyProtection="1">
      <alignment horizontal="center" vertical="center"/>
      <protection hidden="1"/>
    </xf>
    <xf numFmtId="10" fontId="51" fillId="24" borderId="0" xfId="90" applyNumberFormat="1" applyFont="1" applyFill="1" applyBorder="1" applyAlignment="1" applyProtection="1">
      <alignment horizontal="center" vertical="center"/>
      <protection hidden="1"/>
    </xf>
    <xf numFmtId="166" fontId="51" fillId="48" borderId="19" xfId="0" applyNumberFormat="1" applyFont="1" applyFill="1" applyBorder="1" applyAlignment="1" applyProtection="1">
      <alignment horizontal="center" vertical="center"/>
      <protection hidden="1"/>
    </xf>
    <xf numFmtId="0" fontId="34" fillId="48" borderId="66" xfId="0" applyFont="1" applyFill="1" applyBorder="1" applyAlignment="1" applyProtection="1">
      <alignment horizontal="left" vertical="center"/>
      <protection hidden="1"/>
    </xf>
    <xf numFmtId="0" fontId="51" fillId="48" borderId="66" xfId="0" applyFont="1" applyFill="1" applyBorder="1" applyAlignment="1" applyProtection="1">
      <alignment horizontal="center" vertical="center"/>
      <protection hidden="1"/>
    </xf>
    <xf numFmtId="0" fontId="51" fillId="48" borderId="66" xfId="0" applyFont="1" applyFill="1" applyBorder="1" applyAlignment="1" applyProtection="1">
      <alignment horizontal="left" vertical="center"/>
      <protection hidden="1"/>
    </xf>
    <xf numFmtId="172" fontId="51" fillId="48" borderId="66" xfId="56" applyNumberFormat="1" applyFont="1" applyFill="1" applyBorder="1" applyAlignment="1" applyProtection="1">
      <alignment horizontal="center" vertical="center"/>
      <protection hidden="1"/>
    </xf>
    <xf numFmtId="184" fontId="51" fillId="48" borderId="66" xfId="0" applyNumberFormat="1" applyFont="1" applyFill="1" applyBorder="1" applyAlignment="1" applyProtection="1">
      <alignment horizontal="center" vertical="center"/>
      <protection hidden="1"/>
    </xf>
    <xf numFmtId="166" fontId="51" fillId="48" borderId="66" xfId="0" applyNumberFormat="1" applyFont="1" applyFill="1" applyBorder="1" applyAlignment="1" applyProtection="1">
      <alignment horizontal="center" vertical="center"/>
      <protection hidden="1"/>
    </xf>
    <xf numFmtId="170" fontId="51" fillId="48" borderId="66" xfId="0" applyNumberFormat="1" applyFont="1" applyFill="1" applyBorder="1" applyAlignment="1" applyProtection="1">
      <alignment horizontal="center" vertical="center"/>
      <protection hidden="1"/>
    </xf>
    <xf numFmtId="43" fontId="51" fillId="48" borderId="66" xfId="56" applyFont="1" applyFill="1" applyBorder="1" applyAlignment="1" applyProtection="1">
      <alignment horizontal="center" vertical="center"/>
      <protection hidden="1"/>
    </xf>
    <xf numFmtId="37" fontId="51" fillId="48" borderId="66" xfId="56" applyNumberFormat="1" applyFont="1" applyFill="1" applyBorder="1" applyAlignment="1" applyProtection="1">
      <alignment horizontal="center" vertical="center"/>
      <protection hidden="1"/>
    </xf>
    <xf numFmtId="0" fontId="51" fillId="48" borderId="20" xfId="0" applyFont="1" applyFill="1" applyBorder="1" applyAlignment="1" applyProtection="1">
      <alignment horizontal="left" vertical="center"/>
      <protection hidden="1"/>
    </xf>
    <xf numFmtId="43" fontId="51" fillId="48" borderId="13" xfId="56" applyFont="1" applyFill="1" applyBorder="1" applyAlignment="1" applyProtection="1">
      <alignment horizontal="center" vertical="center"/>
      <protection hidden="1"/>
    </xf>
    <xf numFmtId="37" fontId="51" fillId="48" borderId="13" xfId="56" applyNumberFormat="1" applyFont="1" applyFill="1" applyBorder="1" applyAlignment="1" applyProtection="1">
      <alignment horizontal="center" vertical="center"/>
      <protection hidden="1"/>
    </xf>
    <xf numFmtId="37" fontId="51" fillId="48" borderId="21" xfId="56" applyNumberFormat="1" applyFont="1" applyFill="1" applyBorder="1" applyAlignment="1" applyProtection="1">
      <alignment horizontal="center" vertical="center"/>
      <protection hidden="1"/>
    </xf>
    <xf numFmtId="172" fontId="51" fillId="48" borderId="0" xfId="56" applyNumberFormat="1" applyFont="1" applyFill="1" applyBorder="1" applyAlignment="1" applyProtection="1">
      <alignment horizontal="center" vertical="center"/>
      <protection hidden="1"/>
    </xf>
    <xf numFmtId="0" fontId="51" fillId="48" borderId="13" xfId="0" applyFont="1" applyFill="1" applyBorder="1" applyAlignment="1" applyProtection="1">
      <alignment horizontal="center" vertical="center"/>
      <protection hidden="1"/>
    </xf>
    <xf numFmtId="0" fontId="51" fillId="48" borderId="77" xfId="0" applyFont="1" applyFill="1" applyBorder="1" applyAlignment="1" applyProtection="1">
      <alignment horizontal="center" vertical="center"/>
      <protection hidden="1"/>
    </xf>
    <xf numFmtId="43" fontId="51" fillId="48" borderId="16" xfId="56" applyFont="1" applyFill="1" applyBorder="1" applyAlignment="1" applyProtection="1">
      <alignment horizontal="center" vertical="center"/>
      <protection hidden="1"/>
    </xf>
    <xf numFmtId="0" fontId="34" fillId="56" borderId="16" xfId="0" applyFont="1" applyFill="1" applyBorder="1" applyAlignment="1" applyProtection="1">
      <alignment horizontal="left" vertical="center"/>
      <protection hidden="1"/>
    </xf>
    <xf numFmtId="172" fontId="34" fillId="56" borderId="16" xfId="56" applyNumberFormat="1" applyFont="1" applyFill="1" applyBorder="1" applyAlignment="1" applyProtection="1">
      <alignment horizontal="center" vertical="center"/>
      <protection hidden="1"/>
    </xf>
    <xf numFmtId="37" fontId="34" fillId="56" borderId="16" xfId="56" applyNumberFormat="1" applyFont="1" applyFill="1" applyBorder="1" applyAlignment="1" applyProtection="1">
      <alignment horizontal="center" vertical="center"/>
      <protection hidden="1"/>
    </xf>
    <xf numFmtId="0" fontId="51" fillId="0" borderId="0" xfId="0" applyFont="1" applyAlignment="1" applyProtection="1">
      <alignment horizontal="left" vertical="center"/>
      <protection hidden="1"/>
    </xf>
    <xf numFmtId="0" fontId="51" fillId="0" borderId="0" xfId="0" applyFont="1" applyFill="1" applyAlignment="1" applyProtection="1">
      <alignment horizontal="center" vertical="center"/>
      <protection hidden="1"/>
    </xf>
    <xf numFmtId="0" fontId="51" fillId="54" borderId="0" xfId="81" applyFont="1" applyFill="1" applyAlignment="1" applyProtection="1">
      <alignment horizontal="center" vertical="center"/>
      <protection hidden="1"/>
    </xf>
    <xf numFmtId="0" fontId="51" fillId="54" borderId="0" xfId="81" applyFont="1" applyFill="1" applyAlignment="1" applyProtection="1">
      <alignment horizontal="left" vertical="center"/>
      <protection hidden="1"/>
    </xf>
    <xf numFmtId="0" fontId="51" fillId="0" borderId="0" xfId="81" applyFont="1" applyAlignment="1" applyProtection="1">
      <alignment horizontal="center" vertical="center" wrapText="1"/>
      <protection hidden="1"/>
    </xf>
    <xf numFmtId="0" fontId="51" fillId="0" borderId="0" xfId="81" applyFont="1" applyAlignment="1" applyProtection="1">
      <alignment horizontal="center" vertical="center"/>
      <protection hidden="1"/>
    </xf>
    <xf numFmtId="3" fontId="51" fillId="54" borderId="0" xfId="81" applyNumberFormat="1" applyFont="1" applyFill="1" applyAlignment="1" applyProtection="1">
      <alignment horizontal="center" vertical="center"/>
      <protection hidden="1"/>
    </xf>
    <xf numFmtId="0" fontId="71" fillId="54" borderId="0" xfId="81" applyFont="1" applyFill="1" applyAlignment="1" applyProtection="1">
      <alignment horizontal="center" vertical="center"/>
      <protection hidden="1"/>
    </xf>
    <xf numFmtId="0" fontId="51" fillId="0" borderId="0" xfId="0" applyFont="1" applyAlignment="1" applyProtection="1">
      <alignment horizontal="center" vertical="center" wrapText="1"/>
      <protection hidden="1"/>
    </xf>
    <xf numFmtId="0" fontId="34" fillId="28" borderId="16" xfId="81" applyFont="1" applyFill="1" applyBorder="1" applyAlignment="1" applyProtection="1">
      <alignment horizontal="center" vertical="center"/>
      <protection hidden="1"/>
    </xf>
    <xf numFmtId="0" fontId="51" fillId="55" borderId="64" xfId="81" applyFont="1" applyFill="1" applyBorder="1" applyAlignment="1" applyProtection="1">
      <alignment horizontal="left" vertical="center"/>
      <protection hidden="1"/>
    </xf>
    <xf numFmtId="0" fontId="114" fillId="55" borderId="76" xfId="81" applyFont="1" applyFill="1" applyBorder="1" applyAlignment="1" applyProtection="1">
      <alignment horizontal="center" vertical="center"/>
      <protection hidden="1"/>
    </xf>
    <xf numFmtId="0" fontId="34" fillId="55" borderId="76" xfId="81" applyFont="1" applyFill="1" applyBorder="1" applyAlignment="1" applyProtection="1">
      <alignment horizontal="center" vertical="center"/>
      <protection hidden="1"/>
    </xf>
    <xf numFmtId="0" fontId="34" fillId="55" borderId="65" xfId="81" applyFont="1" applyFill="1" applyBorder="1" applyAlignment="1" applyProtection="1">
      <alignment horizontal="center" vertical="center"/>
      <protection hidden="1"/>
    </xf>
    <xf numFmtId="0" fontId="31" fillId="26" borderId="16" xfId="81" applyFont="1" applyFill="1" applyBorder="1" applyAlignment="1" applyProtection="1">
      <alignment horizontal="center" vertical="center"/>
      <protection hidden="1"/>
    </xf>
    <xf numFmtId="0" fontId="51" fillId="54" borderId="53" xfId="81" applyFont="1" applyFill="1" applyBorder="1" applyAlignment="1" applyProtection="1">
      <alignment horizontal="left" vertical="center"/>
      <protection hidden="1"/>
    </xf>
    <xf numFmtId="0" fontId="51" fillId="54" borderId="55" xfId="81" applyFont="1" applyFill="1" applyBorder="1" applyAlignment="1" applyProtection="1">
      <alignment horizontal="center" vertical="center"/>
      <protection hidden="1"/>
    </xf>
    <xf numFmtId="184" fontId="51" fillId="52" borderId="55" xfId="0" applyNumberFormat="1" applyFont="1" applyFill="1" applyBorder="1" applyAlignment="1" applyProtection="1">
      <alignment horizontal="center" vertical="center"/>
      <protection hidden="1"/>
    </xf>
    <xf numFmtId="184" fontId="51" fillId="52" borderId="52" xfId="0" applyNumberFormat="1" applyFont="1" applyFill="1" applyBorder="1" applyAlignment="1" applyProtection="1">
      <alignment horizontal="center" vertical="center"/>
      <protection hidden="1"/>
    </xf>
    <xf numFmtId="0" fontId="71" fillId="0" borderId="0" xfId="81" applyFont="1" applyFill="1" applyAlignment="1" applyProtection="1">
      <alignment horizontal="center" vertical="center" wrapText="1"/>
      <protection hidden="1"/>
    </xf>
    <xf numFmtId="0" fontId="51" fillId="54" borderId="54" xfId="81" applyFont="1" applyFill="1" applyBorder="1" applyAlignment="1" applyProtection="1">
      <alignment horizontal="left" vertical="center"/>
      <protection hidden="1"/>
    </xf>
    <xf numFmtId="0" fontId="51" fillId="54" borderId="50" xfId="81" applyFont="1" applyFill="1" applyBorder="1" applyAlignment="1" applyProtection="1">
      <alignment horizontal="center" vertical="center"/>
      <protection hidden="1"/>
    </xf>
    <xf numFmtId="3" fontId="51" fillId="54" borderId="65" xfId="57" applyNumberFormat="1" applyFont="1" applyFill="1" applyBorder="1" applyAlignment="1" applyProtection="1">
      <alignment horizontal="center" vertical="center"/>
      <protection hidden="1"/>
    </xf>
    <xf numFmtId="0" fontId="51" fillId="0" borderId="0" xfId="81" applyFont="1" applyFill="1" applyAlignment="1" applyProtection="1">
      <alignment horizontal="center" vertical="center" wrapText="1"/>
      <protection hidden="1"/>
    </xf>
    <xf numFmtId="0" fontId="51" fillId="0" borderId="0" xfId="81" applyFont="1" applyFill="1" applyAlignment="1" applyProtection="1">
      <alignment horizontal="center" vertical="center"/>
      <protection hidden="1"/>
    </xf>
    <xf numFmtId="0" fontId="34" fillId="53" borderId="90" xfId="81" applyFont="1" applyFill="1" applyBorder="1" applyAlignment="1" applyProtection="1">
      <alignment horizontal="left" vertical="center" wrapText="1"/>
      <protection hidden="1"/>
    </xf>
    <xf numFmtId="0" fontId="34" fillId="53" borderId="76" xfId="81" applyFont="1" applyFill="1" applyBorder="1" applyAlignment="1" applyProtection="1">
      <alignment horizontal="center" vertical="center" wrapText="1"/>
      <protection hidden="1"/>
    </xf>
    <xf numFmtId="3" fontId="34" fillId="53" borderId="76" xfId="81" applyNumberFormat="1" applyFont="1" applyFill="1" applyBorder="1" applyAlignment="1" applyProtection="1">
      <alignment horizontal="center" vertical="center" wrapText="1"/>
      <protection hidden="1"/>
    </xf>
    <xf numFmtId="0" fontId="51" fillId="0" borderId="0" xfId="81" applyFont="1" applyAlignment="1" applyProtection="1">
      <alignment horizontal="left" vertical="center"/>
      <protection hidden="1"/>
    </xf>
    <xf numFmtId="4" fontId="51" fillId="48" borderId="0" xfId="0" applyNumberFormat="1" applyFont="1" applyFill="1" applyAlignment="1" applyProtection="1">
      <alignment horizontal="center" vertical="center"/>
      <protection hidden="1"/>
    </xf>
    <xf numFmtId="4" fontId="51" fillId="0" borderId="0" xfId="0" applyNumberFormat="1" applyFont="1" applyAlignment="1" applyProtection="1">
      <alignment horizontal="center" vertical="center"/>
      <protection hidden="1"/>
    </xf>
    <xf numFmtId="4" fontId="34" fillId="48" borderId="0" xfId="0" applyNumberFormat="1" applyFont="1" applyFill="1" applyAlignment="1" applyProtection="1">
      <alignment horizontal="center" vertical="center"/>
      <protection hidden="1"/>
    </xf>
    <xf numFmtId="3" fontId="34" fillId="48" borderId="0" xfId="0" applyNumberFormat="1" applyFont="1" applyFill="1" applyBorder="1" applyAlignment="1" applyProtection="1">
      <alignment horizontal="center" vertical="center"/>
      <protection hidden="1"/>
    </xf>
    <xf numFmtId="170" fontId="51" fillId="48" borderId="0" xfId="0" applyNumberFormat="1" applyFont="1" applyFill="1" applyAlignment="1" applyProtection="1">
      <alignment horizontal="left" vertical="center"/>
      <protection hidden="1"/>
    </xf>
    <xf numFmtId="0" fontId="51" fillId="48" borderId="15" xfId="0" applyFont="1" applyFill="1" applyBorder="1" applyAlignment="1" applyProtection="1">
      <alignment horizontal="left" vertical="center" wrapText="1"/>
      <protection hidden="1"/>
    </xf>
    <xf numFmtId="3" fontId="51" fillId="48" borderId="46" xfId="0" applyNumberFormat="1" applyFont="1" applyFill="1" applyBorder="1" applyAlignment="1" applyProtection="1">
      <alignment horizontal="center" vertical="center" wrapText="1"/>
      <protection hidden="1"/>
    </xf>
    <xf numFmtId="4" fontId="43" fillId="48" borderId="0" xfId="0" applyNumberFormat="1" applyFont="1" applyFill="1" applyAlignment="1" applyProtection="1">
      <alignment horizontal="center" vertical="center"/>
      <protection hidden="1"/>
    </xf>
    <xf numFmtId="4"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3" fontId="43" fillId="0" borderId="0" xfId="0" applyNumberFormat="1" applyFont="1" applyFill="1" applyAlignment="1" applyProtection="1">
      <alignment horizontal="center" vertical="center"/>
      <protection hidden="1"/>
    </xf>
    <xf numFmtId="0" fontId="43" fillId="0" borderId="0" xfId="0" applyFont="1" applyBorder="1" applyAlignment="1" applyProtection="1">
      <alignment horizontal="center" vertical="center"/>
      <protection hidden="1"/>
    </xf>
    <xf numFmtId="4" fontId="51" fillId="0" borderId="0" xfId="0" applyNumberFormat="1" applyFont="1" applyBorder="1" applyAlignment="1" applyProtection="1">
      <alignment horizontal="center" vertical="center"/>
      <protection hidden="1"/>
    </xf>
    <xf numFmtId="0" fontId="51" fillId="54" borderId="190" xfId="0" applyFont="1" applyFill="1" applyBorder="1" applyAlignment="1" applyProtection="1">
      <alignment horizontal="left" vertical="center" wrapText="1"/>
      <protection hidden="1"/>
    </xf>
    <xf numFmtId="0" fontId="34" fillId="48" borderId="55" xfId="0" applyFont="1" applyFill="1" applyBorder="1" applyAlignment="1" applyProtection="1">
      <alignment horizontal="center" vertical="center" wrapText="1"/>
      <protection hidden="1"/>
    </xf>
    <xf numFmtId="0" fontId="34" fillId="54" borderId="55" xfId="0" applyFont="1" applyFill="1" applyBorder="1" applyAlignment="1" applyProtection="1">
      <alignment horizontal="center" vertical="center" wrapText="1"/>
      <protection hidden="1"/>
    </xf>
    <xf numFmtId="0" fontId="34" fillId="54" borderId="52" xfId="0" applyFont="1" applyFill="1" applyBorder="1" applyAlignment="1" applyProtection="1">
      <alignment horizontal="center" vertical="center" wrapText="1"/>
      <protection hidden="1"/>
    </xf>
    <xf numFmtId="4" fontId="51" fillId="52" borderId="55" xfId="55" applyNumberFormat="1" applyFont="1" applyFill="1" applyBorder="1" applyAlignment="1" applyProtection="1">
      <alignment horizontal="center" vertical="center" wrapText="1"/>
      <protection hidden="1"/>
    </xf>
    <xf numFmtId="4" fontId="51" fillId="52" borderId="52" xfId="55" applyNumberFormat="1" applyFont="1" applyFill="1" applyBorder="1" applyAlignment="1" applyProtection="1">
      <alignment horizontal="center" vertical="center" wrapText="1"/>
      <protection hidden="1"/>
    </xf>
    <xf numFmtId="49" fontId="146" fillId="48" borderId="0" xfId="0" applyNumberFormat="1" applyFont="1" applyFill="1" applyBorder="1" applyAlignment="1" applyProtection="1">
      <alignment horizontal="center" vertical="center"/>
      <protection hidden="1"/>
    </xf>
    <xf numFmtId="4" fontId="146" fillId="48" borderId="0" xfId="0" applyNumberFormat="1" applyFont="1" applyFill="1" applyBorder="1" applyAlignment="1" applyProtection="1">
      <alignment horizontal="center" vertical="center"/>
      <protection hidden="1"/>
    </xf>
    <xf numFmtId="4" fontId="51" fillId="0" borderId="17" xfId="0" applyNumberFormat="1" applyFont="1" applyBorder="1" applyAlignment="1" applyProtection="1">
      <alignment horizontal="center" vertical="center"/>
      <protection hidden="1"/>
    </xf>
    <xf numFmtId="4" fontId="51" fillId="0" borderId="36" xfId="0" applyNumberFormat="1" applyFont="1" applyBorder="1" applyAlignment="1" applyProtection="1">
      <alignment horizontal="center" vertical="center" wrapText="1"/>
      <protection hidden="1"/>
    </xf>
    <xf numFmtId="4" fontId="51" fillId="0" borderId="37" xfId="0" applyNumberFormat="1" applyFont="1" applyBorder="1" applyAlignment="1" applyProtection="1">
      <alignment horizontal="center" vertical="center" wrapText="1"/>
      <protection hidden="1"/>
    </xf>
    <xf numFmtId="0" fontId="51" fillId="0" borderId="0" xfId="0" applyFont="1" applyBorder="1" applyAlignment="1" applyProtection="1">
      <alignment horizontal="center" vertical="center" wrapText="1"/>
      <protection hidden="1"/>
    </xf>
    <xf numFmtId="4" fontId="51" fillId="0" borderId="18" xfId="0" applyNumberFormat="1" applyFont="1" applyBorder="1" applyAlignment="1" applyProtection="1">
      <alignment horizontal="center" vertical="center"/>
      <protection hidden="1"/>
    </xf>
    <xf numFmtId="3" fontId="51" fillId="0" borderId="16" xfId="0" applyNumberFormat="1" applyFont="1" applyBorder="1" applyAlignment="1" applyProtection="1">
      <alignment horizontal="center" vertical="center" wrapText="1"/>
      <protection hidden="1"/>
    </xf>
    <xf numFmtId="3" fontId="51" fillId="0" borderId="19" xfId="0" applyNumberFormat="1" applyFont="1" applyBorder="1" applyAlignment="1" applyProtection="1">
      <alignment horizontal="center" vertical="center" wrapText="1"/>
      <protection hidden="1"/>
    </xf>
    <xf numFmtId="0" fontId="51" fillId="0" borderId="16" xfId="0" applyFont="1" applyBorder="1" applyAlignment="1" applyProtection="1">
      <alignment horizontal="center" vertical="center" wrapText="1"/>
      <protection hidden="1"/>
    </xf>
    <xf numFmtId="0" fontId="51" fillId="0" borderId="19" xfId="0" applyFont="1" applyBorder="1" applyAlignment="1" applyProtection="1">
      <alignment horizontal="center" vertical="center" wrapText="1"/>
      <protection hidden="1"/>
    </xf>
    <xf numFmtId="0" fontId="51" fillId="48" borderId="55" xfId="0" applyFont="1" applyFill="1" applyBorder="1" applyAlignment="1" applyProtection="1">
      <alignment horizontal="center" vertical="center" wrapText="1"/>
      <protection hidden="1"/>
    </xf>
    <xf numFmtId="4" fontId="147" fillId="51" borderId="57" xfId="73" applyNumberFormat="1" applyFont="1" applyFill="1" applyBorder="1" applyAlignment="1" applyProtection="1">
      <alignment horizontal="center" vertical="center"/>
      <protection hidden="1"/>
    </xf>
    <xf numFmtId="4" fontId="51" fillId="0" borderId="16" xfId="0" applyNumberFormat="1" applyFont="1" applyBorder="1" applyAlignment="1" applyProtection="1">
      <alignment horizontal="center" vertical="center" wrapText="1"/>
      <protection hidden="1"/>
    </xf>
    <xf numFmtId="4" fontId="51" fillId="0" borderId="19" xfId="0" applyNumberFormat="1" applyFont="1" applyBorder="1" applyAlignment="1" applyProtection="1">
      <alignment horizontal="center" vertical="center" wrapText="1"/>
      <protection hidden="1"/>
    </xf>
    <xf numFmtId="0" fontId="34" fillId="48" borderId="53" xfId="0" applyFont="1" applyFill="1" applyBorder="1" applyAlignment="1" applyProtection="1">
      <alignment horizontal="left" vertical="center" wrapText="1"/>
      <protection hidden="1"/>
    </xf>
    <xf numFmtId="3" fontId="34" fillId="48" borderId="55" xfId="55" applyNumberFormat="1" applyFont="1" applyFill="1" applyBorder="1" applyAlignment="1" applyProtection="1">
      <alignment horizontal="center" vertical="center" wrapText="1"/>
      <protection hidden="1"/>
    </xf>
    <xf numFmtId="3" fontId="34" fillId="48" borderId="52" xfId="55" applyNumberFormat="1" applyFont="1" applyFill="1" applyBorder="1" applyAlignment="1" applyProtection="1">
      <alignment horizontal="center" vertical="center" wrapText="1"/>
      <protection hidden="1"/>
    </xf>
    <xf numFmtId="168" fontId="51" fillId="0" borderId="16" xfId="55" applyNumberFormat="1" applyFont="1" applyBorder="1" applyAlignment="1" applyProtection="1">
      <alignment horizontal="center" vertical="center" wrapText="1"/>
      <protection hidden="1"/>
    </xf>
    <xf numFmtId="168" fontId="51" fillId="0" borderId="19" xfId="55" applyNumberFormat="1" applyFont="1" applyBorder="1" applyAlignment="1" applyProtection="1">
      <alignment horizontal="center" vertical="center" wrapText="1"/>
      <protection hidden="1"/>
    </xf>
    <xf numFmtId="0" fontId="51" fillId="48" borderId="54" xfId="0" applyFont="1" applyFill="1" applyBorder="1" applyAlignment="1" applyProtection="1">
      <alignment horizontal="left" vertical="center" wrapText="1"/>
      <protection hidden="1"/>
    </xf>
    <xf numFmtId="0" fontId="51" fillId="48" borderId="50" xfId="0" applyFont="1" applyFill="1" applyBorder="1" applyAlignment="1" applyProtection="1">
      <alignment horizontal="center" vertical="center" wrapText="1"/>
      <protection hidden="1"/>
    </xf>
    <xf numFmtId="0" fontId="51" fillId="48" borderId="56" xfId="0" applyFont="1" applyFill="1" applyBorder="1" applyAlignment="1" applyProtection="1">
      <alignment horizontal="center" vertical="center" wrapText="1"/>
      <protection hidden="1"/>
    </xf>
    <xf numFmtId="168" fontId="31" fillId="0" borderId="16" xfId="0" applyNumberFormat="1" applyFont="1" applyFill="1" applyBorder="1" applyAlignment="1" applyProtection="1">
      <alignment horizontal="center" vertical="center" wrapText="1"/>
      <protection hidden="1"/>
    </xf>
    <xf numFmtId="168" fontId="31" fillId="0" borderId="19" xfId="0" applyNumberFormat="1" applyFont="1" applyFill="1" applyBorder="1" applyAlignment="1" applyProtection="1">
      <alignment horizontal="center" vertical="center" wrapText="1"/>
      <protection hidden="1"/>
    </xf>
    <xf numFmtId="0" fontId="51" fillId="0" borderId="0" xfId="0" applyFont="1" applyFill="1" applyAlignment="1" applyProtection="1">
      <alignment horizontal="center" vertical="center" wrapText="1"/>
      <protection hidden="1"/>
    </xf>
    <xf numFmtId="4" fontId="51" fillId="0" borderId="38" xfId="0" applyNumberFormat="1" applyFont="1" applyFill="1" applyBorder="1" applyAlignment="1" applyProtection="1">
      <alignment horizontal="center" vertical="center"/>
      <protection hidden="1"/>
    </xf>
    <xf numFmtId="0" fontId="51" fillId="0" borderId="11" xfId="0" applyFont="1" applyFill="1" applyBorder="1" applyAlignment="1" applyProtection="1">
      <alignment horizontal="center" vertical="center" wrapText="1"/>
      <protection hidden="1"/>
    </xf>
    <xf numFmtId="0" fontId="51" fillId="0" borderId="12" xfId="0" applyFont="1" applyFill="1" applyBorder="1" applyAlignment="1" applyProtection="1">
      <alignment horizontal="center" vertical="center" wrapText="1"/>
      <protection hidden="1"/>
    </xf>
    <xf numFmtId="4" fontId="51" fillId="0" borderId="0" xfId="0" applyNumberFormat="1" applyFont="1" applyFill="1" applyBorder="1" applyAlignment="1" applyProtection="1">
      <alignment horizontal="center" vertical="center"/>
      <protection hidden="1"/>
    </xf>
    <xf numFmtId="0" fontId="34" fillId="48" borderId="0" xfId="0" applyFont="1" applyFill="1" applyBorder="1" applyAlignment="1" applyProtection="1">
      <alignment horizontal="left" vertical="center" wrapText="1"/>
      <protection hidden="1"/>
    </xf>
    <xf numFmtId="3" fontId="34" fillId="48" borderId="0" xfId="55" applyNumberFormat="1" applyFont="1" applyFill="1" applyBorder="1" applyAlignment="1" applyProtection="1">
      <alignment horizontal="center" vertical="center" wrapText="1"/>
      <protection hidden="1"/>
    </xf>
    <xf numFmtId="0" fontId="34" fillId="48" borderId="14" xfId="0" applyFont="1" applyFill="1" applyBorder="1" applyAlignment="1" applyProtection="1">
      <alignment horizontal="center" vertical="center" wrapText="1"/>
      <protection hidden="1"/>
    </xf>
    <xf numFmtId="4" fontId="51" fillId="48" borderId="39" xfId="0" applyNumberFormat="1" applyFont="1" applyFill="1" applyBorder="1" applyAlignment="1" applyProtection="1">
      <alignment horizontal="center" vertical="center"/>
      <protection hidden="1"/>
    </xf>
    <xf numFmtId="4" fontId="146" fillId="48" borderId="39" xfId="0" applyNumberFormat="1" applyFont="1" applyFill="1" applyBorder="1" applyAlignment="1" applyProtection="1">
      <alignment horizontal="center" vertical="center"/>
      <protection hidden="1"/>
    </xf>
    <xf numFmtId="43" fontId="51" fillId="0" borderId="36" xfId="55" applyFont="1" applyBorder="1" applyAlignment="1" applyProtection="1">
      <alignment horizontal="center" vertical="center" wrapText="1"/>
      <protection hidden="1"/>
    </xf>
    <xf numFmtId="43" fontId="51" fillId="0" borderId="37" xfId="55" applyFont="1" applyBorder="1" applyAlignment="1" applyProtection="1">
      <alignment horizontal="center" vertical="center" wrapText="1"/>
      <protection hidden="1"/>
    </xf>
    <xf numFmtId="4" fontId="31" fillId="26" borderId="18" xfId="0" applyNumberFormat="1" applyFont="1" applyFill="1" applyBorder="1" applyAlignment="1" applyProtection="1">
      <alignment horizontal="center" vertical="center"/>
      <protection hidden="1"/>
    </xf>
    <xf numFmtId="168" fontId="31" fillId="26" borderId="16" xfId="0" applyNumberFormat="1" applyFont="1" applyFill="1" applyBorder="1" applyAlignment="1" applyProtection="1">
      <alignment horizontal="center" vertical="center" wrapText="1"/>
      <protection hidden="1"/>
    </xf>
    <xf numFmtId="0" fontId="34" fillId="48" borderId="54" xfId="0" applyFont="1" applyFill="1" applyBorder="1" applyAlignment="1" applyProtection="1">
      <alignment horizontal="left" vertical="center" wrapText="1"/>
      <protection hidden="1"/>
    </xf>
    <xf numFmtId="0" fontId="34" fillId="48" borderId="50" xfId="0" applyFont="1" applyFill="1" applyBorder="1" applyAlignment="1" applyProtection="1">
      <alignment horizontal="center" vertical="center" wrapText="1"/>
      <protection hidden="1"/>
    </xf>
    <xf numFmtId="3" fontId="34" fillId="48" borderId="50" xfId="55" applyNumberFormat="1" applyFont="1" applyFill="1" applyBorder="1" applyAlignment="1" applyProtection="1">
      <alignment horizontal="center" vertical="center" wrapText="1"/>
      <protection hidden="1"/>
    </xf>
    <xf numFmtId="3" fontId="34" fillId="48" borderId="56" xfId="55" applyNumberFormat="1" applyFont="1" applyFill="1" applyBorder="1" applyAlignment="1" applyProtection="1">
      <alignment horizontal="center" vertical="center" wrapText="1"/>
      <protection hidden="1"/>
    </xf>
    <xf numFmtId="4" fontId="51" fillId="0" borderId="0" xfId="0" applyNumberFormat="1" applyFont="1" applyFill="1" applyAlignment="1" applyProtection="1">
      <alignment horizontal="center" vertical="center"/>
      <protection hidden="1"/>
    </xf>
    <xf numFmtId="3" fontId="51" fillId="0" borderId="0" xfId="0" applyNumberFormat="1" applyFont="1" applyFill="1" applyAlignment="1" applyProtection="1">
      <alignment horizontal="center" vertical="center"/>
      <protection hidden="1"/>
    </xf>
    <xf numFmtId="0" fontId="122" fillId="48" borderId="0" xfId="73" applyFont="1" applyFill="1" applyBorder="1" applyAlignment="1" applyProtection="1">
      <alignment horizontal="center" vertical="center" wrapText="1"/>
      <protection hidden="1"/>
    </xf>
    <xf numFmtId="4" fontId="51" fillId="48" borderId="0" xfId="0" applyNumberFormat="1" applyFont="1" applyFill="1" applyBorder="1" applyAlignment="1" applyProtection="1">
      <alignment horizontal="center" vertical="center" wrapText="1"/>
      <protection hidden="1"/>
    </xf>
    <xf numFmtId="4" fontId="51" fillId="48" borderId="0" xfId="0" applyNumberFormat="1" applyFont="1" applyFill="1" applyAlignment="1" applyProtection="1">
      <alignment horizontal="center" vertical="center" wrapText="1"/>
      <protection hidden="1"/>
    </xf>
    <xf numFmtId="4" fontId="51" fillId="0" borderId="0" xfId="0" applyNumberFormat="1" applyFont="1" applyAlignment="1" applyProtection="1">
      <alignment horizontal="center" vertical="center" wrapText="1"/>
      <protection hidden="1"/>
    </xf>
    <xf numFmtId="0" fontId="51" fillId="48" borderId="0" xfId="0" applyFont="1" applyFill="1" applyAlignment="1" applyProtection="1">
      <alignment horizontal="left" vertical="center" wrapText="1"/>
      <protection hidden="1"/>
    </xf>
    <xf numFmtId="3" fontId="51" fillId="48" borderId="49" xfId="0" applyNumberFormat="1" applyFont="1" applyFill="1" applyBorder="1" applyAlignment="1" applyProtection="1">
      <alignment horizontal="center" vertical="center" wrapText="1"/>
      <protection hidden="1"/>
    </xf>
    <xf numFmtId="0" fontId="51" fillId="48" borderId="21" xfId="0" applyFont="1" applyFill="1" applyBorder="1" applyAlignment="1" applyProtection="1">
      <alignment horizontal="center" vertical="center"/>
      <protection hidden="1"/>
    </xf>
    <xf numFmtId="0" fontId="122" fillId="48" borderId="0" xfId="73" applyFont="1" applyFill="1" applyBorder="1" applyAlignment="1" applyProtection="1">
      <alignment horizontal="center" vertical="center"/>
      <protection hidden="1"/>
    </xf>
    <xf numFmtId="0" fontId="51" fillId="48" borderId="49" xfId="0" applyFont="1" applyFill="1" applyBorder="1" applyAlignment="1" applyProtection="1">
      <alignment horizontal="center" vertical="center"/>
      <protection hidden="1"/>
    </xf>
    <xf numFmtId="0" fontId="51" fillId="54" borderId="55" xfId="0" applyFont="1" applyFill="1" applyBorder="1" applyAlignment="1" applyProtection="1">
      <alignment horizontal="center" vertical="center"/>
      <protection hidden="1"/>
    </xf>
    <xf numFmtId="0" fontId="51" fillId="48" borderId="47" xfId="0" applyFont="1" applyFill="1" applyBorder="1" applyAlignment="1" applyProtection="1">
      <alignment horizontal="center" vertical="center"/>
      <protection hidden="1"/>
    </xf>
    <xf numFmtId="0" fontId="51" fillId="48" borderId="55" xfId="0" applyFont="1" applyFill="1" applyBorder="1" applyAlignment="1" applyProtection="1">
      <alignment horizontal="center" vertical="center"/>
      <protection hidden="1"/>
    </xf>
    <xf numFmtId="0" fontId="51" fillId="48" borderId="148" xfId="0" applyFont="1" applyFill="1" applyBorder="1" applyAlignment="1" applyProtection="1">
      <alignment horizontal="center" vertical="center"/>
      <protection hidden="1"/>
    </xf>
    <xf numFmtId="164" fontId="51" fillId="48" borderId="91" xfId="0" applyNumberFormat="1" applyFont="1" applyFill="1" applyBorder="1" applyAlignment="1" applyProtection="1">
      <alignment horizontal="center" vertical="center"/>
      <protection hidden="1"/>
    </xf>
    <xf numFmtId="164" fontId="51" fillId="48" borderId="12" xfId="0" applyNumberFormat="1" applyFont="1" applyFill="1" applyBorder="1" applyAlignment="1" applyProtection="1">
      <alignment horizontal="center" vertical="center"/>
      <protection hidden="1"/>
    </xf>
    <xf numFmtId="164" fontId="51" fillId="48" borderId="0" xfId="0" applyNumberFormat="1" applyFont="1" applyFill="1" applyBorder="1" applyAlignment="1" applyProtection="1">
      <alignment horizontal="center" vertical="center"/>
      <protection hidden="1"/>
    </xf>
    <xf numFmtId="3" fontId="51" fillId="48" borderId="91" xfId="0" applyNumberFormat="1" applyFont="1" applyFill="1" applyBorder="1" applyAlignment="1" applyProtection="1">
      <alignment horizontal="center" vertical="center"/>
      <protection hidden="1"/>
    </xf>
    <xf numFmtId="0" fontId="51" fillId="55" borderId="25" xfId="0" applyFont="1" applyFill="1" applyBorder="1" applyAlignment="1" applyProtection="1">
      <alignment vertical="center" wrapText="1"/>
      <protection hidden="1"/>
    </xf>
    <xf numFmtId="0" fontId="51" fillId="55" borderId="35" xfId="0" applyFont="1" applyFill="1" applyBorder="1" applyAlignment="1" applyProtection="1">
      <alignment vertical="center" wrapText="1"/>
      <protection hidden="1"/>
    </xf>
    <xf numFmtId="174" fontId="34" fillId="53" borderId="49" xfId="0" applyNumberFormat="1" applyFont="1" applyFill="1" applyBorder="1" applyAlignment="1" applyProtection="1">
      <alignment horizontal="center" vertical="center"/>
      <protection hidden="1"/>
    </xf>
    <xf numFmtId="164" fontId="34" fillId="53" borderId="57" xfId="0" applyNumberFormat="1" applyFont="1" applyFill="1" applyBorder="1" applyAlignment="1" applyProtection="1">
      <alignment horizontal="center" vertical="center"/>
      <protection hidden="1"/>
    </xf>
    <xf numFmtId="43" fontId="51" fillId="48" borderId="0" xfId="0" applyNumberFormat="1" applyFont="1" applyFill="1" applyAlignment="1" applyProtection="1">
      <alignment horizontal="center" vertical="center"/>
      <protection hidden="1"/>
    </xf>
    <xf numFmtId="3" fontId="122" fillId="48" borderId="0" xfId="73" applyNumberFormat="1" applyFont="1" applyFill="1" applyBorder="1" applyAlignment="1" applyProtection="1">
      <alignment horizontal="center" vertical="center" wrapText="1"/>
      <protection hidden="1"/>
    </xf>
    <xf numFmtId="0" fontId="51" fillId="48" borderId="17" xfId="0" applyFont="1" applyFill="1" applyBorder="1" applyAlignment="1" applyProtection="1">
      <alignment horizontal="left" vertical="center" wrapText="1"/>
      <protection hidden="1"/>
    </xf>
    <xf numFmtId="0" fontId="51" fillId="48" borderId="37" xfId="0" applyFont="1" applyFill="1" applyBorder="1" applyAlignment="1" applyProtection="1">
      <alignment horizontal="center" vertical="center" wrapText="1"/>
      <protection hidden="1"/>
    </xf>
    <xf numFmtId="3" fontId="51" fillId="48" borderId="0" xfId="0" applyNumberFormat="1" applyFont="1" applyFill="1" applyAlignment="1" applyProtection="1">
      <alignment horizontal="center" vertical="center" wrapText="1"/>
      <protection hidden="1"/>
    </xf>
    <xf numFmtId="0" fontId="51" fillId="48" borderId="58" xfId="0" applyFont="1" applyFill="1" applyBorder="1" applyAlignment="1" applyProtection="1">
      <alignment horizontal="center" vertical="center"/>
      <protection hidden="1"/>
    </xf>
    <xf numFmtId="0" fontId="51" fillId="48" borderId="20" xfId="0" applyFont="1" applyFill="1" applyBorder="1" applyAlignment="1" applyProtection="1">
      <alignment horizontal="center" vertical="center"/>
      <protection hidden="1"/>
    </xf>
    <xf numFmtId="3" fontId="51" fillId="48" borderId="13" xfId="0" applyNumberFormat="1" applyFont="1" applyFill="1" applyBorder="1" applyAlignment="1" applyProtection="1">
      <alignment horizontal="center" vertical="center"/>
      <protection hidden="1"/>
    </xf>
    <xf numFmtId="0" fontId="51" fillId="48" borderId="40" xfId="0" applyFont="1" applyFill="1" applyBorder="1" applyAlignment="1" applyProtection="1">
      <alignment horizontal="center" vertical="center"/>
      <protection hidden="1"/>
    </xf>
    <xf numFmtId="0" fontId="51" fillId="48" borderId="22" xfId="0" applyFont="1" applyFill="1" applyBorder="1" applyAlignment="1" applyProtection="1">
      <alignment horizontal="center" vertical="center"/>
      <protection hidden="1"/>
    </xf>
    <xf numFmtId="0" fontId="51" fillId="48" borderId="45" xfId="0" applyFont="1" applyFill="1" applyBorder="1" applyAlignment="1" applyProtection="1">
      <alignment horizontal="center" vertical="center"/>
      <protection hidden="1"/>
    </xf>
    <xf numFmtId="3" fontId="51" fillId="48" borderId="45" xfId="0" applyNumberFormat="1" applyFont="1" applyFill="1" applyBorder="1" applyAlignment="1" applyProtection="1">
      <alignment horizontal="center" vertical="center"/>
      <protection hidden="1"/>
    </xf>
    <xf numFmtId="0" fontId="51" fillId="48" borderId="23" xfId="0" applyFont="1" applyFill="1" applyBorder="1" applyAlignment="1" applyProtection="1">
      <alignment horizontal="center" vertical="center"/>
      <protection hidden="1"/>
    </xf>
    <xf numFmtId="0" fontId="51" fillId="45" borderId="53" xfId="0" applyFont="1" applyFill="1" applyBorder="1" applyAlignment="1" applyProtection="1">
      <alignment horizontal="left" vertical="center"/>
      <protection locked="0"/>
    </xf>
    <xf numFmtId="0" fontId="51" fillId="48" borderId="195" xfId="0" applyFont="1" applyFill="1" applyBorder="1" applyAlignment="1" applyProtection="1">
      <alignment horizontal="left" vertical="center"/>
      <protection locked="0"/>
    </xf>
    <xf numFmtId="0" fontId="51" fillId="48" borderId="38" xfId="0" applyFont="1" applyFill="1" applyBorder="1" applyAlignment="1" applyProtection="1">
      <alignment horizontal="left" vertical="center"/>
      <protection locked="0"/>
    </xf>
    <xf numFmtId="164" fontId="51" fillId="48" borderId="91" xfId="0" applyNumberFormat="1" applyFont="1" applyFill="1" applyBorder="1" applyAlignment="1" applyProtection="1">
      <alignment horizontal="center" vertical="center"/>
      <protection locked="0"/>
    </xf>
    <xf numFmtId="164" fontId="51" fillId="48" borderId="12" xfId="0" applyNumberFormat="1" applyFont="1" applyFill="1" applyBorder="1" applyAlignment="1" applyProtection="1">
      <alignment horizontal="center" vertical="center"/>
      <protection locked="0"/>
    </xf>
    <xf numFmtId="0" fontId="31" fillId="48" borderId="0" xfId="0" applyFont="1" applyFill="1" applyAlignment="1" applyProtection="1">
      <alignment horizontal="center" vertical="center"/>
      <protection hidden="1"/>
    </xf>
    <xf numFmtId="0" fontId="51" fillId="48" borderId="0" xfId="0" applyFont="1" applyFill="1" applyAlignment="1" applyProtection="1">
      <alignment vertical="center"/>
      <protection hidden="1"/>
    </xf>
    <xf numFmtId="0" fontId="31" fillId="48" borderId="0" xfId="0" applyFont="1" applyFill="1" applyAlignment="1" applyProtection="1">
      <alignment horizontal="left" vertical="center"/>
      <protection hidden="1"/>
    </xf>
    <xf numFmtId="4" fontId="34" fillId="48" borderId="0" xfId="0" applyNumberFormat="1" applyFont="1" applyFill="1" applyBorder="1" applyAlignment="1" applyProtection="1">
      <alignment horizontal="center" vertical="center" wrapText="1"/>
      <protection hidden="1"/>
    </xf>
    <xf numFmtId="0" fontId="89" fillId="48" borderId="0" xfId="0" applyFont="1" applyFill="1" applyAlignment="1" applyProtection="1">
      <alignment horizontal="center" vertical="center"/>
      <protection hidden="1"/>
    </xf>
    <xf numFmtId="0" fontId="149" fillId="48" borderId="0" xfId="0" applyFont="1" applyFill="1" applyBorder="1" applyAlignment="1" applyProtection="1">
      <alignment horizontal="center" vertical="center" wrapText="1"/>
      <protection hidden="1"/>
    </xf>
    <xf numFmtId="0" fontId="51" fillId="54" borderId="190" xfId="0" applyFont="1" applyFill="1" applyBorder="1" applyAlignment="1" applyProtection="1">
      <alignment horizontal="left" vertical="center"/>
      <protection hidden="1"/>
    </xf>
    <xf numFmtId="0" fontId="51" fillId="54" borderId="128" xfId="0" applyFont="1" applyFill="1" applyBorder="1" applyAlignment="1" applyProtection="1">
      <alignment horizontal="center" vertical="center"/>
      <protection hidden="1"/>
    </xf>
    <xf numFmtId="0" fontId="51" fillId="54" borderId="54" xfId="0" applyFont="1" applyFill="1" applyBorder="1" applyAlignment="1" applyProtection="1">
      <alignment horizontal="left" vertical="center"/>
      <protection hidden="1"/>
    </xf>
    <xf numFmtId="0" fontId="51" fillId="48" borderId="50" xfId="0" applyFont="1" applyFill="1" applyBorder="1" applyAlignment="1" applyProtection="1">
      <alignment horizontal="center" vertical="center"/>
      <protection hidden="1"/>
    </xf>
    <xf numFmtId="0" fontId="34" fillId="54" borderId="90" xfId="0" applyFont="1" applyFill="1" applyBorder="1" applyAlignment="1" applyProtection="1">
      <alignment horizontal="left" vertical="center"/>
      <protection hidden="1"/>
    </xf>
    <xf numFmtId="0" fontId="34" fillId="54" borderId="76" xfId="0" applyFont="1" applyFill="1" applyBorder="1" applyAlignment="1" applyProtection="1">
      <alignment horizontal="center" vertical="center"/>
      <protection hidden="1"/>
    </xf>
    <xf numFmtId="3" fontId="34" fillId="54" borderId="76" xfId="0" applyNumberFormat="1" applyFont="1" applyFill="1" applyBorder="1" applyAlignment="1" applyProtection="1">
      <alignment horizontal="center" vertical="center"/>
      <protection hidden="1"/>
    </xf>
    <xf numFmtId="3" fontId="34" fillId="54" borderId="65" xfId="0" applyNumberFormat="1" applyFont="1" applyFill="1" applyBorder="1" applyAlignment="1" applyProtection="1">
      <alignment horizontal="center" vertical="center"/>
      <protection hidden="1"/>
    </xf>
    <xf numFmtId="0" fontId="51" fillId="48" borderId="13" xfId="0" applyFont="1" applyFill="1" applyBorder="1" applyAlignment="1" applyProtection="1">
      <alignment horizontal="left" vertical="center"/>
      <protection hidden="1"/>
    </xf>
    <xf numFmtId="0" fontId="51" fillId="48" borderId="33" xfId="0" applyFont="1" applyFill="1" applyBorder="1" applyAlignment="1" applyProtection="1">
      <alignment horizontal="left" vertical="center"/>
      <protection hidden="1"/>
    </xf>
    <xf numFmtId="0" fontId="51" fillId="48" borderId="29" xfId="0" applyFont="1" applyFill="1" applyBorder="1" applyAlignment="1" applyProtection="1">
      <alignment horizontal="center" vertical="center"/>
      <protection hidden="1"/>
    </xf>
    <xf numFmtId="1" fontId="51" fillId="48" borderId="29" xfId="0" applyNumberFormat="1" applyFont="1" applyFill="1" applyBorder="1" applyAlignment="1" applyProtection="1">
      <alignment horizontal="center" vertical="center"/>
      <protection hidden="1"/>
    </xf>
    <xf numFmtId="1" fontId="51" fillId="48" borderId="16" xfId="0" applyNumberFormat="1" applyFont="1" applyFill="1" applyBorder="1" applyAlignment="1" applyProtection="1">
      <alignment horizontal="center" vertical="center"/>
      <protection hidden="1"/>
    </xf>
    <xf numFmtId="168" fontId="51" fillId="48" borderId="16" xfId="0" applyNumberFormat="1" applyFont="1" applyFill="1" applyBorder="1" applyAlignment="1" applyProtection="1">
      <alignment horizontal="center" vertical="center"/>
      <protection hidden="1"/>
    </xf>
    <xf numFmtId="168" fontId="51" fillId="48" borderId="19" xfId="0" applyNumberFormat="1" applyFont="1" applyFill="1" applyBorder="1" applyAlignment="1" applyProtection="1">
      <alignment horizontal="center" vertical="center"/>
      <protection hidden="1"/>
    </xf>
    <xf numFmtId="0" fontId="51" fillId="48" borderId="31" xfId="0" applyFont="1" applyFill="1" applyBorder="1" applyAlignment="1" applyProtection="1">
      <alignment horizontal="left" vertical="center"/>
      <protection hidden="1"/>
    </xf>
    <xf numFmtId="0" fontId="51" fillId="48" borderId="32" xfId="0" applyFont="1" applyFill="1" applyBorder="1" applyAlignment="1" applyProtection="1">
      <alignment horizontal="center" vertical="center"/>
      <protection hidden="1"/>
    </xf>
    <xf numFmtId="168" fontId="51" fillId="48" borderId="32" xfId="0" applyNumberFormat="1" applyFont="1" applyFill="1" applyBorder="1" applyAlignment="1" applyProtection="1">
      <alignment horizontal="center" vertical="center"/>
      <protection hidden="1"/>
    </xf>
    <xf numFmtId="168" fontId="51" fillId="48" borderId="79" xfId="0" applyNumberFormat="1" applyFont="1" applyFill="1" applyBorder="1" applyAlignment="1" applyProtection="1">
      <alignment horizontal="center" vertical="center"/>
      <protection hidden="1"/>
    </xf>
    <xf numFmtId="0" fontId="51" fillId="48" borderId="22" xfId="0" applyFont="1" applyFill="1" applyBorder="1" applyAlignment="1" applyProtection="1">
      <alignment horizontal="left" vertical="center"/>
      <protection hidden="1"/>
    </xf>
    <xf numFmtId="0" fontId="71" fillId="48" borderId="45" xfId="0" applyFont="1" applyFill="1" applyBorder="1" applyAlignment="1" applyProtection="1">
      <alignment horizontal="center" vertical="center"/>
      <protection hidden="1"/>
    </xf>
    <xf numFmtId="0" fontId="51" fillId="48" borderId="81" xfId="0" applyFont="1" applyFill="1" applyBorder="1" applyAlignment="1" applyProtection="1">
      <alignment horizontal="center" vertical="center"/>
      <protection hidden="1"/>
    </xf>
    <xf numFmtId="1" fontId="51" fillId="48" borderId="23" xfId="0" applyNumberFormat="1" applyFont="1" applyFill="1" applyBorder="1" applyAlignment="1" applyProtection="1">
      <alignment horizontal="center" vertical="center"/>
      <protection hidden="1"/>
    </xf>
    <xf numFmtId="0" fontId="71" fillId="48" borderId="33" xfId="0" applyFont="1" applyFill="1" applyBorder="1" applyAlignment="1" applyProtection="1">
      <alignment horizontal="left" vertical="center"/>
      <protection hidden="1"/>
    </xf>
    <xf numFmtId="0" fontId="71" fillId="48" borderId="18" xfId="0" applyFont="1" applyFill="1" applyBorder="1" applyAlignment="1" applyProtection="1">
      <alignment horizontal="left" vertical="center"/>
      <protection hidden="1"/>
    </xf>
    <xf numFmtId="0" fontId="51" fillId="48" borderId="79" xfId="0" applyFont="1" applyFill="1" applyBorder="1" applyAlignment="1" applyProtection="1">
      <alignment horizontal="center" vertical="center"/>
      <protection hidden="1"/>
    </xf>
    <xf numFmtId="0" fontId="151" fillId="48" borderId="0" xfId="0" applyFont="1" applyFill="1" applyBorder="1" applyAlignment="1" applyProtection="1">
      <alignment horizontal="left" vertical="center" wrapText="1"/>
      <protection hidden="1"/>
    </xf>
    <xf numFmtId="0" fontId="130" fillId="48" borderId="0" xfId="0" applyFont="1" applyFill="1" applyBorder="1" applyAlignment="1" applyProtection="1">
      <alignment horizontal="center" vertical="center" wrapText="1"/>
      <protection hidden="1"/>
    </xf>
    <xf numFmtId="0" fontId="150" fillId="48" borderId="0" xfId="0" applyFont="1" applyFill="1" applyBorder="1" applyAlignment="1" applyProtection="1">
      <alignment horizontal="left" vertical="center" wrapText="1"/>
      <protection hidden="1"/>
    </xf>
    <xf numFmtId="0" fontId="150" fillId="48" borderId="0" xfId="0" applyFont="1" applyFill="1" applyBorder="1" applyAlignment="1" applyProtection="1">
      <alignment horizontal="center" vertical="center" wrapText="1"/>
      <protection hidden="1"/>
    </xf>
    <xf numFmtId="0" fontId="51" fillId="54" borderId="17" xfId="0" applyFont="1" applyFill="1" applyBorder="1" applyAlignment="1" applyProtection="1">
      <alignment horizontal="center" vertical="center"/>
      <protection hidden="1"/>
    </xf>
    <xf numFmtId="0" fontId="51" fillId="54" borderId="36" xfId="0" applyFont="1" applyFill="1" applyBorder="1" applyAlignment="1" applyProtection="1">
      <alignment horizontal="center" vertical="center"/>
      <protection hidden="1"/>
    </xf>
    <xf numFmtId="0" fontId="51" fillId="54" borderId="37" xfId="0" applyFont="1" applyFill="1" applyBorder="1" applyAlignment="1" applyProtection="1">
      <alignment horizontal="center" vertical="center"/>
      <protection hidden="1"/>
    </xf>
    <xf numFmtId="43" fontId="51" fillId="52" borderId="11" xfId="57" applyNumberFormat="1" applyFont="1" applyFill="1" applyBorder="1" applyAlignment="1" applyProtection="1">
      <alignment horizontal="center" vertical="center"/>
      <protection hidden="1"/>
    </xf>
    <xf numFmtId="2" fontId="51" fillId="52" borderId="12" xfId="0" applyNumberFormat="1" applyFont="1" applyFill="1" applyBorder="1" applyAlignment="1" applyProtection="1">
      <alignment horizontal="center" vertical="center"/>
      <protection hidden="1"/>
    </xf>
    <xf numFmtId="0" fontId="51" fillId="54" borderId="33" xfId="0" applyFont="1" applyFill="1" applyBorder="1" applyAlignment="1" applyProtection="1">
      <alignment horizontal="center" vertical="center"/>
      <protection hidden="1"/>
    </xf>
    <xf numFmtId="0" fontId="51" fillId="54" borderId="29" xfId="0" applyFont="1" applyFill="1" applyBorder="1" applyAlignment="1" applyProtection="1">
      <alignment horizontal="center" vertical="center"/>
      <protection hidden="1"/>
    </xf>
    <xf numFmtId="0" fontId="51" fillId="54" borderId="77" xfId="0" applyFont="1" applyFill="1" applyBorder="1" applyAlignment="1" applyProtection="1">
      <alignment horizontal="center" vertical="center"/>
      <protection hidden="1"/>
    </xf>
    <xf numFmtId="167" fontId="51" fillId="52" borderId="11" xfId="57" applyNumberFormat="1" applyFont="1" applyFill="1" applyBorder="1" applyAlignment="1" applyProtection="1">
      <alignment horizontal="center" vertical="center"/>
      <protection hidden="1"/>
    </xf>
    <xf numFmtId="0" fontId="51" fillId="54" borderId="50" xfId="0" applyFont="1" applyFill="1" applyBorder="1" applyAlignment="1" applyProtection="1">
      <alignment horizontal="center" vertical="center"/>
      <protection hidden="1"/>
    </xf>
    <xf numFmtId="0" fontId="106" fillId="48" borderId="0" xfId="0" applyFont="1" applyFill="1" applyBorder="1" applyAlignment="1" applyProtection="1">
      <alignment horizontal="center" vertical="center"/>
      <protection hidden="1"/>
    </xf>
    <xf numFmtId="0" fontId="34" fillId="54" borderId="35" xfId="0" applyFont="1" applyFill="1" applyBorder="1" applyAlignment="1" applyProtection="1">
      <alignment horizontal="center" vertical="center"/>
      <protection hidden="1"/>
    </xf>
    <xf numFmtId="3" fontId="34" fillId="54" borderId="35" xfId="55" applyNumberFormat="1" applyFont="1" applyFill="1" applyBorder="1" applyAlignment="1" applyProtection="1">
      <alignment horizontal="center" vertical="center" wrapText="1"/>
      <protection hidden="1"/>
    </xf>
    <xf numFmtId="3" fontId="34" fillId="54" borderId="82" xfId="55" applyNumberFormat="1" applyFont="1" applyFill="1" applyBorder="1" applyAlignment="1" applyProtection="1">
      <alignment horizontal="center" vertical="center" wrapText="1"/>
      <protection hidden="1"/>
    </xf>
    <xf numFmtId="0" fontId="153" fillId="48" borderId="0" xfId="73" applyFont="1" applyFill="1" applyBorder="1" applyAlignment="1" applyProtection="1">
      <alignment horizontal="center" vertical="center" wrapText="1"/>
      <protection hidden="1"/>
    </xf>
    <xf numFmtId="0" fontId="34" fillId="48" borderId="0" xfId="0" applyFont="1" applyFill="1" applyAlignment="1" applyProtection="1">
      <alignment horizontal="center" vertical="center" wrapText="1"/>
      <protection hidden="1"/>
    </xf>
    <xf numFmtId="0" fontId="153" fillId="48" borderId="0" xfId="73" applyFont="1" applyFill="1" applyAlignment="1" applyProtection="1">
      <alignment vertical="center" wrapText="1"/>
      <protection hidden="1"/>
    </xf>
    <xf numFmtId="37" fontId="34" fillId="54" borderId="155" xfId="0" applyNumberFormat="1" applyFont="1" applyFill="1" applyBorder="1" applyAlignment="1" applyProtection="1">
      <alignment horizontal="center" vertical="center"/>
      <protection hidden="1"/>
    </xf>
    <xf numFmtId="37" fontId="34" fillId="54" borderId="82" xfId="0" applyNumberFormat="1" applyFont="1" applyFill="1" applyBorder="1" applyAlignment="1" applyProtection="1">
      <alignment horizontal="center" vertical="center"/>
      <protection hidden="1"/>
    </xf>
    <xf numFmtId="0" fontId="73" fillId="48" borderId="13" xfId="0" applyFont="1" applyFill="1" applyBorder="1" applyAlignment="1" applyProtection="1">
      <alignment horizontal="left" vertical="center"/>
      <protection hidden="1"/>
    </xf>
    <xf numFmtId="164" fontId="73" fillId="48" borderId="13" xfId="0" applyNumberFormat="1" applyFont="1" applyFill="1" applyBorder="1" applyAlignment="1" applyProtection="1">
      <alignment horizontal="center" vertical="center"/>
      <protection hidden="1"/>
    </xf>
    <xf numFmtId="0" fontId="71" fillId="48" borderId="0" xfId="0" applyFont="1" applyFill="1" applyAlignment="1" applyProtection="1">
      <alignment horizontal="left" vertical="center"/>
      <protection hidden="1"/>
    </xf>
    <xf numFmtId="0" fontId="71" fillId="48" borderId="0" xfId="0" applyFont="1" applyFill="1" applyAlignment="1" applyProtection="1">
      <alignment horizontal="center" vertical="center"/>
      <protection hidden="1"/>
    </xf>
    <xf numFmtId="3" fontId="153" fillId="48" borderId="0" xfId="73" applyNumberFormat="1" applyFont="1" applyFill="1" applyBorder="1" applyAlignment="1" applyProtection="1">
      <alignment horizontal="center" vertical="center" wrapText="1"/>
      <protection hidden="1"/>
    </xf>
    <xf numFmtId="0" fontId="71" fillId="48" borderId="0" xfId="0" applyFont="1" applyFill="1" applyBorder="1" applyAlignment="1" applyProtection="1">
      <alignment horizontal="left" vertical="center"/>
      <protection hidden="1"/>
    </xf>
    <xf numFmtId="43" fontId="51" fillId="48" borderId="62" xfId="57" applyFont="1" applyFill="1" applyBorder="1" applyAlignment="1" applyProtection="1">
      <alignment horizontal="center" vertical="center"/>
      <protection hidden="1"/>
    </xf>
    <xf numFmtId="0" fontId="51" fillId="48" borderId="61" xfId="0" applyFont="1" applyFill="1" applyBorder="1" applyAlignment="1" applyProtection="1">
      <alignment horizontal="center" vertical="center"/>
      <protection hidden="1"/>
    </xf>
    <xf numFmtId="0" fontId="51" fillId="48" borderId="70" xfId="0" applyFont="1" applyFill="1" applyBorder="1" applyAlignment="1" applyProtection="1">
      <alignment horizontal="center" vertical="center"/>
      <protection hidden="1"/>
    </xf>
    <xf numFmtId="0" fontId="51" fillId="48" borderId="18" xfId="0" applyFont="1" applyFill="1" applyBorder="1" applyAlignment="1" applyProtection="1">
      <alignment horizontal="center" vertical="center"/>
      <protection hidden="1"/>
    </xf>
    <xf numFmtId="166" fontId="51" fillId="48" borderId="18" xfId="0" applyNumberFormat="1" applyFont="1" applyFill="1" applyBorder="1" applyAlignment="1" applyProtection="1">
      <alignment horizontal="center" vertical="center"/>
      <protection hidden="1"/>
    </xf>
    <xf numFmtId="0" fontId="51" fillId="48" borderId="62" xfId="0" applyFont="1" applyFill="1" applyBorder="1" applyAlignment="1" applyProtection="1">
      <alignment horizontal="center" vertical="center"/>
      <protection hidden="1"/>
    </xf>
    <xf numFmtId="0" fontId="34" fillId="55" borderId="93" xfId="0" applyFont="1" applyFill="1" applyBorder="1" applyAlignment="1" applyProtection="1">
      <alignment horizontal="left" vertical="center"/>
      <protection hidden="1"/>
    </xf>
    <xf numFmtId="0" fontId="51" fillId="55" borderId="94" xfId="0" applyFont="1" applyFill="1" applyBorder="1" applyAlignment="1" applyProtection="1">
      <alignment horizontal="center" vertical="center"/>
      <protection hidden="1"/>
    </xf>
    <xf numFmtId="0" fontId="51" fillId="55" borderId="95" xfId="0" applyFont="1" applyFill="1" applyBorder="1" applyAlignment="1" applyProtection="1">
      <alignment horizontal="center" vertical="center"/>
      <protection hidden="1"/>
    </xf>
    <xf numFmtId="0" fontId="34" fillId="48" borderId="39" xfId="0" applyFont="1" applyFill="1" applyBorder="1" applyAlignment="1" applyProtection="1">
      <alignment horizontal="center" vertical="center"/>
      <protection hidden="1"/>
    </xf>
    <xf numFmtId="0" fontId="51" fillId="48" borderId="121" xfId="0" applyFont="1" applyFill="1" applyBorder="1" applyAlignment="1" applyProtection="1">
      <alignment horizontal="left" vertical="center"/>
      <protection hidden="1"/>
    </xf>
    <xf numFmtId="0" fontId="34" fillId="55" borderId="93" xfId="0" applyFont="1" applyFill="1" applyBorder="1" applyAlignment="1" applyProtection="1">
      <alignment horizontal="left" vertical="center" wrapText="1"/>
      <protection hidden="1"/>
    </xf>
    <xf numFmtId="0" fontId="51" fillId="55" borderId="94" xfId="0" applyFont="1" applyFill="1" applyBorder="1" applyAlignment="1" applyProtection="1">
      <alignment horizontal="center" vertical="center" wrapText="1"/>
      <protection hidden="1"/>
    </xf>
    <xf numFmtId="166" fontId="34" fillId="50" borderId="96" xfId="57" applyNumberFormat="1" applyFont="1" applyFill="1" applyBorder="1" applyAlignment="1" applyProtection="1">
      <alignment horizontal="center" vertical="center"/>
      <protection hidden="1"/>
    </xf>
    <xf numFmtId="166" fontId="34" fillId="50" borderId="116" xfId="57" applyNumberFormat="1" applyFont="1" applyFill="1" applyBorder="1" applyAlignment="1" applyProtection="1">
      <alignment horizontal="center" vertical="center"/>
      <protection hidden="1"/>
    </xf>
    <xf numFmtId="0" fontId="152" fillId="48" borderId="0" xfId="0" applyFont="1" applyFill="1" applyAlignment="1" applyProtection="1">
      <alignment vertical="center"/>
      <protection hidden="1"/>
    </xf>
    <xf numFmtId="0" fontId="130" fillId="48" borderId="20" xfId="0" applyFont="1" applyFill="1" applyBorder="1" applyAlignment="1" applyProtection="1">
      <alignment vertical="center"/>
      <protection hidden="1"/>
    </xf>
    <xf numFmtId="0" fontId="152" fillId="48" borderId="13" xfId="0" applyFont="1" applyFill="1" applyBorder="1" applyAlignment="1" applyProtection="1">
      <alignment vertical="center"/>
      <protection hidden="1"/>
    </xf>
    <xf numFmtId="0" fontId="130" fillId="48" borderId="13" xfId="0" applyFont="1" applyFill="1" applyBorder="1" applyAlignment="1" applyProtection="1">
      <alignment vertical="center"/>
      <protection hidden="1"/>
    </xf>
    <xf numFmtId="0" fontId="130" fillId="48" borderId="21" xfId="0" applyFont="1" applyFill="1" applyBorder="1" applyAlignment="1" applyProtection="1">
      <alignment vertical="center"/>
      <protection hidden="1"/>
    </xf>
    <xf numFmtId="2" fontId="34" fillId="50" borderId="96" xfId="57" applyNumberFormat="1" applyFont="1" applyFill="1" applyBorder="1" applyAlignment="1" applyProtection="1">
      <alignment horizontal="center" vertical="center"/>
      <protection hidden="1"/>
    </xf>
    <xf numFmtId="2" fontId="34" fillId="50" borderId="116" xfId="57" applyNumberFormat="1" applyFont="1" applyFill="1" applyBorder="1" applyAlignment="1" applyProtection="1">
      <alignment horizontal="center" vertical="center"/>
      <protection hidden="1"/>
    </xf>
    <xf numFmtId="0" fontId="130" fillId="48" borderId="22" xfId="0" applyFont="1" applyFill="1" applyBorder="1" applyAlignment="1" applyProtection="1">
      <alignment horizontal="center" vertical="center"/>
      <protection hidden="1"/>
    </xf>
    <xf numFmtId="0" fontId="130" fillId="48" borderId="45" xfId="0" applyFont="1" applyFill="1" applyBorder="1" applyAlignment="1" applyProtection="1">
      <alignment vertical="center"/>
      <protection hidden="1"/>
    </xf>
    <xf numFmtId="0" fontId="152" fillId="48" borderId="45" xfId="0" applyFont="1" applyFill="1" applyBorder="1" applyAlignment="1" applyProtection="1">
      <alignment vertical="center"/>
      <protection hidden="1"/>
    </xf>
    <xf numFmtId="11" fontId="130" fillId="48" borderId="45" xfId="0" applyNumberFormat="1" applyFont="1" applyFill="1" applyBorder="1" applyAlignment="1" applyProtection="1">
      <alignment vertical="center"/>
      <protection hidden="1"/>
    </xf>
    <xf numFmtId="11" fontId="130" fillId="48" borderId="23" xfId="0" applyNumberFormat="1" applyFont="1" applyFill="1" applyBorder="1" applyAlignment="1" applyProtection="1">
      <alignment vertical="center"/>
      <protection hidden="1"/>
    </xf>
    <xf numFmtId="0" fontId="51" fillId="48" borderId="20" xfId="0" applyFont="1" applyFill="1" applyBorder="1" applyAlignment="1" applyProtection="1">
      <alignment vertical="center"/>
      <protection hidden="1"/>
    </xf>
    <xf numFmtId="0" fontId="51" fillId="48" borderId="13" xfId="0" applyFont="1" applyFill="1" applyBorder="1" applyAlignment="1" applyProtection="1">
      <alignment vertical="center"/>
      <protection hidden="1"/>
    </xf>
    <xf numFmtId="0" fontId="51" fillId="48" borderId="127" xfId="0" applyFont="1" applyFill="1" applyBorder="1" applyAlignment="1" applyProtection="1">
      <alignment vertical="center"/>
      <protection hidden="1"/>
    </xf>
    <xf numFmtId="0" fontId="51" fillId="48" borderId="21" xfId="0" applyFont="1" applyFill="1" applyBorder="1" applyAlignment="1" applyProtection="1">
      <alignment vertical="center"/>
      <protection hidden="1"/>
    </xf>
    <xf numFmtId="0" fontId="51" fillId="48" borderId="22" xfId="0" applyFont="1" applyFill="1" applyBorder="1" applyAlignment="1" applyProtection="1">
      <alignment vertical="center"/>
      <protection hidden="1"/>
    </xf>
    <xf numFmtId="0" fontId="51" fillId="48" borderId="45" xfId="0" applyFont="1" applyFill="1" applyBorder="1" applyAlignment="1" applyProtection="1">
      <alignment vertical="center"/>
      <protection hidden="1"/>
    </xf>
    <xf numFmtId="172" fontId="51" fillId="48" borderId="44" xfId="55" applyNumberFormat="1" applyFont="1" applyFill="1" applyBorder="1" applyAlignment="1" applyProtection="1">
      <alignment vertical="center"/>
      <protection hidden="1"/>
    </xf>
    <xf numFmtId="172" fontId="51" fillId="48" borderId="23" xfId="0" applyNumberFormat="1" applyFont="1" applyFill="1" applyBorder="1" applyAlignment="1" applyProtection="1">
      <alignment vertical="center"/>
      <protection hidden="1"/>
    </xf>
    <xf numFmtId="172" fontId="51" fillId="48" borderId="44" xfId="0" applyNumberFormat="1" applyFont="1" applyFill="1" applyBorder="1" applyAlignment="1" applyProtection="1">
      <alignment vertical="center"/>
      <protection hidden="1"/>
    </xf>
    <xf numFmtId="0" fontId="34" fillId="48" borderId="121" xfId="0" applyFont="1" applyFill="1" applyBorder="1" applyAlignment="1" applyProtection="1">
      <alignment horizontal="left" vertical="center"/>
      <protection hidden="1"/>
    </xf>
    <xf numFmtId="0" fontId="34" fillId="48" borderId="144" xfId="0" applyFont="1" applyFill="1" applyBorder="1" applyAlignment="1" applyProtection="1">
      <alignment horizontal="center" vertical="center"/>
      <protection hidden="1"/>
    </xf>
    <xf numFmtId="0" fontId="51" fillId="54" borderId="51" xfId="81" applyFont="1" applyFill="1" applyBorder="1" applyAlignment="1" applyProtection="1">
      <alignment horizontal="left" vertical="center" wrapText="1"/>
      <protection hidden="1"/>
    </xf>
    <xf numFmtId="0" fontId="71" fillId="54" borderId="154" xfId="81" applyFont="1" applyFill="1" applyBorder="1" applyAlignment="1" applyProtection="1">
      <alignment horizontal="center" vertical="center" wrapText="1"/>
      <protection hidden="1"/>
    </xf>
    <xf numFmtId="0" fontId="34" fillId="54" borderId="154" xfId="81" applyFont="1" applyFill="1" applyBorder="1" applyAlignment="1" applyProtection="1">
      <alignment horizontal="center" vertical="center" wrapText="1"/>
      <protection hidden="1"/>
    </xf>
    <xf numFmtId="0" fontId="34" fillId="54" borderId="173" xfId="81" applyFont="1" applyFill="1" applyBorder="1" applyAlignment="1" applyProtection="1">
      <alignment horizontal="center" vertical="center" wrapText="1"/>
      <protection hidden="1"/>
    </xf>
    <xf numFmtId="0" fontId="51" fillId="48" borderId="0" xfId="81" applyFont="1" applyFill="1" applyAlignment="1" applyProtection="1">
      <alignment horizontal="center" vertical="center" wrapText="1"/>
      <protection hidden="1"/>
    </xf>
    <xf numFmtId="0" fontId="51" fillId="54" borderId="53" xfId="81" applyFont="1" applyFill="1" applyBorder="1" applyAlignment="1" applyProtection="1">
      <alignment horizontal="left" vertical="center" wrapText="1"/>
      <protection hidden="1"/>
    </xf>
    <xf numFmtId="0" fontId="71" fillId="54" borderId="55" xfId="81" applyFont="1" applyFill="1" applyBorder="1" applyAlignment="1" applyProtection="1">
      <alignment horizontal="center" vertical="center" wrapText="1"/>
      <protection hidden="1"/>
    </xf>
    <xf numFmtId="0" fontId="51" fillId="54" borderId="55" xfId="81" applyFont="1" applyFill="1" applyBorder="1" applyAlignment="1" applyProtection="1">
      <alignment horizontal="center" vertical="center" wrapText="1"/>
      <protection hidden="1"/>
    </xf>
    <xf numFmtId="165" fontId="51" fillId="48" borderId="0" xfId="81" applyNumberFormat="1" applyFont="1" applyFill="1" applyAlignment="1" applyProtection="1">
      <alignment horizontal="center" vertical="center"/>
      <protection hidden="1"/>
    </xf>
    <xf numFmtId="0" fontId="51" fillId="48" borderId="55" xfId="81" applyFont="1" applyFill="1" applyBorder="1" applyAlignment="1" applyProtection="1">
      <alignment horizontal="center" vertical="center" wrapText="1"/>
      <protection hidden="1"/>
    </xf>
    <xf numFmtId="43" fontId="51" fillId="48" borderId="0" xfId="81" applyNumberFormat="1" applyFont="1" applyFill="1" applyAlignment="1" applyProtection="1">
      <alignment horizontal="center" vertical="center"/>
      <protection hidden="1"/>
    </xf>
    <xf numFmtId="43" fontId="51" fillId="48" borderId="0" xfId="57" applyFont="1" applyFill="1" applyAlignment="1" applyProtection="1">
      <alignment horizontal="center" vertical="center" wrapText="1"/>
      <protection hidden="1"/>
    </xf>
    <xf numFmtId="170" fontId="51" fillId="48" borderId="0" xfId="81" applyNumberFormat="1" applyFont="1" applyFill="1" applyAlignment="1" applyProtection="1">
      <alignment horizontal="center" vertical="center" wrapText="1"/>
      <protection hidden="1"/>
    </xf>
    <xf numFmtId="170" fontId="51" fillId="52" borderId="55" xfId="81" applyNumberFormat="1" applyFont="1" applyFill="1" applyBorder="1" applyAlignment="1" applyProtection="1">
      <alignment horizontal="center" vertical="center" wrapText="1"/>
      <protection hidden="1"/>
    </xf>
    <xf numFmtId="170" fontId="51" fillId="52" borderId="52" xfId="81" applyNumberFormat="1" applyFont="1" applyFill="1" applyBorder="1" applyAlignment="1" applyProtection="1">
      <alignment horizontal="center" vertical="center" wrapText="1"/>
      <protection hidden="1"/>
    </xf>
    <xf numFmtId="0" fontId="154" fillId="48" borderId="39" xfId="81" applyFont="1" applyFill="1" applyBorder="1" applyAlignment="1" applyProtection="1">
      <alignment horizontal="center" vertical="center" wrapText="1"/>
      <protection hidden="1"/>
    </xf>
    <xf numFmtId="0" fontId="154" fillId="48" borderId="0" xfId="81" applyFont="1" applyFill="1" applyAlignment="1" applyProtection="1">
      <alignment horizontal="center" vertical="center" wrapText="1"/>
      <protection hidden="1"/>
    </xf>
    <xf numFmtId="182" fontId="51" fillId="48" borderId="0" xfId="81" applyNumberFormat="1" applyFont="1" applyFill="1" applyAlignment="1" applyProtection="1">
      <alignment horizontal="center" vertical="center" wrapText="1"/>
      <protection hidden="1"/>
    </xf>
    <xf numFmtId="2" fontId="51" fillId="48" borderId="0" xfId="81" applyNumberFormat="1" applyFont="1" applyFill="1" applyAlignment="1" applyProtection="1">
      <alignment horizontal="center" vertical="center"/>
      <protection hidden="1"/>
    </xf>
    <xf numFmtId="0" fontId="51" fillId="54" borderId="54" xfId="81" applyFont="1" applyFill="1" applyBorder="1" applyAlignment="1" applyProtection="1">
      <alignment horizontal="left" vertical="center" wrapText="1"/>
      <protection hidden="1"/>
    </xf>
    <xf numFmtId="0" fontId="51" fillId="48" borderId="50" xfId="81" applyFont="1" applyFill="1" applyBorder="1" applyAlignment="1" applyProtection="1">
      <alignment horizontal="center" vertical="center" wrapText="1"/>
      <protection hidden="1"/>
    </xf>
    <xf numFmtId="0" fontId="34" fillId="54" borderId="90" xfId="81" applyFont="1" applyFill="1" applyBorder="1" applyAlignment="1" applyProtection="1">
      <alignment horizontal="left" vertical="center"/>
      <protection hidden="1"/>
    </xf>
    <xf numFmtId="0" fontId="34" fillId="54" borderId="76" xfId="81" applyFont="1" applyFill="1" applyBorder="1" applyAlignment="1" applyProtection="1">
      <alignment horizontal="center" vertical="center"/>
      <protection hidden="1"/>
    </xf>
    <xf numFmtId="0" fontId="51" fillId="48" borderId="0" xfId="81" applyFont="1" applyFill="1" applyBorder="1" applyAlignment="1" applyProtection="1">
      <alignment horizontal="center" vertical="center"/>
      <protection hidden="1"/>
    </xf>
    <xf numFmtId="174" fontId="51" fillId="48" borderId="0" xfId="81" applyNumberFormat="1" applyFont="1" applyFill="1" applyAlignment="1" applyProtection="1">
      <alignment horizontal="center" vertical="center"/>
      <protection hidden="1"/>
    </xf>
    <xf numFmtId="0" fontId="114" fillId="48" borderId="0" xfId="81" applyFont="1" applyFill="1" applyAlignment="1" applyProtection="1">
      <alignment horizontal="center" vertical="center"/>
      <protection hidden="1"/>
    </xf>
    <xf numFmtId="0" fontId="51" fillId="48" borderId="13" xfId="81" applyFont="1" applyFill="1" applyBorder="1" applyAlignment="1" applyProtection="1">
      <alignment horizontal="left" vertical="center" wrapText="1"/>
      <protection hidden="1"/>
    </xf>
    <xf numFmtId="0" fontId="51" fillId="48" borderId="13" xfId="81" applyFont="1" applyFill="1" applyBorder="1" applyAlignment="1" applyProtection="1">
      <alignment horizontal="center" vertical="center" wrapText="1"/>
      <protection hidden="1"/>
    </xf>
    <xf numFmtId="168" fontId="51" fillId="48" borderId="13" xfId="57" applyNumberFormat="1" applyFont="1" applyFill="1" applyBorder="1" applyAlignment="1" applyProtection="1">
      <alignment horizontal="center" vertical="center" wrapText="1"/>
      <protection hidden="1"/>
    </xf>
    <xf numFmtId="186" fontId="51" fillId="48" borderId="0" xfId="81" applyNumberFormat="1" applyFont="1" applyFill="1" applyAlignment="1" applyProtection="1">
      <alignment horizontal="center" vertical="center"/>
      <protection hidden="1"/>
    </xf>
    <xf numFmtId="181" fontId="51" fillId="48" borderId="0" xfId="81" applyNumberFormat="1" applyFont="1" applyFill="1" applyAlignment="1" applyProtection="1">
      <alignment horizontal="center" vertical="center"/>
      <protection hidden="1"/>
    </xf>
    <xf numFmtId="183" fontId="51" fillId="48" borderId="0" xfId="81" applyNumberFormat="1" applyFont="1" applyFill="1" applyAlignment="1" applyProtection="1">
      <alignment horizontal="center" vertical="center"/>
      <protection hidden="1"/>
    </xf>
    <xf numFmtId="166" fontId="51" fillId="48" borderId="0" xfId="81" applyNumberFormat="1" applyFont="1" applyFill="1" applyAlignment="1" applyProtection="1">
      <alignment horizontal="center" vertical="center"/>
      <protection hidden="1"/>
    </xf>
    <xf numFmtId="0" fontId="51" fillId="54" borderId="39" xfId="81" applyFont="1" applyFill="1" applyBorder="1" applyAlignment="1" applyProtection="1">
      <alignment horizontal="left" vertical="center"/>
      <protection hidden="1"/>
    </xf>
    <xf numFmtId="0" fontId="51" fillId="54" borderId="0" xfId="81" applyFont="1" applyFill="1" applyBorder="1" applyAlignment="1" applyProtection="1">
      <alignment horizontal="center" vertical="center"/>
      <protection hidden="1"/>
    </xf>
    <xf numFmtId="0" fontId="31" fillId="54" borderId="40" xfId="81" applyFont="1" applyFill="1" applyBorder="1" applyAlignment="1" applyProtection="1">
      <alignment horizontal="center" vertical="center" wrapText="1"/>
      <protection hidden="1"/>
    </xf>
    <xf numFmtId="0" fontId="51" fillId="54" borderId="22" xfId="81" applyFont="1" applyFill="1" applyBorder="1" applyAlignment="1" applyProtection="1">
      <alignment horizontal="left" vertical="center"/>
      <protection hidden="1"/>
    </xf>
    <xf numFmtId="0" fontId="51" fillId="54" borderId="45" xfId="81" applyFont="1" applyFill="1" applyBorder="1" applyAlignment="1" applyProtection="1">
      <alignment horizontal="center" vertical="center"/>
      <protection hidden="1"/>
    </xf>
    <xf numFmtId="0" fontId="31" fillId="54" borderId="23" xfId="81" applyFont="1" applyFill="1" applyBorder="1" applyAlignment="1" applyProtection="1">
      <alignment horizontal="center" vertical="center" wrapText="1"/>
      <protection hidden="1"/>
    </xf>
    <xf numFmtId="0" fontId="51" fillId="48" borderId="13" xfId="81" applyFont="1" applyFill="1" applyBorder="1" applyAlignment="1" applyProtection="1">
      <alignment horizontal="left" vertical="center"/>
      <protection hidden="1"/>
    </xf>
    <xf numFmtId="0" fontId="51" fillId="48" borderId="13" xfId="81" applyFont="1" applyFill="1" applyBorder="1" applyAlignment="1" applyProtection="1">
      <alignment horizontal="center" vertical="center"/>
      <protection hidden="1"/>
    </xf>
    <xf numFmtId="0" fontId="31" fillId="48" borderId="13" xfId="81" applyFont="1" applyFill="1" applyBorder="1" applyAlignment="1" applyProtection="1">
      <alignment horizontal="center" vertical="center" wrapText="1"/>
      <protection hidden="1"/>
    </xf>
    <xf numFmtId="0" fontId="155" fillId="57" borderId="98" xfId="0" applyFont="1" applyFill="1" applyBorder="1" applyAlignment="1" applyProtection="1">
      <alignment horizontal="left" vertical="center"/>
      <protection hidden="1"/>
    </xf>
    <xf numFmtId="0" fontId="155" fillId="57" borderId="99" xfId="0" applyFont="1" applyFill="1" applyBorder="1" applyAlignment="1" applyProtection="1">
      <alignment horizontal="center" vertical="center"/>
      <protection hidden="1"/>
    </xf>
    <xf numFmtId="0" fontId="51" fillId="57" borderId="103" xfId="0" applyFont="1" applyFill="1" applyBorder="1" applyAlignment="1" applyProtection="1">
      <alignment horizontal="center" vertical="center" wrapText="1"/>
      <protection hidden="1"/>
    </xf>
    <xf numFmtId="0" fontId="34" fillId="57" borderId="16" xfId="0" applyFont="1" applyFill="1" applyBorder="1" applyAlignment="1" applyProtection="1">
      <alignment horizontal="left" vertical="center" wrapText="1"/>
      <protection hidden="1"/>
    </xf>
    <xf numFmtId="0" fontId="51" fillId="54" borderId="100" xfId="0" applyFont="1" applyFill="1" applyBorder="1" applyAlignment="1" applyProtection="1">
      <alignment horizontal="left" vertical="center"/>
      <protection hidden="1"/>
    </xf>
    <xf numFmtId="0" fontId="51" fillId="54" borderId="96" xfId="0" applyFont="1" applyFill="1" applyBorder="1" applyAlignment="1" applyProtection="1">
      <alignment horizontal="left" vertical="center"/>
      <protection hidden="1"/>
    </xf>
    <xf numFmtId="0" fontId="51" fillId="54" borderId="96" xfId="0" applyFont="1" applyFill="1" applyBorder="1" applyAlignment="1" applyProtection="1">
      <alignment horizontal="left" vertical="center" wrapText="1"/>
      <protection hidden="1"/>
    </xf>
    <xf numFmtId="0" fontId="51" fillId="54" borderId="101" xfId="0" applyFont="1" applyFill="1" applyBorder="1" applyAlignment="1" applyProtection="1">
      <alignment horizontal="left" vertical="center" wrapText="1"/>
      <protection hidden="1"/>
    </xf>
    <xf numFmtId="170" fontId="51" fillId="54" borderId="16" xfId="89" applyNumberFormat="1" applyFont="1" applyFill="1" applyBorder="1" applyAlignment="1" applyProtection="1">
      <alignment horizontal="center" vertical="center" wrapText="1"/>
      <protection hidden="1"/>
    </xf>
    <xf numFmtId="0" fontId="51" fillId="48" borderId="51" xfId="81" applyFont="1" applyFill="1" applyBorder="1" applyAlignment="1" applyProtection="1">
      <alignment horizontal="left" vertical="center" wrapText="1"/>
      <protection hidden="1"/>
    </xf>
    <xf numFmtId="0" fontId="51" fillId="48" borderId="154" xfId="81" applyFont="1" applyFill="1" applyBorder="1" applyAlignment="1" applyProtection="1">
      <alignment horizontal="center" vertical="center" wrapText="1"/>
      <protection hidden="1"/>
    </xf>
    <xf numFmtId="10" fontId="34" fillId="48" borderId="154" xfId="89" applyNumberFormat="1" applyFont="1" applyFill="1" applyBorder="1" applyAlignment="1" applyProtection="1">
      <alignment horizontal="center" vertical="center" wrapText="1"/>
      <protection hidden="1"/>
    </xf>
    <xf numFmtId="0" fontId="34" fillId="48" borderId="173" xfId="0" applyFont="1" applyFill="1" applyBorder="1" applyAlignment="1" applyProtection="1">
      <alignment horizontal="center" vertical="center"/>
      <protection hidden="1"/>
    </xf>
    <xf numFmtId="0" fontId="51" fillId="48" borderId="53" xfId="81" applyFont="1" applyFill="1" applyBorder="1" applyAlignment="1" applyProtection="1">
      <alignment horizontal="left" vertical="center" wrapText="1"/>
      <protection hidden="1"/>
    </xf>
    <xf numFmtId="170" fontId="51" fillId="52" borderId="55" xfId="89" applyNumberFormat="1" applyFont="1" applyFill="1" applyBorder="1" applyAlignment="1" applyProtection="1">
      <alignment horizontal="center" vertical="center" wrapText="1"/>
      <protection hidden="1"/>
    </xf>
    <xf numFmtId="170" fontId="51" fillId="52" borderId="52" xfId="89" applyNumberFormat="1" applyFont="1" applyFill="1" applyBorder="1" applyAlignment="1" applyProtection="1">
      <alignment horizontal="center" vertical="center" wrapText="1"/>
      <protection hidden="1"/>
    </xf>
    <xf numFmtId="0" fontId="51" fillId="48" borderId="52" xfId="0" applyFont="1" applyFill="1" applyBorder="1" applyAlignment="1" applyProtection="1">
      <alignment horizontal="center" vertical="center"/>
      <protection hidden="1"/>
    </xf>
    <xf numFmtId="0" fontId="51" fillId="48" borderId="55" xfId="81" applyFont="1" applyFill="1" applyBorder="1" applyAlignment="1" applyProtection="1">
      <alignment horizontal="center" vertical="center"/>
      <protection hidden="1"/>
    </xf>
    <xf numFmtId="0" fontId="34" fillId="55" borderId="53" xfId="0" applyFont="1" applyFill="1" applyBorder="1" applyAlignment="1" applyProtection="1">
      <alignment horizontal="left" vertical="center"/>
      <protection hidden="1"/>
    </xf>
    <xf numFmtId="0" fontId="51" fillId="55" borderId="55" xfId="81" applyFont="1" applyFill="1" applyBorder="1" applyAlignment="1" applyProtection="1">
      <alignment horizontal="center" vertical="center"/>
      <protection hidden="1"/>
    </xf>
    <xf numFmtId="170" fontId="34" fillId="55" borderId="55" xfId="89" applyNumberFormat="1" applyFont="1" applyFill="1" applyBorder="1" applyAlignment="1" applyProtection="1">
      <alignment horizontal="center" vertical="center"/>
      <protection hidden="1"/>
    </xf>
    <xf numFmtId="170" fontId="34" fillId="55" borderId="52" xfId="89" applyNumberFormat="1" applyFont="1" applyFill="1" applyBorder="1" applyAlignment="1" applyProtection="1">
      <alignment horizontal="center" vertical="center"/>
      <protection hidden="1"/>
    </xf>
    <xf numFmtId="0" fontId="51" fillId="48" borderId="54" xfId="0" applyFont="1" applyFill="1" applyBorder="1" applyAlignment="1" applyProtection="1">
      <alignment horizontal="left" vertical="center"/>
      <protection hidden="1"/>
    </xf>
    <xf numFmtId="0" fontId="51" fillId="48" borderId="50" xfId="81" applyFont="1" applyFill="1" applyBorder="1" applyAlignment="1" applyProtection="1">
      <alignment horizontal="center" vertical="center"/>
      <protection hidden="1"/>
    </xf>
    <xf numFmtId="0" fontId="51" fillId="48" borderId="56" xfId="0" applyFont="1" applyFill="1" applyBorder="1" applyAlignment="1" applyProtection="1">
      <alignment horizontal="center" vertical="center"/>
      <protection hidden="1"/>
    </xf>
    <xf numFmtId="0" fontId="51" fillId="55" borderId="16" xfId="0" applyFont="1" applyFill="1" applyBorder="1" applyAlignment="1" applyProtection="1">
      <alignment horizontal="left" vertical="center"/>
      <protection hidden="1"/>
    </xf>
    <xf numFmtId="0" fontId="51" fillId="55" borderId="17" xfId="0" applyFont="1" applyFill="1" applyBorder="1" applyAlignment="1" applyProtection="1">
      <alignment horizontal="left" vertical="center" wrapText="1"/>
      <protection hidden="1"/>
    </xf>
    <xf numFmtId="0" fontId="51" fillId="55" borderId="36" xfId="0" applyFont="1" applyFill="1" applyBorder="1" applyAlignment="1" applyProtection="1">
      <alignment horizontal="center" vertical="center" wrapText="1"/>
      <protection hidden="1"/>
    </xf>
    <xf numFmtId="9" fontId="51" fillId="48" borderId="0" xfId="89" applyFont="1" applyFill="1" applyAlignment="1" applyProtection="1">
      <alignment horizontal="center" vertical="center"/>
      <protection hidden="1"/>
    </xf>
    <xf numFmtId="0" fontId="51" fillId="48" borderId="145" xfId="0" applyFont="1" applyFill="1" applyBorder="1" applyAlignment="1" applyProtection="1">
      <alignment horizontal="left" vertical="center"/>
      <protection hidden="1"/>
    </xf>
    <xf numFmtId="0" fontId="51" fillId="48" borderId="146" xfId="0" applyFont="1" applyFill="1" applyBorder="1" applyAlignment="1" applyProtection="1">
      <alignment horizontal="center" vertical="center"/>
      <protection hidden="1"/>
    </xf>
    <xf numFmtId="10" fontId="51" fillId="55" borderId="36" xfId="89" applyNumberFormat="1" applyFont="1" applyFill="1" applyBorder="1" applyAlignment="1" applyProtection="1">
      <alignment horizontal="center" vertical="center" wrapText="1"/>
      <protection hidden="1"/>
    </xf>
    <xf numFmtId="0" fontId="51" fillId="55" borderId="37" xfId="0" applyFont="1" applyFill="1" applyBorder="1" applyAlignment="1" applyProtection="1">
      <alignment horizontal="center" vertical="center"/>
      <protection hidden="1"/>
    </xf>
    <xf numFmtId="0" fontId="51" fillId="48" borderId="100" xfId="0" applyFont="1" applyFill="1" applyBorder="1" applyAlignment="1" applyProtection="1">
      <alignment horizontal="center" vertical="center"/>
      <protection hidden="1"/>
    </xf>
    <xf numFmtId="0" fontId="51" fillId="48" borderId="90" xfId="0" applyFont="1" applyFill="1" applyBorder="1" applyAlignment="1" applyProtection="1">
      <alignment horizontal="left" vertical="center"/>
      <protection hidden="1"/>
    </xf>
    <xf numFmtId="0" fontId="51" fillId="48" borderId="76" xfId="0" applyFont="1" applyFill="1" applyBorder="1" applyAlignment="1" applyProtection="1">
      <alignment horizontal="center" vertical="center"/>
      <protection hidden="1"/>
    </xf>
    <xf numFmtId="0" fontId="51" fillId="48" borderId="57" xfId="81" applyFont="1" applyFill="1" applyBorder="1" applyAlignment="1" applyProtection="1">
      <alignment horizontal="center" vertical="center"/>
      <protection hidden="1"/>
    </xf>
    <xf numFmtId="190" fontId="34" fillId="54" borderId="76" xfId="81" applyNumberFormat="1" applyFont="1" applyFill="1" applyBorder="1" applyAlignment="1" applyProtection="1">
      <alignment horizontal="center" vertical="center"/>
      <protection locked="0"/>
    </xf>
    <xf numFmtId="190" fontId="34" fillId="54" borderId="65" xfId="81" applyNumberFormat="1" applyFont="1" applyFill="1" applyBorder="1" applyAlignment="1" applyProtection="1">
      <alignment horizontal="center" vertical="center"/>
      <protection locked="0"/>
    </xf>
    <xf numFmtId="0" fontId="34" fillId="55" borderId="145" xfId="0" applyFont="1" applyFill="1" applyBorder="1" applyProtection="1">
      <protection hidden="1"/>
    </xf>
    <xf numFmtId="0" fontId="1" fillId="55" borderId="69" xfId="0" applyFont="1" applyFill="1" applyBorder="1" applyProtection="1">
      <protection hidden="1"/>
    </xf>
    <xf numFmtId="0" fontId="1" fillId="54" borderId="39" xfId="0" applyFont="1" applyFill="1" applyBorder="1" applyProtection="1">
      <protection hidden="1"/>
    </xf>
    <xf numFmtId="164" fontId="0" fillId="48" borderId="0" xfId="0" applyNumberFormat="1" applyFill="1" applyBorder="1" applyAlignment="1" applyProtection="1">
      <alignment horizontal="center"/>
      <protection hidden="1"/>
    </xf>
    <xf numFmtId="164" fontId="1" fillId="52" borderId="40" xfId="0" applyNumberFormat="1" applyFont="1" applyFill="1" applyBorder="1" applyAlignment="1" applyProtection="1">
      <alignment horizontal="center"/>
      <protection hidden="1"/>
    </xf>
    <xf numFmtId="164" fontId="0" fillId="48" borderId="0" xfId="55" applyNumberFormat="1" applyFont="1" applyFill="1" applyBorder="1" applyAlignment="1" applyProtection="1">
      <alignment horizontal="center"/>
      <protection hidden="1"/>
    </xf>
    <xf numFmtId="0" fontId="1" fillId="54" borderId="40" xfId="0" applyFont="1" applyFill="1" applyBorder="1" applyProtection="1">
      <protection hidden="1"/>
    </xf>
    <xf numFmtId="0" fontId="1" fillId="54" borderId="22" xfId="0" applyFont="1" applyFill="1" applyBorder="1" applyProtection="1">
      <protection hidden="1"/>
    </xf>
    <xf numFmtId="0" fontId="0" fillId="48" borderId="13" xfId="0" applyFill="1" applyBorder="1" applyProtection="1">
      <protection hidden="1"/>
    </xf>
    <xf numFmtId="164" fontId="0" fillId="48" borderId="0" xfId="0" applyNumberFormat="1" applyFill="1" applyAlignment="1" applyProtection="1">
      <alignment horizontal="center"/>
      <protection hidden="1"/>
    </xf>
    <xf numFmtId="0" fontId="26" fillId="55" borderId="69" xfId="0" applyFont="1" applyFill="1" applyBorder="1" applyProtection="1">
      <protection hidden="1"/>
    </xf>
    <xf numFmtId="164" fontId="0" fillId="48" borderId="39" xfId="0" applyNumberFormat="1" applyFill="1" applyBorder="1" applyAlignment="1" applyProtection="1">
      <alignment horizontal="center"/>
      <protection hidden="1"/>
    </xf>
    <xf numFmtId="0" fontId="0" fillId="48" borderId="39" xfId="0" applyFill="1" applyBorder="1" applyAlignment="1" applyProtection="1">
      <alignment horizontal="center"/>
      <protection hidden="1"/>
    </xf>
    <xf numFmtId="164" fontId="1" fillId="45" borderId="40" xfId="0" applyNumberFormat="1" applyFont="1" applyFill="1" applyBorder="1" applyAlignment="1" applyProtection="1">
      <alignment horizontal="center"/>
      <protection locked="0"/>
    </xf>
    <xf numFmtId="164" fontId="1" fillId="45" borderId="40" xfId="55" applyNumberFormat="1" applyFont="1" applyFill="1" applyBorder="1" applyAlignment="1" applyProtection="1">
      <alignment horizontal="center"/>
      <protection locked="0"/>
    </xf>
    <xf numFmtId="0" fontId="1" fillId="45" borderId="23" xfId="0" applyFont="1" applyFill="1" applyBorder="1" applyProtection="1">
      <protection locked="0"/>
    </xf>
    <xf numFmtId="0" fontId="126" fillId="48" borderId="0" xfId="82" applyFill="1" applyProtection="1"/>
    <xf numFmtId="0" fontId="133" fillId="0" borderId="16" xfId="82" applyFont="1" applyBorder="1" applyAlignment="1" applyProtection="1">
      <alignment horizontal="left"/>
    </xf>
    <xf numFmtId="0" fontId="134" fillId="0" borderId="16" xfId="82" applyFont="1" applyBorder="1" applyProtection="1"/>
    <xf numFmtId="0" fontId="126" fillId="0" borderId="0" xfId="82" applyProtection="1"/>
    <xf numFmtId="0" fontId="1" fillId="48" borderId="16" xfId="82" applyFont="1" applyFill="1" applyBorder="1" applyAlignment="1" applyProtection="1">
      <alignment vertical="center" wrapText="1"/>
    </xf>
    <xf numFmtId="0" fontId="126" fillId="48" borderId="0" xfId="82" applyFill="1" applyAlignment="1" applyProtection="1">
      <alignment vertical="center"/>
    </xf>
    <xf numFmtId="0" fontId="126" fillId="0" borderId="0" xfId="82" applyAlignment="1" applyProtection="1">
      <alignment vertical="center"/>
    </xf>
    <xf numFmtId="0" fontId="1" fillId="46" borderId="100" xfId="82" applyFont="1" applyFill="1" applyBorder="1" applyAlignment="1" applyProtection="1">
      <alignment horizontal="left" vertical="center" wrapText="1" indent="1"/>
    </xf>
    <xf numFmtId="0" fontId="1" fillId="46" borderId="96" xfId="82" applyFont="1" applyFill="1" applyBorder="1" applyAlignment="1" applyProtection="1">
      <alignment horizontal="left" vertical="center" wrapText="1" indent="1"/>
    </xf>
    <xf numFmtId="0" fontId="1" fillId="48" borderId="96" xfId="82" applyFont="1" applyFill="1" applyBorder="1" applyAlignment="1" applyProtection="1">
      <alignment vertical="center" wrapText="1"/>
    </xf>
    <xf numFmtId="0" fontId="1" fillId="25" borderId="101" xfId="82" applyFont="1" applyFill="1" applyBorder="1" applyAlignment="1" applyProtection="1">
      <alignment vertical="center" wrapText="1"/>
    </xf>
    <xf numFmtId="0" fontId="1" fillId="0" borderId="139" xfId="97" applyFont="1" applyBorder="1" applyAlignment="1" applyProtection="1">
      <alignment horizontal="left" vertical="center" wrapText="1" indent="1"/>
    </xf>
    <xf numFmtId="0" fontId="1" fillId="0" borderId="116" xfId="97" applyBorder="1" applyAlignment="1" applyProtection="1">
      <alignment horizontal="left" vertical="center" wrapText="1" indent="1"/>
    </xf>
    <xf numFmtId="0" fontId="1" fillId="0" borderId="116" xfId="97" applyFont="1" applyBorder="1" applyAlignment="1" applyProtection="1">
      <alignment horizontal="left" vertical="center" wrapText="1" indent="1"/>
    </xf>
    <xf numFmtId="0" fontId="1" fillId="0" borderId="122" xfId="97" applyBorder="1" applyAlignment="1" applyProtection="1">
      <alignment horizontal="left" vertical="center" wrapText="1" indent="1"/>
    </xf>
    <xf numFmtId="0" fontId="51" fillId="55" borderId="25" xfId="0" applyFont="1" applyFill="1" applyBorder="1" applyAlignment="1" applyProtection="1">
      <alignment horizontal="center" vertical="center"/>
      <protection hidden="1"/>
    </xf>
    <xf numFmtId="0" fontId="51" fillId="51" borderId="32" xfId="0" applyFont="1" applyFill="1" applyBorder="1" applyAlignment="1" applyProtection="1">
      <alignment horizontal="center" vertical="center" wrapText="1"/>
      <protection locked="0"/>
    </xf>
    <xf numFmtId="0" fontId="51" fillId="51" borderId="29" xfId="0" applyFont="1" applyFill="1" applyBorder="1" applyAlignment="1" applyProtection="1">
      <alignment horizontal="center" vertical="center" wrapText="1"/>
      <protection locked="0"/>
    </xf>
    <xf numFmtId="0" fontId="51" fillId="51" borderId="79" xfId="0" applyFont="1" applyFill="1" applyBorder="1" applyAlignment="1" applyProtection="1">
      <alignment horizontal="center" vertical="center" wrapText="1"/>
      <protection locked="0"/>
    </xf>
    <xf numFmtId="9" fontId="51" fillId="52" borderId="144" xfId="89" applyFont="1" applyFill="1" applyBorder="1" applyAlignment="1" applyProtection="1">
      <alignment horizontal="center" vertical="center"/>
      <protection hidden="1"/>
    </xf>
    <xf numFmtId="9" fontId="51" fillId="52" borderId="122" xfId="89" applyFont="1" applyFill="1" applyBorder="1" applyAlignment="1" applyProtection="1">
      <alignment horizontal="center" vertical="center"/>
      <protection hidden="1"/>
    </xf>
    <xf numFmtId="0" fontId="51" fillId="55" borderId="24" xfId="0" applyFont="1" applyFill="1" applyBorder="1" applyAlignment="1" applyProtection="1">
      <alignment horizontal="left" vertical="center"/>
      <protection hidden="1"/>
    </xf>
    <xf numFmtId="0" fontId="51" fillId="48" borderId="117" xfId="0" applyFont="1" applyFill="1" applyBorder="1" applyAlignment="1" applyProtection="1">
      <alignment horizontal="center" vertical="center" wrapText="1"/>
      <protection hidden="1"/>
    </xf>
    <xf numFmtId="0" fontId="51" fillId="48" borderId="119" xfId="0" applyFont="1" applyFill="1" applyBorder="1" applyAlignment="1" applyProtection="1">
      <alignment horizontal="center" vertical="center" wrapText="1"/>
      <protection hidden="1"/>
    </xf>
    <xf numFmtId="171" fontId="51" fillId="52" borderId="100" xfId="0" applyNumberFormat="1" applyFont="1" applyFill="1" applyBorder="1" applyAlignment="1" applyProtection="1">
      <alignment horizontal="center" vertical="center"/>
      <protection hidden="1"/>
    </xf>
    <xf numFmtId="171" fontId="51" fillId="52" borderId="147" xfId="0" applyNumberFormat="1" applyFont="1" applyFill="1" applyBorder="1" applyAlignment="1" applyProtection="1">
      <alignment horizontal="center" vertical="center"/>
      <protection hidden="1"/>
    </xf>
    <xf numFmtId="37" fontId="51" fillId="52" borderId="117" xfId="55" applyNumberFormat="1" applyFont="1" applyFill="1" applyBorder="1" applyAlignment="1" applyProtection="1">
      <alignment horizontal="center" vertical="center" wrapText="1"/>
      <protection hidden="1"/>
    </xf>
    <xf numFmtId="37" fontId="51" fillId="52" borderId="118" xfId="55" applyNumberFormat="1" applyFont="1" applyFill="1" applyBorder="1" applyAlignment="1" applyProtection="1">
      <alignment horizontal="center" vertical="center" wrapText="1"/>
      <protection hidden="1"/>
    </xf>
    <xf numFmtId="37" fontId="51" fillId="52" borderId="119" xfId="55" applyNumberFormat="1" applyFont="1" applyFill="1" applyBorder="1" applyAlignment="1" applyProtection="1">
      <alignment horizontal="center" vertical="center" wrapText="1"/>
      <protection hidden="1"/>
    </xf>
    <xf numFmtId="37" fontId="51" fillId="52" borderId="120" xfId="55" applyNumberFormat="1" applyFont="1" applyFill="1" applyBorder="1" applyAlignment="1" applyProtection="1">
      <alignment horizontal="center" vertical="center" wrapText="1"/>
      <protection hidden="1"/>
    </xf>
    <xf numFmtId="0" fontId="51" fillId="48" borderId="121" xfId="0" applyFont="1" applyFill="1" applyBorder="1" applyAlignment="1" applyProtection="1">
      <alignment horizontal="left" vertical="center" wrapText="1"/>
      <protection hidden="1"/>
    </xf>
    <xf numFmtId="10" fontId="51" fillId="48" borderId="144" xfId="0" applyNumberFormat="1" applyFont="1" applyFill="1" applyBorder="1" applyAlignment="1" applyProtection="1">
      <alignment horizontal="center" vertical="center"/>
      <protection hidden="1"/>
    </xf>
    <xf numFmtId="0" fontId="51" fillId="54" borderId="113" xfId="0" applyFont="1" applyFill="1" applyBorder="1" applyAlignment="1" applyProtection="1">
      <alignment horizontal="left" vertical="center"/>
      <protection hidden="1"/>
    </xf>
    <xf numFmtId="0" fontId="51" fillId="54" borderId="26" xfId="0" applyFont="1" applyFill="1" applyBorder="1" applyAlignment="1" applyProtection="1">
      <alignment horizontal="center" vertical="center"/>
      <protection hidden="1"/>
    </xf>
    <xf numFmtId="0" fontId="51" fillId="54" borderId="30" xfId="0" applyFont="1" applyFill="1" applyBorder="1" applyAlignment="1" applyProtection="1">
      <alignment horizontal="center" vertical="center"/>
      <protection hidden="1"/>
    </xf>
    <xf numFmtId="0" fontId="51" fillId="54" borderId="82" xfId="0" applyFont="1" applyFill="1" applyBorder="1" applyAlignment="1" applyProtection="1">
      <alignment horizontal="center" vertical="center"/>
      <protection hidden="1"/>
    </xf>
    <xf numFmtId="0" fontId="122" fillId="48" borderId="0" xfId="73" applyFont="1" applyFill="1" applyBorder="1" applyAlignment="1" applyProtection="1">
      <alignment horizontal="center" vertical="center" wrapText="1"/>
      <protection hidden="1"/>
    </xf>
    <xf numFmtId="0" fontId="51" fillId="51" borderId="29" xfId="0" applyFont="1" applyFill="1" applyBorder="1" applyAlignment="1" applyProtection="1">
      <alignment vertical="center" wrapText="1"/>
      <protection locked="0"/>
    </xf>
    <xf numFmtId="0" fontId="51" fillId="51" borderId="77" xfId="0" applyFont="1" applyFill="1" applyBorder="1" applyAlignment="1" applyProtection="1">
      <alignment vertical="center" wrapText="1"/>
      <protection locked="0"/>
    </xf>
    <xf numFmtId="187" fontId="0" fillId="48" borderId="0" xfId="55" applyNumberFormat="1" applyFont="1" applyFill="1" applyProtection="1">
      <protection hidden="1"/>
    </xf>
    <xf numFmtId="187" fontId="0" fillId="48" borderId="16" xfId="0" applyNumberFormat="1" applyFill="1" applyBorder="1" applyAlignment="1" applyProtection="1">
      <alignment horizontal="center" vertical="center"/>
      <protection hidden="1"/>
    </xf>
    <xf numFmtId="187" fontId="26" fillId="48" borderId="16" xfId="0" applyNumberFormat="1" applyFont="1" applyFill="1" applyBorder="1" applyAlignment="1" applyProtection="1">
      <alignment horizontal="center"/>
      <protection hidden="1"/>
    </xf>
    <xf numFmtId="0" fontId="51" fillId="51" borderId="88" xfId="0" applyFont="1" applyFill="1" applyBorder="1" applyAlignment="1" applyProtection="1">
      <alignment vertical="center" wrapText="1"/>
      <protection locked="0"/>
    </xf>
    <xf numFmtId="0" fontId="51" fillId="51" borderId="89" xfId="0" applyFont="1" applyFill="1" applyBorder="1" applyAlignment="1" applyProtection="1">
      <alignment vertical="center" wrapText="1"/>
      <protection locked="0"/>
    </xf>
    <xf numFmtId="0" fontId="51" fillId="51" borderId="25" xfId="0" applyFont="1" applyFill="1" applyBorder="1" applyAlignment="1" applyProtection="1">
      <alignment horizontal="center" vertical="center" wrapText="1"/>
      <protection locked="0"/>
    </xf>
    <xf numFmtId="0" fontId="51" fillId="51" borderId="26" xfId="0" applyFont="1" applyFill="1" applyBorder="1" applyAlignment="1" applyProtection="1">
      <alignment horizontal="center" vertical="center" wrapText="1"/>
      <protection locked="0"/>
    </xf>
    <xf numFmtId="0" fontId="51" fillId="48" borderId="0" xfId="0" applyFont="1" applyFill="1" applyAlignment="1" applyProtection="1">
      <alignment horizontal="center"/>
      <protection hidden="1"/>
    </xf>
    <xf numFmtId="0" fontId="51" fillId="48" borderId="0" xfId="0" applyFont="1" applyFill="1" applyAlignment="1" applyProtection="1">
      <protection hidden="1"/>
    </xf>
    <xf numFmtId="0" fontId="51" fillId="48" borderId="0" xfId="0" applyFont="1" applyFill="1" applyBorder="1" applyAlignment="1" applyProtection="1">
      <alignment horizontal="center"/>
      <protection hidden="1"/>
    </xf>
    <xf numFmtId="0" fontId="51" fillId="48" borderId="39" xfId="0" applyFont="1" applyFill="1" applyBorder="1" applyAlignment="1" applyProtection="1">
      <alignment vertical="center" wrapText="1"/>
      <protection hidden="1"/>
    </xf>
    <xf numFmtId="3" fontId="51" fillId="48" borderId="0" xfId="0" applyNumberFormat="1" applyFont="1" applyFill="1" applyBorder="1" applyAlignment="1" applyProtection="1">
      <alignment horizontal="left" vertical="center"/>
      <protection hidden="1"/>
    </xf>
    <xf numFmtId="43" fontId="51" fillId="48" borderId="0" xfId="55" applyFont="1" applyFill="1" applyAlignment="1" applyProtection="1">
      <alignment vertical="center"/>
      <protection hidden="1"/>
    </xf>
    <xf numFmtId="4" fontId="51" fillId="48" borderId="0" xfId="55" applyNumberFormat="1" applyFont="1" applyFill="1" applyBorder="1" applyAlignment="1" applyProtection="1">
      <alignment horizontal="center" vertical="center" wrapText="1"/>
      <protection hidden="1"/>
    </xf>
    <xf numFmtId="0" fontId="51" fillId="48" borderId="13" xfId="0" applyFont="1" applyFill="1" applyBorder="1" applyAlignment="1" applyProtection="1">
      <alignment horizontal="left" vertical="center" wrapText="1"/>
      <protection hidden="1"/>
    </xf>
    <xf numFmtId="0" fontId="51" fillId="48" borderId="13" xfId="0" applyFont="1" applyFill="1" applyBorder="1" applyAlignment="1" applyProtection="1">
      <alignment horizontal="center" vertical="center" wrapText="1"/>
      <protection hidden="1"/>
    </xf>
    <xf numFmtId="4" fontId="51" fillId="48" borderId="13" xfId="55" applyNumberFormat="1" applyFont="1" applyFill="1" applyBorder="1" applyAlignment="1" applyProtection="1">
      <alignment horizontal="center" vertical="center" wrapText="1"/>
      <protection hidden="1"/>
    </xf>
    <xf numFmtId="0" fontId="51" fillId="48" borderId="0" xfId="0" applyFont="1" applyFill="1" applyAlignment="1" applyProtection="1">
      <alignment horizontal="left"/>
      <protection hidden="1"/>
    </xf>
    <xf numFmtId="43" fontId="51" fillId="48" borderId="0" xfId="55" applyFont="1" applyFill="1" applyBorder="1" applyAlignment="1" applyProtection="1">
      <alignment vertical="center"/>
      <protection hidden="1"/>
    </xf>
    <xf numFmtId="0" fontId="51" fillId="48" borderId="0" xfId="81" applyFont="1" applyFill="1" applyAlignment="1" applyProtection="1">
      <alignment horizontal="center" vertical="center" wrapText="1"/>
      <protection hidden="1"/>
    </xf>
    <xf numFmtId="0" fontId="55" fillId="48" borderId="0" xfId="0" applyFont="1" applyFill="1" applyAlignment="1" applyProtection="1">
      <alignment horizontal="center" vertical="center"/>
      <protection locked="0"/>
    </xf>
    <xf numFmtId="0" fontId="55" fillId="48" borderId="0" xfId="0" applyFont="1" applyFill="1" applyAlignment="1" applyProtection="1">
      <alignment horizontal="center" vertical="center" wrapText="1"/>
      <protection locked="0"/>
    </xf>
    <xf numFmtId="0" fontId="37" fillId="48" borderId="0" xfId="0" applyFont="1" applyFill="1" applyAlignment="1" applyProtection="1">
      <alignment horizontal="center" vertical="center"/>
      <protection locked="0"/>
    </xf>
    <xf numFmtId="0" fontId="46" fillId="48" borderId="0" xfId="0" applyFont="1" applyFill="1" applyAlignment="1" applyProtection="1">
      <alignment horizontal="center" vertical="center"/>
      <protection locked="0"/>
    </xf>
    <xf numFmtId="168" fontId="55" fillId="48" borderId="0" xfId="0" applyNumberFormat="1" applyFont="1" applyFill="1" applyAlignment="1" applyProtection="1">
      <alignment horizontal="center" vertical="center"/>
      <protection locked="0"/>
    </xf>
    <xf numFmtId="168" fontId="57" fillId="48" borderId="0" xfId="56" applyNumberFormat="1" applyFont="1" applyFill="1" applyBorder="1" applyAlignment="1" applyProtection="1">
      <alignment horizontal="center" vertical="center"/>
      <protection locked="0"/>
    </xf>
    <xf numFmtId="0" fontId="51" fillId="48" borderId="0" xfId="0" applyFont="1" applyFill="1" applyAlignment="1" applyProtection="1">
      <alignment horizontal="center" vertical="center"/>
      <protection locked="0"/>
    </xf>
    <xf numFmtId="0" fontId="140" fillId="48" borderId="73" xfId="0" applyFont="1" applyFill="1" applyBorder="1" applyAlignment="1" applyProtection="1">
      <alignment horizontal="center" vertical="center" textRotation="90"/>
      <protection locked="0"/>
    </xf>
    <xf numFmtId="0" fontId="140" fillId="48" borderId="0" xfId="0" applyFont="1" applyFill="1" applyBorder="1" applyAlignment="1" applyProtection="1">
      <alignment horizontal="center" vertical="center" textRotation="90"/>
      <protection locked="0"/>
    </xf>
    <xf numFmtId="0" fontId="51" fillId="48" borderId="0" xfId="0" applyFont="1" applyFill="1" applyBorder="1" applyAlignment="1" applyProtection="1">
      <alignment horizontal="center" vertical="center"/>
      <protection locked="0"/>
    </xf>
    <xf numFmtId="0" fontId="51" fillId="48" borderId="0" xfId="0" applyFont="1" applyFill="1" applyBorder="1" applyAlignment="1" applyProtection="1">
      <alignment horizontal="center" vertical="center" textRotation="90"/>
      <protection locked="0"/>
    </xf>
    <xf numFmtId="168" fontId="51" fillId="48" borderId="0" xfId="0" applyNumberFormat="1" applyFont="1" applyFill="1" applyAlignment="1" applyProtection="1">
      <alignment horizontal="center" vertical="center"/>
      <protection locked="0"/>
    </xf>
    <xf numFmtId="0" fontId="34" fillId="48" borderId="0" xfId="0" applyFont="1" applyFill="1" applyAlignment="1" applyProtection="1">
      <alignment horizontal="center" vertical="center"/>
      <protection locked="0"/>
    </xf>
    <xf numFmtId="0" fontId="51" fillId="48" borderId="0" xfId="0" applyFont="1" applyFill="1" applyProtection="1">
      <protection locked="0"/>
    </xf>
    <xf numFmtId="0" fontId="51" fillId="48" borderId="0" xfId="0" applyFont="1" applyFill="1" applyAlignment="1" applyProtection="1">
      <alignment vertical="center" wrapText="1"/>
      <protection locked="0"/>
    </xf>
    <xf numFmtId="0" fontId="34" fillId="48" borderId="0" xfId="0" applyFont="1" applyFill="1" applyProtection="1">
      <protection locked="0"/>
    </xf>
    <xf numFmtId="0" fontId="51" fillId="48" borderId="0" xfId="0" applyFont="1" applyFill="1" applyAlignment="1" applyProtection="1">
      <alignment vertical="top" wrapText="1"/>
      <protection locked="0"/>
    </xf>
    <xf numFmtId="0" fontId="51" fillId="48" borderId="0" xfId="0" applyFont="1" applyFill="1" applyBorder="1" applyProtection="1">
      <protection locked="0"/>
    </xf>
    <xf numFmtId="168" fontId="51" fillId="48" borderId="0" xfId="0" applyNumberFormat="1" applyFont="1" applyFill="1" applyProtection="1">
      <protection locked="0"/>
    </xf>
    <xf numFmtId="0" fontId="51" fillId="48" borderId="0" xfId="81" applyFont="1" applyFill="1" applyAlignment="1" applyProtection="1">
      <alignment horizontal="center" vertical="center"/>
      <protection locked="0"/>
    </xf>
    <xf numFmtId="0" fontId="51" fillId="0" borderId="0" xfId="81" applyFont="1" applyAlignment="1" applyProtection="1">
      <alignment horizontal="center" vertical="center"/>
      <protection locked="0"/>
    </xf>
    <xf numFmtId="0" fontId="51" fillId="0" borderId="0" xfId="0" applyFont="1" applyAlignment="1" applyProtection="1">
      <alignment horizontal="center" vertical="center" wrapText="1"/>
      <protection locked="0"/>
    </xf>
    <xf numFmtId="0" fontId="51" fillId="0" borderId="0" xfId="0" applyFont="1" applyAlignment="1" applyProtection="1">
      <alignment horizontal="center" vertical="center"/>
      <protection locked="0"/>
    </xf>
    <xf numFmtId="0" fontId="51" fillId="0" borderId="0" xfId="81" applyFont="1" applyFill="1" applyAlignment="1" applyProtection="1">
      <alignment horizontal="center" vertical="center"/>
      <protection locked="0"/>
    </xf>
    <xf numFmtId="0" fontId="51" fillId="0" borderId="0" xfId="81" applyFont="1" applyFill="1" applyAlignment="1" applyProtection="1">
      <alignment horizontal="center" vertical="center" wrapText="1"/>
      <protection locked="0"/>
    </xf>
    <xf numFmtId="0" fontId="106" fillId="48" borderId="0" xfId="81" applyFont="1" applyFill="1" applyAlignment="1" applyProtection="1">
      <alignment horizontal="center" vertical="center" wrapText="1"/>
      <protection hidden="1"/>
    </xf>
    <xf numFmtId="168" fontId="51" fillId="48" borderId="0" xfId="57" applyNumberFormat="1" applyFont="1" applyFill="1" applyAlignment="1" applyProtection="1">
      <alignment horizontal="center" vertical="center" wrapText="1"/>
      <protection hidden="1"/>
    </xf>
    <xf numFmtId="0" fontId="34" fillId="48" borderId="16" xfId="81" applyFont="1" applyFill="1" applyBorder="1" applyAlignment="1" applyProtection="1">
      <alignment horizontal="center" vertical="center"/>
      <protection hidden="1"/>
    </xf>
    <xf numFmtId="2" fontId="55" fillId="48" borderId="0" xfId="0" applyNumberFormat="1" applyFont="1" applyFill="1" applyAlignment="1" applyProtection="1">
      <alignment horizontal="center" vertical="center"/>
      <protection locked="0"/>
    </xf>
    <xf numFmtId="0" fontId="55" fillId="48" borderId="0" xfId="0" applyNumberFormat="1" applyFont="1" applyFill="1" applyAlignment="1" applyProtection="1">
      <alignment horizontal="center" vertical="center"/>
      <protection locked="0"/>
    </xf>
    <xf numFmtId="2" fontId="51" fillId="48" borderId="0" xfId="0" applyNumberFormat="1" applyFont="1" applyFill="1" applyBorder="1" applyAlignment="1" applyProtection="1">
      <alignment horizontal="center" vertical="center"/>
      <protection locked="0"/>
    </xf>
    <xf numFmtId="2" fontId="51" fillId="48" borderId="0" xfId="0" applyNumberFormat="1" applyFont="1" applyFill="1" applyProtection="1">
      <protection locked="0"/>
    </xf>
    <xf numFmtId="2" fontId="51" fillId="48" borderId="0" xfId="81" applyNumberFormat="1" applyFont="1" applyFill="1" applyAlignment="1" applyProtection="1">
      <alignment horizontal="center" vertical="center"/>
      <protection locked="0"/>
    </xf>
    <xf numFmtId="2" fontId="51" fillId="0" borderId="0" xfId="0" applyNumberFormat="1" applyFont="1" applyAlignment="1" applyProtection="1">
      <alignment horizontal="center" vertical="center"/>
      <protection locked="0"/>
    </xf>
    <xf numFmtId="2" fontId="51" fillId="0" borderId="0" xfId="81" applyNumberFormat="1" applyFont="1" applyFill="1" applyAlignment="1" applyProtection="1">
      <alignment horizontal="center" vertical="center"/>
      <protection locked="0"/>
    </xf>
    <xf numFmtId="187" fontId="1" fillId="48" borderId="16" xfId="0" applyNumberFormat="1" applyFont="1" applyFill="1" applyBorder="1" applyAlignment="1" applyProtection="1">
      <alignment horizontal="center" vertical="center"/>
      <protection hidden="1"/>
    </xf>
    <xf numFmtId="187" fontId="26" fillId="48" borderId="16" xfId="0" applyNumberFormat="1" applyFont="1" applyFill="1" applyBorder="1" applyAlignment="1" applyProtection="1">
      <alignment horizontal="center" vertical="center"/>
      <protection hidden="1"/>
    </xf>
    <xf numFmtId="0" fontId="1" fillId="48" borderId="16" xfId="0" applyFont="1" applyFill="1" applyBorder="1" applyAlignment="1" applyProtection="1">
      <alignment horizontal="left" vertical="center"/>
      <protection hidden="1"/>
    </xf>
    <xf numFmtId="0" fontId="1" fillId="48" borderId="16" xfId="0" applyFont="1" applyFill="1" applyBorder="1" applyAlignment="1" applyProtection="1">
      <alignment horizontal="left" vertical="center" wrapText="1"/>
      <protection hidden="1"/>
    </xf>
    <xf numFmtId="3" fontId="1" fillId="45" borderId="16" xfId="56" applyNumberFormat="1" applyFont="1" applyFill="1" applyBorder="1" applyAlignment="1" applyProtection="1">
      <alignment horizontal="center" vertical="center"/>
      <protection locked="0"/>
    </xf>
    <xf numFmtId="10" fontId="51" fillId="45" borderId="16" xfId="0" applyNumberFormat="1" applyFont="1" applyFill="1" applyBorder="1" applyAlignment="1" applyProtection="1">
      <alignment horizontal="center" vertical="center" wrapText="1"/>
      <protection locked="0"/>
    </xf>
    <xf numFmtId="10" fontId="51" fillId="45" borderId="19" xfId="0" applyNumberFormat="1" applyFont="1" applyFill="1" applyBorder="1" applyAlignment="1" applyProtection="1">
      <alignment horizontal="center" vertical="center" wrapText="1"/>
      <protection locked="0"/>
    </xf>
    <xf numFmtId="2" fontId="51" fillId="45" borderId="16" xfId="0" applyNumberFormat="1" applyFont="1" applyFill="1" applyBorder="1" applyAlignment="1" applyProtection="1">
      <alignment horizontal="center" vertical="center" wrapText="1"/>
      <protection locked="0"/>
    </xf>
    <xf numFmtId="2" fontId="51" fillId="45" borderId="19" xfId="0" applyNumberFormat="1" applyFont="1" applyFill="1" applyBorder="1" applyAlignment="1" applyProtection="1">
      <alignment horizontal="center" vertical="center" wrapText="1"/>
      <protection locked="0"/>
    </xf>
    <xf numFmtId="0" fontId="1" fillId="48" borderId="190" xfId="0" applyFont="1" applyFill="1" applyBorder="1" applyAlignment="1" applyProtection="1">
      <alignment horizontal="center" vertical="center" wrapText="1"/>
      <protection hidden="1"/>
    </xf>
    <xf numFmtId="0" fontId="1" fillId="48" borderId="128" xfId="0" applyFont="1" applyFill="1" applyBorder="1" applyAlignment="1" applyProtection="1">
      <alignment horizontal="left" vertical="center" wrapText="1" indent="1"/>
      <protection hidden="1"/>
    </xf>
    <xf numFmtId="0" fontId="1" fillId="48" borderId="53" xfId="0" applyFont="1" applyFill="1" applyBorder="1" applyAlignment="1" applyProtection="1">
      <alignment horizontal="center" vertical="center" wrapText="1"/>
      <protection hidden="1"/>
    </xf>
    <xf numFmtId="0" fontId="1" fillId="48" borderId="55" xfId="0" applyFont="1" applyFill="1" applyBorder="1" applyAlignment="1" applyProtection="1">
      <alignment horizontal="left" vertical="center" wrapText="1" indent="1"/>
      <protection hidden="1"/>
    </xf>
    <xf numFmtId="0" fontId="1" fillId="48" borderId="194" xfId="0" applyFont="1" applyFill="1" applyBorder="1" applyAlignment="1" applyProtection="1">
      <alignment horizontal="center" vertical="center" wrapText="1"/>
      <protection hidden="1"/>
    </xf>
    <xf numFmtId="0" fontId="1" fillId="48" borderId="50" xfId="0" applyFont="1" applyFill="1" applyBorder="1" applyAlignment="1" applyProtection="1">
      <alignment horizontal="left" vertical="center" wrapText="1" indent="1"/>
      <protection hidden="1"/>
    </xf>
    <xf numFmtId="0" fontId="1" fillId="48" borderId="38" xfId="0" applyFont="1" applyFill="1" applyBorder="1" applyAlignment="1" applyProtection="1">
      <alignment horizontal="left" vertical="center" wrapText="1"/>
      <protection hidden="1"/>
    </xf>
    <xf numFmtId="0" fontId="28" fillId="48" borderId="16" xfId="0" applyFont="1" applyFill="1" applyBorder="1" applyAlignment="1" applyProtection="1">
      <alignment horizontal="left" vertical="center"/>
      <protection hidden="1"/>
    </xf>
    <xf numFmtId="0" fontId="1" fillId="48" borderId="91" xfId="0" applyFont="1" applyFill="1" applyBorder="1" applyAlignment="1" applyProtection="1">
      <alignment horizontal="left" vertical="center"/>
      <protection hidden="1"/>
    </xf>
    <xf numFmtId="0" fontId="28" fillId="48" borderId="10" xfId="0" applyFont="1" applyFill="1" applyBorder="1" applyAlignment="1" applyProtection="1">
      <alignment horizontal="left" vertical="center"/>
      <protection hidden="1"/>
    </xf>
    <xf numFmtId="0" fontId="1" fillId="48" borderId="16" xfId="0" applyFont="1" applyFill="1" applyBorder="1" applyAlignment="1" applyProtection="1">
      <alignment horizontal="center" vertical="center" wrapText="1"/>
      <protection hidden="1"/>
    </xf>
    <xf numFmtId="0" fontId="1" fillId="48" borderId="19" xfId="0" applyFont="1" applyFill="1" applyBorder="1" applyAlignment="1" applyProtection="1">
      <alignment horizontal="center" vertical="center" wrapText="1"/>
      <protection hidden="1"/>
    </xf>
    <xf numFmtId="0" fontId="26" fillId="48" borderId="36" xfId="0" applyFont="1" applyFill="1" applyBorder="1" applyAlignment="1" applyProtection="1">
      <alignment horizontal="center" vertical="center"/>
      <protection hidden="1"/>
    </xf>
    <xf numFmtId="0" fontId="1" fillId="48" borderId="138" xfId="0" applyFont="1" applyFill="1" applyBorder="1" applyAlignment="1" applyProtection="1">
      <alignment horizontal="left" vertical="center"/>
      <protection hidden="1"/>
    </xf>
    <xf numFmtId="0" fontId="1" fillId="48" borderId="96" xfId="0" applyFont="1" applyFill="1" applyBorder="1" applyAlignment="1" applyProtection="1">
      <alignment horizontal="left" vertical="center"/>
      <protection hidden="1"/>
    </xf>
    <xf numFmtId="0" fontId="1" fillId="48" borderId="96" xfId="0" applyFont="1" applyFill="1" applyBorder="1" applyAlignment="1" applyProtection="1">
      <alignment horizontal="left" vertical="center" wrapText="1"/>
      <protection hidden="1"/>
    </xf>
    <xf numFmtId="0" fontId="26" fillId="48" borderId="96" xfId="0" applyFont="1" applyFill="1" applyBorder="1" applyAlignment="1" applyProtection="1">
      <alignment horizontal="left" vertical="center" wrapText="1"/>
      <protection hidden="1"/>
    </xf>
    <xf numFmtId="0" fontId="1" fillId="48" borderId="144" xfId="0" applyFont="1" applyFill="1" applyBorder="1" applyAlignment="1" applyProtection="1">
      <alignment horizontal="left" vertical="center" wrapText="1"/>
      <protection hidden="1"/>
    </xf>
    <xf numFmtId="0" fontId="1" fillId="48" borderId="156" xfId="0" applyFont="1" applyFill="1" applyBorder="1" applyAlignment="1" applyProtection="1">
      <alignment horizontal="center" vertical="center" wrapText="1"/>
      <protection hidden="1"/>
    </xf>
    <xf numFmtId="0" fontId="1" fillId="48" borderId="114" xfId="0" applyFont="1" applyFill="1" applyBorder="1" applyAlignment="1" applyProtection="1">
      <alignment horizontal="center" vertical="center" wrapText="1"/>
      <protection hidden="1"/>
    </xf>
    <xf numFmtId="0" fontId="26" fillId="48" borderId="114" xfId="0" applyFont="1" applyFill="1" applyBorder="1" applyAlignment="1" applyProtection="1">
      <alignment horizontal="center" vertical="center" wrapText="1"/>
      <protection hidden="1"/>
    </xf>
    <xf numFmtId="0" fontId="1" fillId="48" borderId="121" xfId="0" applyFont="1" applyFill="1" applyBorder="1" applyAlignment="1" applyProtection="1">
      <alignment horizontal="center" vertical="center" wrapText="1"/>
      <protection hidden="1"/>
    </xf>
    <xf numFmtId="0" fontId="51" fillId="48" borderId="154" xfId="0" applyNumberFormat="1" applyFont="1" applyFill="1" applyBorder="1" applyAlignment="1" applyProtection="1">
      <alignment wrapText="1"/>
      <protection hidden="1"/>
    </xf>
    <xf numFmtId="0" fontId="51" fillId="48" borderId="55" xfId="0" applyNumberFormat="1" applyFont="1" applyFill="1" applyBorder="1" applyAlignment="1" applyProtection="1">
      <alignment wrapText="1"/>
      <protection hidden="1"/>
    </xf>
    <xf numFmtId="3" fontId="1" fillId="45" borderId="116" xfId="0" applyNumberFormat="1" applyFont="1" applyFill="1" applyBorder="1" applyAlignment="1" applyProtection="1">
      <alignment horizontal="center" vertical="center"/>
      <protection locked="0"/>
    </xf>
    <xf numFmtId="3" fontId="1" fillId="52" borderId="116" xfId="0" applyNumberFormat="1" applyFont="1" applyFill="1" applyBorder="1" applyAlignment="1" applyProtection="1">
      <alignment horizontal="center" vertical="center"/>
      <protection hidden="1"/>
    </xf>
    <xf numFmtId="3" fontId="166" fillId="52" borderId="96" xfId="0" applyNumberFormat="1" applyFont="1" applyFill="1" applyBorder="1" applyAlignment="1" applyProtection="1">
      <alignment horizontal="center" vertical="center"/>
      <protection hidden="1"/>
    </xf>
    <xf numFmtId="3" fontId="166" fillId="52" borderId="116" xfId="0" applyNumberFormat="1" applyFont="1" applyFill="1" applyBorder="1" applyAlignment="1" applyProtection="1">
      <alignment horizontal="center" vertical="center"/>
      <protection hidden="1"/>
    </xf>
    <xf numFmtId="3" fontId="51" fillId="45" borderId="55" xfId="0" applyNumberFormat="1" applyFont="1" applyFill="1" applyBorder="1" applyAlignment="1" applyProtection="1">
      <alignment horizontal="center" vertical="center"/>
      <protection locked="0"/>
    </xf>
    <xf numFmtId="3" fontId="51" fillId="45" borderId="55" xfId="57" applyNumberFormat="1" applyFont="1" applyFill="1" applyBorder="1" applyAlignment="1" applyProtection="1">
      <alignment horizontal="center" vertical="center"/>
      <protection locked="0"/>
    </xf>
    <xf numFmtId="3" fontId="51" fillId="45" borderId="128" xfId="55" applyNumberFormat="1" applyFont="1" applyFill="1" applyBorder="1" applyAlignment="1" applyProtection="1">
      <alignment horizontal="center" vertical="center" wrapText="1"/>
      <protection locked="0"/>
    </xf>
    <xf numFmtId="3" fontId="51" fillId="45" borderId="149" xfId="55" applyNumberFormat="1" applyFont="1" applyFill="1" applyBorder="1" applyAlignment="1" applyProtection="1">
      <alignment horizontal="center" vertical="center" wrapText="1"/>
      <protection locked="0"/>
    </xf>
    <xf numFmtId="3" fontId="51" fillId="45" borderId="55" xfId="0" applyNumberFormat="1" applyFont="1" applyFill="1" applyBorder="1" applyAlignment="1" applyProtection="1">
      <alignment horizontal="center" vertical="center" wrapText="1"/>
      <protection locked="0"/>
    </xf>
    <xf numFmtId="3" fontId="51" fillId="45" borderId="52" xfId="0" applyNumberFormat="1" applyFont="1" applyFill="1" applyBorder="1" applyAlignment="1" applyProtection="1">
      <alignment horizontal="center" vertical="center" wrapText="1"/>
      <protection locked="0"/>
    </xf>
    <xf numFmtId="3" fontId="51" fillId="45" borderId="50" xfId="0" applyNumberFormat="1" applyFont="1" applyFill="1" applyBorder="1" applyAlignment="1" applyProtection="1">
      <alignment horizontal="center" vertical="center" wrapText="1"/>
      <protection locked="0"/>
    </xf>
    <xf numFmtId="3" fontId="51" fillId="45" borderId="56" xfId="0" applyNumberFormat="1" applyFont="1" applyFill="1" applyBorder="1" applyAlignment="1" applyProtection="1">
      <alignment horizontal="center" vertical="center" wrapText="1"/>
      <protection locked="0"/>
    </xf>
    <xf numFmtId="170" fontId="51" fillId="45" borderId="38" xfId="0" applyNumberFormat="1" applyFont="1" applyFill="1" applyBorder="1" applyAlignment="1" applyProtection="1">
      <alignment horizontal="center" vertical="center"/>
      <protection locked="0"/>
    </xf>
    <xf numFmtId="0" fontId="51" fillId="45" borderId="38" xfId="0" applyFont="1" applyFill="1" applyBorder="1" applyAlignment="1" applyProtection="1">
      <alignment horizontal="center" vertical="center"/>
      <protection locked="0"/>
    </xf>
    <xf numFmtId="0" fontId="34" fillId="55" borderId="24" xfId="0" applyFont="1" applyFill="1" applyBorder="1" applyAlignment="1" applyProtection="1">
      <alignment horizontal="left" vertical="center" wrapText="1"/>
      <protection hidden="1"/>
    </xf>
    <xf numFmtId="3" fontId="51" fillId="45" borderId="88" xfId="0" applyNumberFormat="1" applyFont="1" applyFill="1" applyBorder="1" applyAlignment="1" applyProtection="1">
      <alignment horizontal="center" vertical="center" wrapText="1"/>
      <protection locked="0"/>
    </xf>
    <xf numFmtId="3" fontId="51" fillId="45" borderId="89" xfId="0" applyNumberFormat="1" applyFont="1" applyFill="1" applyBorder="1" applyAlignment="1" applyProtection="1">
      <alignment horizontal="center" vertical="center" wrapText="1"/>
      <protection locked="0"/>
    </xf>
    <xf numFmtId="164" fontId="51" fillId="45" borderId="50" xfId="55" applyNumberFormat="1" applyFont="1" applyFill="1" applyBorder="1" applyAlignment="1" applyProtection="1">
      <alignment horizontal="center" vertical="center" wrapText="1"/>
      <protection locked="0"/>
    </xf>
    <xf numFmtId="164" fontId="51" fillId="45" borderId="56" xfId="55" applyNumberFormat="1" applyFont="1" applyFill="1" applyBorder="1" applyAlignment="1" applyProtection="1">
      <alignment horizontal="center" vertical="center" wrapText="1"/>
      <protection locked="0"/>
    </xf>
    <xf numFmtId="3" fontId="51" fillId="45" borderId="55" xfId="81" applyNumberFormat="1" applyFont="1" applyFill="1" applyBorder="1" applyAlignment="1" applyProtection="1">
      <alignment horizontal="center" vertical="center" wrapText="1"/>
      <protection locked="0"/>
    </xf>
    <xf numFmtId="3" fontId="51" fillId="45" borderId="52" xfId="81" applyNumberFormat="1" applyFont="1" applyFill="1" applyBorder="1" applyAlignment="1" applyProtection="1">
      <alignment horizontal="center" vertical="center" wrapText="1"/>
      <protection locked="0"/>
    </xf>
    <xf numFmtId="10" fontId="51" fillId="45" borderId="100" xfId="89" applyNumberFormat="1" applyFont="1" applyFill="1" applyBorder="1" applyAlignment="1" applyProtection="1">
      <alignment horizontal="center" vertical="center"/>
      <protection locked="0"/>
    </xf>
    <xf numFmtId="10" fontId="51" fillId="45" borderId="96" xfId="89" applyNumberFormat="1" applyFont="1" applyFill="1" applyBorder="1" applyAlignment="1" applyProtection="1">
      <alignment horizontal="center" vertical="center"/>
      <protection locked="0"/>
    </xf>
    <xf numFmtId="10" fontId="51" fillId="54" borderId="96" xfId="89" applyNumberFormat="1" applyFont="1" applyFill="1" applyBorder="1" applyAlignment="1" applyProtection="1">
      <alignment horizontal="center" vertical="center" wrapText="1"/>
      <protection hidden="1"/>
    </xf>
    <xf numFmtId="171" fontId="51" fillId="52" borderId="96" xfId="89" applyNumberFormat="1" applyFont="1" applyFill="1" applyBorder="1" applyAlignment="1" applyProtection="1">
      <alignment horizontal="center" vertical="center"/>
      <protection hidden="1"/>
    </xf>
    <xf numFmtId="171" fontId="51" fillId="52" borderId="116" xfId="89" applyNumberFormat="1" applyFont="1" applyFill="1" applyBorder="1" applyAlignment="1" applyProtection="1">
      <alignment horizontal="center" vertical="center"/>
      <protection hidden="1"/>
    </xf>
    <xf numFmtId="3" fontId="51" fillId="52" borderId="55" xfId="55" applyNumberFormat="1" applyFont="1" applyFill="1" applyBorder="1" applyAlignment="1" applyProtection="1">
      <alignment horizontal="center" vertical="center" wrapText="1"/>
      <protection hidden="1"/>
    </xf>
    <xf numFmtId="3" fontId="51" fillId="52" borderId="52" xfId="55" applyNumberFormat="1" applyFont="1" applyFill="1" applyBorder="1" applyAlignment="1" applyProtection="1">
      <alignment horizontal="center" vertical="center" wrapText="1"/>
      <protection hidden="1"/>
    </xf>
    <xf numFmtId="193" fontId="1" fillId="55" borderId="76" xfId="55" applyNumberFormat="1" applyFont="1" applyFill="1" applyBorder="1" applyAlignment="1" applyProtection="1">
      <alignment horizontal="center" vertical="center" wrapText="1"/>
      <protection hidden="1"/>
    </xf>
    <xf numFmtId="193" fontId="1" fillId="58" borderId="55" xfId="0" applyNumberFormat="1" applyFont="1" applyFill="1" applyBorder="1" applyAlignment="1" applyProtection="1">
      <alignment horizontal="center" vertical="center" wrapText="1"/>
      <protection hidden="1"/>
    </xf>
    <xf numFmtId="187" fontId="1" fillId="59" borderId="55" xfId="0" applyNumberFormat="1" applyFont="1" applyFill="1" applyBorder="1" applyAlignment="1" applyProtection="1">
      <alignment horizontal="center" vertical="center" wrapText="1"/>
      <protection hidden="1"/>
    </xf>
    <xf numFmtId="187" fontId="1" fillId="59" borderId="52" xfId="0" applyNumberFormat="1" applyFont="1" applyFill="1" applyBorder="1" applyAlignment="1" applyProtection="1">
      <alignment horizontal="center" vertical="center" wrapText="1"/>
      <protection hidden="1"/>
    </xf>
    <xf numFmtId="187" fontId="1" fillId="59" borderId="50" xfId="0" applyNumberFormat="1" applyFont="1" applyFill="1" applyBorder="1" applyAlignment="1" applyProtection="1">
      <alignment horizontal="center" vertical="center" wrapText="1"/>
      <protection hidden="1"/>
    </xf>
    <xf numFmtId="3" fontId="51" fillId="52" borderId="16" xfId="0" applyNumberFormat="1" applyFont="1" applyFill="1" applyBorder="1" applyAlignment="1" applyProtection="1">
      <alignment horizontal="center" vertical="center"/>
      <protection hidden="1"/>
    </xf>
    <xf numFmtId="3" fontId="51" fillId="52" borderId="19" xfId="0" applyNumberFormat="1" applyFont="1" applyFill="1" applyBorder="1" applyAlignment="1" applyProtection="1">
      <alignment horizontal="center" vertical="center"/>
      <protection hidden="1"/>
    </xf>
    <xf numFmtId="3" fontId="51" fillId="45" borderId="16" xfId="81" applyNumberFormat="1" applyFont="1" applyFill="1" applyBorder="1" applyAlignment="1" applyProtection="1">
      <alignment horizontal="center" vertical="center"/>
      <protection locked="0"/>
    </xf>
    <xf numFmtId="3" fontId="51" fillId="45" borderId="19" xfId="81" applyNumberFormat="1" applyFont="1" applyFill="1" applyBorder="1" applyAlignment="1" applyProtection="1">
      <alignment horizontal="center" vertical="center"/>
      <protection locked="0"/>
    </xf>
    <xf numFmtId="3" fontId="51" fillId="54" borderId="144" xfId="55" applyNumberFormat="1" applyFont="1" applyFill="1" applyBorder="1" applyAlignment="1" applyProtection="1">
      <alignment horizontal="center" vertical="center" wrapText="1"/>
      <protection hidden="1"/>
    </xf>
    <xf numFmtId="3" fontId="51" fillId="54" borderId="122" xfId="55" applyNumberFormat="1" applyFont="1" applyFill="1" applyBorder="1" applyAlignment="1" applyProtection="1">
      <alignment horizontal="center" vertical="center" wrapText="1"/>
      <protection hidden="1"/>
    </xf>
    <xf numFmtId="3" fontId="51" fillId="45" borderId="96" xfId="0" applyNumberFormat="1" applyFont="1" applyFill="1" applyBorder="1" applyAlignment="1" applyProtection="1">
      <alignment horizontal="center" vertical="center"/>
      <protection locked="0"/>
    </xf>
    <xf numFmtId="3" fontId="51" fillId="45" borderId="116" xfId="0" applyNumberFormat="1" applyFont="1" applyFill="1" applyBorder="1" applyAlignment="1" applyProtection="1">
      <alignment horizontal="center" vertical="center"/>
      <protection locked="0"/>
    </xf>
    <xf numFmtId="193" fontId="34" fillId="55" borderId="140" xfId="55" applyNumberFormat="1" applyFont="1" applyFill="1" applyBorder="1" applyAlignment="1" applyProtection="1">
      <alignment horizontal="center"/>
      <protection hidden="1"/>
    </xf>
    <xf numFmtId="0" fontId="51" fillId="48" borderId="55" xfId="0" applyFont="1" applyFill="1" applyBorder="1" applyAlignment="1" applyProtection="1">
      <alignment horizontal="center" vertical="center"/>
      <protection hidden="1"/>
    </xf>
    <xf numFmtId="3" fontId="51" fillId="45" borderId="100" xfId="0" applyNumberFormat="1" applyFont="1" applyFill="1" applyBorder="1" applyAlignment="1" applyProtection="1">
      <alignment horizontal="center" vertical="center"/>
      <protection locked="0"/>
    </xf>
    <xf numFmtId="3" fontId="51" fillId="45" borderId="147" xfId="0" applyNumberFormat="1" applyFont="1" applyFill="1" applyBorder="1" applyAlignment="1" applyProtection="1">
      <alignment horizontal="center" vertical="center"/>
      <protection locked="0"/>
    </xf>
    <xf numFmtId="3" fontId="51" fillId="52" borderId="96" xfId="0" applyNumberFormat="1" applyFont="1" applyFill="1" applyBorder="1" applyAlignment="1" applyProtection="1">
      <alignment horizontal="center" vertical="center"/>
      <protection hidden="1"/>
    </xf>
    <xf numFmtId="3" fontId="51" fillId="52" borderId="116" xfId="0" applyNumberFormat="1" applyFont="1" applyFill="1" applyBorder="1" applyAlignment="1" applyProtection="1">
      <alignment horizontal="center" vertical="center"/>
      <protection hidden="1"/>
    </xf>
    <xf numFmtId="3" fontId="1" fillId="52" borderId="154" xfId="56" applyNumberFormat="1" applyFont="1" applyFill="1" applyBorder="1" applyAlignment="1" applyProtection="1">
      <alignment horizontal="center" vertical="center" wrapText="1"/>
      <protection hidden="1"/>
    </xf>
    <xf numFmtId="193" fontId="1" fillId="52" borderId="154" xfId="55" applyNumberFormat="1" applyFont="1" applyFill="1" applyBorder="1" applyAlignment="1" applyProtection="1">
      <alignment horizontal="center" vertical="center" wrapText="1"/>
      <protection hidden="1"/>
    </xf>
    <xf numFmtId="10" fontId="1" fillId="52" borderId="154" xfId="90" applyNumberFormat="1" applyFont="1" applyFill="1" applyBorder="1" applyAlignment="1" applyProtection="1">
      <alignment horizontal="center" vertical="center" wrapText="1"/>
      <protection hidden="1"/>
    </xf>
    <xf numFmtId="10" fontId="1" fillId="52" borderId="173" xfId="90" applyNumberFormat="1" applyFont="1" applyFill="1" applyBorder="1" applyAlignment="1" applyProtection="1">
      <alignment horizontal="center" vertical="center" wrapText="1"/>
      <protection hidden="1"/>
    </xf>
    <xf numFmtId="3" fontId="1" fillId="52" borderId="55" xfId="56" applyNumberFormat="1" applyFont="1" applyFill="1" applyBorder="1" applyAlignment="1" applyProtection="1">
      <alignment horizontal="center" vertical="center" wrapText="1"/>
      <protection hidden="1"/>
    </xf>
    <xf numFmtId="193" fontId="1" fillId="52" borderId="55" xfId="55" applyNumberFormat="1" applyFont="1" applyFill="1" applyBorder="1" applyAlignment="1" applyProtection="1">
      <alignment horizontal="center" vertical="center" wrapText="1"/>
      <protection hidden="1"/>
    </xf>
    <xf numFmtId="10" fontId="1" fillId="52" borderId="55" xfId="90" applyNumberFormat="1" applyFont="1" applyFill="1" applyBorder="1" applyAlignment="1" applyProtection="1">
      <alignment horizontal="center" vertical="center" wrapText="1"/>
      <protection hidden="1"/>
    </xf>
    <xf numFmtId="10" fontId="1" fillId="52" borderId="52" xfId="90" applyNumberFormat="1" applyFont="1" applyFill="1" applyBorder="1" applyAlignment="1" applyProtection="1">
      <alignment horizontal="center" vertical="center" wrapText="1"/>
      <protection hidden="1"/>
    </xf>
    <xf numFmtId="3" fontId="1" fillId="52" borderId="55" xfId="0" applyNumberFormat="1" applyFont="1" applyFill="1" applyBorder="1" applyAlignment="1" applyProtection="1">
      <alignment horizontal="center" vertical="center" wrapText="1"/>
      <protection hidden="1"/>
    </xf>
    <xf numFmtId="3" fontId="26" fillId="52" borderId="55" xfId="0" applyNumberFormat="1" applyFont="1" applyFill="1" applyBorder="1" applyAlignment="1" applyProtection="1">
      <alignment horizontal="center" vertical="center" wrapText="1"/>
      <protection hidden="1"/>
    </xf>
    <xf numFmtId="193" fontId="26" fillId="52" borderId="55" xfId="55" applyNumberFormat="1" applyFont="1" applyFill="1" applyBorder="1" applyAlignment="1" applyProtection="1">
      <alignment horizontal="center" vertical="center" wrapText="1"/>
      <protection hidden="1"/>
    </xf>
    <xf numFmtId="171" fontId="1" fillId="52" borderId="55" xfId="89" applyNumberFormat="1" applyFont="1" applyFill="1" applyBorder="1" applyAlignment="1" applyProtection="1">
      <alignment horizontal="center" vertical="center" wrapText="1"/>
      <protection hidden="1"/>
    </xf>
    <xf numFmtId="193" fontId="1" fillId="52" borderId="55" xfId="0" applyNumberFormat="1" applyFont="1" applyFill="1" applyBorder="1" applyAlignment="1" applyProtection="1">
      <alignment horizontal="center" vertical="center" wrapText="1"/>
      <protection hidden="1"/>
    </xf>
    <xf numFmtId="3" fontId="1" fillId="52" borderId="50" xfId="0" applyNumberFormat="1" applyFont="1" applyFill="1" applyBorder="1" applyAlignment="1" applyProtection="1">
      <alignment horizontal="center" vertical="center" wrapText="1"/>
      <protection hidden="1"/>
    </xf>
    <xf numFmtId="193" fontId="1" fillId="52" borderId="50" xfId="55" applyNumberFormat="1" applyFont="1" applyFill="1" applyBorder="1" applyAlignment="1" applyProtection="1">
      <alignment horizontal="center" vertical="center" wrapText="1"/>
      <protection hidden="1"/>
    </xf>
    <xf numFmtId="10" fontId="1" fillId="52" borderId="50" xfId="90" applyNumberFormat="1" applyFont="1" applyFill="1" applyBorder="1" applyAlignment="1" applyProtection="1">
      <alignment horizontal="center" vertical="center" wrapText="1"/>
      <protection hidden="1"/>
    </xf>
    <xf numFmtId="10" fontId="1" fillId="52" borderId="56" xfId="90" applyNumberFormat="1" applyFont="1" applyFill="1" applyBorder="1" applyAlignment="1" applyProtection="1">
      <alignment horizontal="center" vertical="center" wrapText="1"/>
      <protection hidden="1"/>
    </xf>
    <xf numFmtId="3" fontId="167" fillId="48" borderId="0" xfId="0" applyNumberFormat="1" applyFont="1" applyFill="1" applyAlignment="1" applyProtection="1">
      <alignment horizontal="center" vertical="center"/>
      <protection hidden="1"/>
    </xf>
    <xf numFmtId="0" fontId="1" fillId="56" borderId="129" xfId="0" applyNumberFormat="1" applyFont="1" applyFill="1" applyBorder="1" applyAlignment="1" applyProtection="1">
      <alignment horizontal="center" vertical="center"/>
      <protection hidden="1"/>
    </xf>
    <xf numFmtId="0" fontId="1" fillId="45" borderId="96" xfId="0" applyFont="1" applyFill="1" applyBorder="1" applyAlignment="1" applyProtection="1">
      <alignment horizontal="center" vertical="center"/>
      <protection hidden="1"/>
    </xf>
    <xf numFmtId="0" fontId="1" fillId="54" borderId="141" xfId="0" applyNumberFormat="1" applyFont="1" applyFill="1" applyBorder="1" applyAlignment="1" applyProtection="1">
      <alignment vertical="center"/>
      <protection hidden="1"/>
    </xf>
    <xf numFmtId="0" fontId="1" fillId="54" borderId="142" xfId="0" applyNumberFormat="1" applyFont="1" applyFill="1" applyBorder="1" applyAlignment="1" applyProtection="1">
      <alignment vertical="center"/>
      <protection hidden="1"/>
    </xf>
    <xf numFmtId="0" fontId="1" fillId="54" borderId="150" xfId="0" applyFont="1" applyFill="1" applyBorder="1" applyAlignment="1" applyProtection="1">
      <alignment horizontal="left" vertical="center" wrapText="1" indent="1"/>
      <protection hidden="1"/>
    </xf>
    <xf numFmtId="0" fontId="1" fillId="54" borderId="114" xfId="0" applyFont="1" applyFill="1" applyBorder="1" applyAlignment="1" applyProtection="1">
      <alignment horizontal="left" vertical="center" wrapText="1" indent="1"/>
      <protection hidden="1"/>
    </xf>
    <xf numFmtId="0" fontId="1" fillId="54" borderId="166" xfId="0" applyFont="1" applyFill="1" applyBorder="1" applyAlignment="1" applyProtection="1">
      <alignment horizontal="left" vertical="center" wrapText="1" indent="1"/>
      <protection hidden="1"/>
    </xf>
    <xf numFmtId="0" fontId="1" fillId="54" borderId="150" xfId="0" applyFont="1" applyFill="1" applyBorder="1" applyAlignment="1" applyProtection="1">
      <alignment horizontal="left" vertical="center" wrapText="1" indent="2"/>
      <protection hidden="1"/>
    </xf>
    <xf numFmtId="0" fontId="1" fillId="54" borderId="114" xfId="0" applyFont="1" applyFill="1" applyBorder="1" applyAlignment="1" applyProtection="1">
      <alignment horizontal="left" vertical="center" wrapText="1" indent="2"/>
      <protection hidden="1"/>
    </xf>
    <xf numFmtId="3" fontId="1" fillId="54" borderId="143" xfId="0" applyNumberFormat="1" applyFont="1" applyFill="1" applyBorder="1" applyAlignment="1" applyProtection="1">
      <alignment horizontal="left" vertical="center" wrapText="1" indent="2"/>
      <protection hidden="1"/>
    </xf>
    <xf numFmtId="0" fontId="1" fillId="54" borderId="143" xfId="0" applyFont="1" applyFill="1" applyBorder="1" applyAlignment="1" applyProtection="1">
      <alignment horizontal="left" vertical="center" wrapText="1" indent="2"/>
      <protection hidden="1"/>
    </xf>
    <xf numFmtId="0" fontId="1" fillId="54" borderId="143" xfId="0" applyFont="1" applyFill="1" applyBorder="1" applyAlignment="1" applyProtection="1">
      <alignment horizontal="left" vertical="center" indent="2"/>
      <protection hidden="1"/>
    </xf>
    <xf numFmtId="0" fontId="1" fillId="54" borderId="217" xfId="0" applyFont="1" applyFill="1" applyBorder="1" applyAlignment="1" applyProtection="1">
      <alignment horizontal="left" vertical="center" wrapText="1" indent="2"/>
      <protection hidden="1"/>
    </xf>
    <xf numFmtId="0" fontId="1" fillId="54" borderId="115" xfId="0" applyFont="1" applyFill="1" applyBorder="1" applyAlignment="1" applyProtection="1">
      <alignment horizontal="left" vertical="center" wrapText="1" indent="1"/>
      <protection hidden="1"/>
    </xf>
    <xf numFmtId="170" fontId="51" fillId="45" borderId="144" xfId="0" applyNumberFormat="1" applyFont="1" applyFill="1" applyBorder="1" applyAlignment="1" applyProtection="1">
      <alignment horizontal="center" vertical="center"/>
      <protection locked="0"/>
    </xf>
    <xf numFmtId="170" fontId="51" fillId="45" borderId="122" xfId="55" applyNumberFormat="1" applyFont="1" applyFill="1" applyBorder="1" applyAlignment="1" applyProtection="1">
      <alignment horizontal="center" vertical="center"/>
      <protection locked="0"/>
    </xf>
    <xf numFmtId="174" fontId="51" fillId="45" borderId="50" xfId="55" applyNumberFormat="1" applyFont="1" applyFill="1" applyBorder="1" applyAlignment="1" applyProtection="1">
      <alignment horizontal="center" vertical="center"/>
      <protection locked="0"/>
    </xf>
    <xf numFmtId="174" fontId="51" fillId="45" borderId="56" xfId="55" applyNumberFormat="1" applyFont="1" applyFill="1" applyBorder="1" applyAlignment="1" applyProtection="1">
      <alignment horizontal="center" vertical="center"/>
      <protection locked="0"/>
    </xf>
    <xf numFmtId="0" fontId="34" fillId="57" borderId="86" xfId="0" applyFont="1" applyFill="1" applyBorder="1" applyAlignment="1" applyProtection="1">
      <alignment horizontal="left" vertical="center" wrapText="1"/>
      <protection locked="0"/>
    </xf>
    <xf numFmtId="2" fontId="51" fillId="52" borderId="96" xfId="55" applyNumberFormat="1" applyFont="1" applyFill="1" applyBorder="1" applyAlignment="1" applyProtection="1">
      <alignment horizontal="center" vertical="center" wrapText="1"/>
      <protection hidden="1"/>
    </xf>
    <xf numFmtId="2" fontId="51" fillId="52" borderId="116" xfId="55" applyNumberFormat="1" applyFont="1" applyFill="1" applyBorder="1" applyAlignment="1" applyProtection="1">
      <alignment horizontal="center" vertical="center" wrapText="1"/>
      <protection hidden="1"/>
    </xf>
    <xf numFmtId="2" fontId="51" fillId="52" borderId="144" xfId="55" applyNumberFormat="1" applyFont="1" applyFill="1" applyBorder="1" applyAlignment="1" applyProtection="1">
      <alignment horizontal="center" vertical="center"/>
      <protection hidden="1"/>
    </xf>
    <xf numFmtId="2" fontId="51" fillId="52" borderId="122" xfId="55" applyNumberFormat="1" applyFont="1" applyFill="1" applyBorder="1" applyAlignment="1" applyProtection="1">
      <alignment horizontal="center" vertical="center"/>
      <protection hidden="1"/>
    </xf>
    <xf numFmtId="0" fontId="34" fillId="48" borderId="0" xfId="0" applyFont="1" applyFill="1" applyBorder="1" applyAlignment="1" applyProtection="1">
      <alignment horizontal="center" vertical="center"/>
      <protection hidden="1"/>
    </xf>
    <xf numFmtId="193" fontId="34" fillId="54" borderId="61" xfId="0" applyNumberFormat="1" applyFont="1" applyFill="1" applyBorder="1" applyAlignment="1" applyProtection="1">
      <alignment horizontal="center" vertical="center" wrapText="1"/>
      <protection hidden="1"/>
    </xf>
    <xf numFmtId="0" fontId="34" fillId="55" borderId="64" xfId="0" applyFont="1" applyFill="1" applyBorder="1" applyAlignment="1" applyProtection="1">
      <alignment vertical="center"/>
      <protection hidden="1"/>
    </xf>
    <xf numFmtId="0" fontId="34" fillId="55" borderId="49" xfId="0" applyFont="1" applyFill="1" applyBorder="1" applyAlignment="1" applyProtection="1">
      <alignment vertical="center"/>
      <protection hidden="1"/>
    </xf>
    <xf numFmtId="0" fontId="51" fillId="54" borderId="97" xfId="0" applyFont="1" applyFill="1" applyBorder="1" applyAlignment="1" applyProtection="1">
      <alignment horizontal="center" vertical="center"/>
      <protection hidden="1"/>
    </xf>
    <xf numFmtId="0" fontId="34" fillId="48" borderId="39" xfId="0" applyFont="1" applyFill="1" applyBorder="1" applyAlignment="1" applyProtection="1">
      <alignment vertical="center"/>
      <protection hidden="1"/>
    </xf>
    <xf numFmtId="2" fontId="51" fillId="48" borderId="39" xfId="0" applyNumberFormat="1" applyFont="1" applyFill="1" applyBorder="1" applyAlignment="1" applyProtection="1">
      <alignment horizontal="center" vertical="center"/>
      <protection hidden="1"/>
    </xf>
    <xf numFmtId="4" fontId="51" fillId="52" borderId="91" xfId="57" applyNumberFormat="1" applyFont="1" applyFill="1" applyBorder="1" applyAlignment="1" applyProtection="1">
      <alignment horizontal="center" vertical="center"/>
      <protection hidden="1"/>
    </xf>
    <xf numFmtId="4" fontId="51" fillId="45" borderId="38" xfId="0" applyNumberFormat="1" applyFont="1" applyFill="1" applyBorder="1" applyAlignment="1" applyProtection="1">
      <alignment horizontal="center" vertical="center"/>
      <protection locked="0"/>
    </xf>
    <xf numFmtId="0" fontId="106" fillId="48" borderId="0" xfId="0" applyFont="1" applyFill="1" applyBorder="1" applyAlignment="1" applyProtection="1">
      <alignment vertical="center"/>
      <protection hidden="1"/>
    </xf>
    <xf numFmtId="4" fontId="51" fillId="48" borderId="0" xfId="0" applyNumberFormat="1" applyFont="1" applyFill="1" applyBorder="1" applyAlignment="1" applyProtection="1">
      <alignment horizontal="center" vertical="center"/>
      <protection locked="0"/>
    </xf>
    <xf numFmtId="4" fontId="51" fillId="48" borderId="0" xfId="57" applyNumberFormat="1" applyFont="1" applyFill="1" applyBorder="1" applyAlignment="1" applyProtection="1">
      <alignment horizontal="center" vertical="center"/>
      <protection hidden="1"/>
    </xf>
    <xf numFmtId="0" fontId="1" fillId="48" borderId="16" xfId="0" applyFont="1" applyFill="1" applyBorder="1" applyProtection="1">
      <protection hidden="1"/>
    </xf>
    <xf numFmtId="171" fontId="0" fillId="48" borderId="16" xfId="89" applyNumberFormat="1" applyFont="1" applyFill="1" applyBorder="1" applyProtection="1">
      <protection hidden="1"/>
    </xf>
    <xf numFmtId="0" fontId="51" fillId="48" borderId="55" xfId="0" applyNumberFormat="1" applyFont="1" applyFill="1" applyBorder="1" applyProtection="1">
      <protection hidden="1"/>
    </xf>
    <xf numFmtId="0" fontId="51" fillId="48" borderId="50" xfId="0" applyNumberFormat="1" applyFont="1" applyFill="1" applyBorder="1" applyProtection="1">
      <protection hidden="1"/>
    </xf>
    <xf numFmtId="0" fontId="51" fillId="48" borderId="148" xfId="0" applyNumberFormat="1" applyFont="1" applyFill="1" applyBorder="1" applyAlignment="1" applyProtection="1">
      <alignment wrapText="1"/>
      <protection hidden="1"/>
    </xf>
    <xf numFmtId="0" fontId="51" fillId="48" borderId="128" xfId="0" applyNumberFormat="1" applyFont="1" applyFill="1" applyBorder="1" applyAlignment="1" applyProtection="1">
      <alignment wrapText="1"/>
      <protection hidden="1"/>
    </xf>
    <xf numFmtId="195" fontId="1" fillId="45" borderId="73" xfId="59" applyNumberFormat="1" applyFont="1" applyFill="1" applyBorder="1" applyAlignment="1" applyProtection="1">
      <alignment horizontal="center" vertical="center"/>
      <protection locked="0"/>
    </xf>
    <xf numFmtId="195" fontId="1" fillId="45" borderId="16" xfId="59" applyNumberFormat="1" applyFont="1" applyFill="1" applyBorder="1" applyAlignment="1" applyProtection="1">
      <alignment horizontal="center" vertical="center"/>
      <protection locked="0"/>
    </xf>
    <xf numFmtId="195" fontId="1" fillId="45" borderId="16" xfId="60" applyNumberFormat="1" applyFont="1" applyFill="1" applyBorder="1" applyAlignment="1" applyProtection="1">
      <alignment horizontal="center" vertical="center"/>
      <protection locked="0"/>
    </xf>
    <xf numFmtId="195" fontId="1" fillId="45" borderId="19" xfId="0" applyNumberFormat="1" applyFont="1" applyFill="1" applyBorder="1" applyAlignment="1" applyProtection="1">
      <alignment horizontal="center" vertical="center"/>
      <protection locked="0"/>
    </xf>
    <xf numFmtId="164" fontId="1" fillId="52" borderId="101" xfId="0" applyNumberFormat="1" applyFont="1" applyFill="1" applyBorder="1" applyAlignment="1" applyProtection="1">
      <alignment horizontal="center" vertical="center"/>
      <protection hidden="1"/>
    </xf>
    <xf numFmtId="3" fontId="1" fillId="52" borderId="101" xfId="0" applyNumberFormat="1" applyFont="1" applyFill="1" applyBorder="1" applyAlignment="1" applyProtection="1">
      <alignment horizontal="center" vertical="center"/>
      <protection hidden="1"/>
    </xf>
    <xf numFmtId="0" fontId="5" fillId="48" borderId="13" xfId="0" applyFont="1" applyFill="1" applyBorder="1" applyAlignment="1" applyProtection="1">
      <alignment horizontal="left" vertical="center" wrapText="1"/>
      <protection hidden="1"/>
    </xf>
    <xf numFmtId="0" fontId="1" fillId="48" borderId="64" xfId="0" applyFont="1" applyFill="1" applyBorder="1" applyAlignment="1" applyProtection="1">
      <alignment horizontal="center" vertical="center" wrapText="1"/>
      <protection hidden="1"/>
    </xf>
    <xf numFmtId="0" fontId="1" fillId="48" borderId="49" xfId="0" applyFont="1" applyFill="1" applyBorder="1" applyAlignment="1" applyProtection="1">
      <alignment horizontal="center" vertical="center" wrapText="1"/>
      <protection hidden="1"/>
    </xf>
    <xf numFmtId="0" fontId="1" fillId="48" borderId="57" xfId="0" applyFont="1" applyFill="1" applyBorder="1" applyAlignment="1" applyProtection="1">
      <alignment horizontal="center" vertical="center" wrapText="1"/>
      <protection hidden="1"/>
    </xf>
    <xf numFmtId="0" fontId="158" fillId="55" borderId="157" xfId="0" applyFont="1" applyFill="1" applyBorder="1" applyAlignment="1" applyProtection="1">
      <alignment horizontal="center" vertical="center"/>
      <protection hidden="1"/>
    </xf>
    <xf numFmtId="0" fontId="159" fillId="55" borderId="158" xfId="0" applyFont="1" applyFill="1" applyBorder="1" applyAlignment="1" applyProtection="1">
      <alignment horizontal="center" vertical="center"/>
      <protection hidden="1"/>
    </xf>
    <xf numFmtId="0" fontId="159" fillId="55" borderId="159" xfId="0" applyFont="1" applyFill="1" applyBorder="1" applyAlignment="1" applyProtection="1">
      <alignment horizontal="center" vertical="center"/>
      <protection hidden="1"/>
    </xf>
    <xf numFmtId="0" fontId="2" fillId="54" borderId="160" xfId="0" applyFont="1" applyFill="1" applyBorder="1" applyAlignment="1" applyProtection="1">
      <alignment horizontal="center" vertical="center"/>
      <protection hidden="1"/>
    </xf>
    <xf numFmtId="0" fontId="2" fillId="54" borderId="161" xfId="0" applyFont="1" applyFill="1" applyBorder="1" applyAlignment="1" applyProtection="1">
      <alignment horizontal="center" vertical="center"/>
      <protection hidden="1"/>
    </xf>
    <xf numFmtId="0" fontId="2" fillId="54" borderId="161" xfId="0" applyFont="1" applyFill="1" applyBorder="1" applyAlignment="1" applyProtection="1">
      <protection hidden="1"/>
    </xf>
    <xf numFmtId="0" fontId="2" fillId="54" borderId="162" xfId="0" applyFont="1" applyFill="1" applyBorder="1" applyAlignment="1" applyProtection="1">
      <protection hidden="1"/>
    </xf>
    <xf numFmtId="0" fontId="124" fillId="54" borderId="157" xfId="73" applyFont="1" applyFill="1" applyBorder="1" applyAlignment="1" applyProtection="1">
      <alignment horizontal="center" vertical="center"/>
      <protection hidden="1"/>
    </xf>
    <xf numFmtId="0" fontId="124" fillId="54" borderId="158" xfId="73" applyFont="1" applyFill="1" applyBorder="1" applyAlignment="1" applyProtection="1">
      <alignment horizontal="center" vertical="center"/>
      <protection hidden="1"/>
    </xf>
    <xf numFmtId="0" fontId="124" fillId="54" borderId="158" xfId="0" applyFont="1" applyFill="1" applyBorder="1" applyAlignment="1" applyProtection="1">
      <protection hidden="1"/>
    </xf>
    <xf numFmtId="0" fontId="124" fillId="54" borderId="159" xfId="0" applyFont="1" applyFill="1" applyBorder="1" applyAlignment="1" applyProtection="1">
      <protection hidden="1"/>
    </xf>
    <xf numFmtId="0" fontId="27" fillId="54" borderId="163" xfId="0" applyFont="1" applyFill="1" applyBorder="1" applyAlignment="1" applyProtection="1">
      <alignment horizontal="center" vertical="center"/>
      <protection hidden="1"/>
    </xf>
    <xf numFmtId="0" fontId="27" fillId="54" borderId="164" xfId="0" applyFont="1" applyFill="1" applyBorder="1" applyAlignment="1" applyProtection="1">
      <alignment horizontal="center"/>
      <protection hidden="1"/>
    </xf>
    <xf numFmtId="0" fontId="27" fillId="54" borderId="164" xfId="0" applyFont="1" applyFill="1" applyBorder="1" applyAlignment="1" applyProtection="1">
      <protection hidden="1"/>
    </xf>
    <xf numFmtId="0" fontId="27" fillId="54" borderId="92" xfId="0" applyFont="1" applyFill="1" applyBorder="1" applyAlignment="1" applyProtection="1">
      <protection hidden="1"/>
    </xf>
    <xf numFmtId="0" fontId="160" fillId="54" borderId="191" xfId="0" applyFont="1" applyFill="1" applyBorder="1" applyAlignment="1" applyProtection="1">
      <alignment horizontal="center" vertical="center" wrapText="1"/>
      <protection hidden="1"/>
    </xf>
    <xf numFmtId="0" fontId="160" fillId="54" borderId="192" xfId="0" applyFont="1" applyFill="1" applyBorder="1" applyAlignment="1" applyProtection="1">
      <alignment horizontal="center" vertical="center" wrapText="1"/>
      <protection hidden="1"/>
    </xf>
    <xf numFmtId="0" fontId="160" fillId="54" borderId="193" xfId="0" applyFont="1" applyFill="1" applyBorder="1" applyAlignment="1" applyProtection="1">
      <alignment horizontal="center" vertical="center" wrapText="1"/>
      <protection hidden="1"/>
    </xf>
    <xf numFmtId="0" fontId="160" fillId="54" borderId="22" xfId="0" applyFont="1" applyFill="1" applyBorder="1" applyAlignment="1" applyProtection="1">
      <alignment horizontal="center" vertical="center" wrapText="1"/>
      <protection hidden="1"/>
    </xf>
    <xf numFmtId="0" fontId="160" fillId="54" borderId="45" xfId="0" applyFont="1" applyFill="1" applyBorder="1" applyAlignment="1" applyProtection="1">
      <alignment horizontal="center" vertical="center" wrapText="1"/>
      <protection hidden="1"/>
    </xf>
    <xf numFmtId="0" fontId="160" fillId="54" borderId="23" xfId="0" applyFont="1" applyFill="1" applyBorder="1" applyAlignment="1" applyProtection="1">
      <alignment horizontal="center" vertical="center" wrapText="1"/>
      <protection hidden="1"/>
    </xf>
    <xf numFmtId="0" fontId="1" fillId="45" borderId="16" xfId="0" applyNumberFormat="1" applyFont="1" applyFill="1" applyBorder="1" applyAlignment="1" applyProtection="1">
      <alignment horizontal="left" vertical="center"/>
      <protection locked="0"/>
    </xf>
    <xf numFmtId="0" fontId="1" fillId="45" borderId="19" xfId="0" applyNumberFormat="1" applyFont="1" applyFill="1" applyBorder="1" applyAlignment="1" applyProtection="1">
      <alignment horizontal="left" vertical="center"/>
      <protection locked="0"/>
    </xf>
    <xf numFmtId="0" fontId="2" fillId="55" borderId="145" xfId="0" applyFont="1" applyFill="1" applyBorder="1" applyAlignment="1" applyProtection="1">
      <alignment horizontal="center" vertical="center" wrapText="1"/>
      <protection hidden="1"/>
    </xf>
    <xf numFmtId="0" fontId="2" fillId="55" borderId="140" xfId="0" applyFont="1" applyFill="1" applyBorder="1" applyAlignment="1" applyProtection="1">
      <alignment vertical="center"/>
      <protection hidden="1"/>
    </xf>
    <xf numFmtId="0" fontId="2" fillId="55" borderId="69" xfId="0" applyFont="1" applyFill="1" applyBorder="1" applyAlignment="1" applyProtection="1">
      <alignment vertical="center"/>
      <protection hidden="1"/>
    </xf>
    <xf numFmtId="0" fontId="1" fillId="48" borderId="31" xfId="0" applyFont="1" applyFill="1" applyBorder="1" applyAlignment="1" applyProtection="1">
      <alignment horizontal="left" vertical="center" wrapText="1"/>
      <protection hidden="1"/>
    </xf>
    <xf numFmtId="0" fontId="1" fillId="48" borderId="27" xfId="0" applyFont="1" applyFill="1" applyBorder="1" applyAlignment="1" applyProtection="1">
      <alignment vertical="center" wrapText="1"/>
      <protection hidden="1"/>
    </xf>
    <xf numFmtId="0" fontId="1" fillId="48" borderId="33" xfId="0" applyFont="1" applyFill="1" applyBorder="1" applyAlignment="1" applyProtection="1">
      <alignment vertical="center" wrapText="1"/>
      <protection hidden="1"/>
    </xf>
    <xf numFmtId="0" fontId="1" fillId="45" borderId="58" xfId="0" applyNumberFormat="1" applyFont="1" applyFill="1" applyBorder="1" applyAlignment="1" applyProtection="1">
      <alignment horizontal="left" vertical="center"/>
      <protection locked="0"/>
    </xf>
    <xf numFmtId="0" fontId="1" fillId="45" borderId="61" xfId="0" applyNumberFormat="1" applyFont="1" applyFill="1" applyBorder="1" applyAlignment="1" applyProtection="1">
      <alignment horizontal="left" vertical="center"/>
      <protection locked="0"/>
    </xf>
    <xf numFmtId="0" fontId="1" fillId="45" borderId="70" xfId="0" applyNumberFormat="1" applyFont="1" applyFill="1" applyBorder="1" applyAlignment="1" applyProtection="1">
      <alignment horizontal="left" vertical="center"/>
      <protection locked="0"/>
    </xf>
    <xf numFmtId="0" fontId="1" fillId="45" borderId="58" xfId="0" applyNumberFormat="1" applyFont="1" applyFill="1" applyBorder="1" applyAlignment="1" applyProtection="1">
      <alignment vertical="center"/>
      <protection locked="0"/>
    </xf>
    <xf numFmtId="0" fontId="1" fillId="45" borderId="61" xfId="0" applyNumberFormat="1" applyFont="1" applyFill="1" applyBorder="1" applyAlignment="1" applyProtection="1">
      <alignment vertical="center"/>
      <protection locked="0"/>
    </xf>
    <xf numFmtId="0" fontId="1" fillId="45" borderId="70" xfId="0" applyNumberFormat="1" applyFont="1" applyFill="1" applyBorder="1" applyAlignment="1" applyProtection="1">
      <alignment vertical="center"/>
      <protection locked="0"/>
    </xf>
    <xf numFmtId="0" fontId="1" fillId="45" borderId="58" xfId="0" applyNumberFormat="1" applyFont="1" applyFill="1" applyBorder="1" applyAlignment="1" applyProtection="1">
      <alignment horizontal="center" vertical="center"/>
      <protection locked="0"/>
    </xf>
    <xf numFmtId="0" fontId="1" fillId="45" borderId="61" xfId="0" applyNumberFormat="1" applyFont="1" applyFill="1" applyBorder="1" applyAlignment="1" applyProtection="1">
      <alignment horizontal="center" vertical="center"/>
      <protection locked="0"/>
    </xf>
    <xf numFmtId="0" fontId="1" fillId="45" borderId="70" xfId="0" applyNumberFormat="1" applyFont="1" applyFill="1" applyBorder="1" applyAlignment="1" applyProtection="1">
      <alignment horizontal="center" vertical="center"/>
      <protection locked="0"/>
    </xf>
    <xf numFmtId="0" fontId="1" fillId="45" borderId="47" xfId="0" applyNumberFormat="1" applyFont="1" applyFill="1" applyBorder="1" applyAlignment="1" applyProtection="1">
      <alignment horizontal="center" vertical="center"/>
      <protection locked="0"/>
    </xf>
    <xf numFmtId="0" fontId="161" fillId="55" borderId="157" xfId="0" applyFont="1" applyFill="1" applyBorder="1" applyAlignment="1" applyProtection="1">
      <alignment horizontal="center" vertical="center" wrapText="1"/>
      <protection hidden="1"/>
    </xf>
    <xf numFmtId="0" fontId="162" fillId="55" borderId="158" xfId="0" applyFont="1" applyFill="1" applyBorder="1" applyAlignment="1" applyProtection="1">
      <alignment horizontal="center" vertical="center"/>
      <protection hidden="1"/>
    </xf>
    <xf numFmtId="0" fontId="162" fillId="55" borderId="159" xfId="0" applyFont="1" applyFill="1" applyBorder="1" applyAlignment="1" applyProtection="1">
      <alignment horizontal="center" vertical="center"/>
      <protection hidden="1"/>
    </xf>
    <xf numFmtId="0" fontId="2" fillId="55" borderId="64" xfId="0" applyFont="1" applyFill="1" applyBorder="1" applyAlignment="1" applyProtection="1">
      <alignment horizontal="center" vertical="center" wrapText="1"/>
      <protection hidden="1"/>
    </xf>
    <xf numFmtId="0" fontId="2" fillId="55" borderId="57" xfId="0" applyFont="1" applyFill="1" applyBorder="1" applyAlignment="1" applyProtection="1">
      <alignment horizontal="center" vertical="center" wrapText="1"/>
      <protection hidden="1"/>
    </xf>
    <xf numFmtId="0" fontId="30" fillId="48" borderId="0" xfId="0" applyFont="1" applyFill="1" applyBorder="1" applyAlignment="1" applyProtection="1">
      <alignment horizontal="center" vertical="center" wrapText="1"/>
      <protection hidden="1"/>
    </xf>
    <xf numFmtId="0" fontId="1" fillId="45" borderId="91" xfId="0" applyNumberFormat="1" applyFont="1" applyFill="1" applyBorder="1" applyAlignment="1" applyProtection="1">
      <alignment horizontal="center" vertical="center"/>
      <protection locked="0"/>
    </xf>
    <xf numFmtId="0" fontId="1" fillId="45" borderId="63" xfId="0" applyNumberFormat="1" applyFont="1" applyFill="1" applyBorder="1" applyAlignment="1" applyProtection="1">
      <alignment horizontal="center" vertical="center"/>
      <protection locked="0"/>
    </xf>
    <xf numFmtId="0" fontId="1" fillId="55" borderId="69" xfId="0" applyFont="1" applyFill="1" applyBorder="1" applyAlignment="1" applyProtection="1">
      <alignment vertical="center"/>
      <protection hidden="1"/>
    </xf>
    <xf numFmtId="0" fontId="1" fillId="48" borderId="33" xfId="0" applyFont="1" applyFill="1" applyBorder="1" applyAlignment="1" applyProtection="1">
      <alignment horizontal="left" vertical="center" wrapText="1"/>
      <protection hidden="1"/>
    </xf>
    <xf numFmtId="0" fontId="21" fillId="48" borderId="75" xfId="0" applyFont="1" applyFill="1" applyBorder="1" applyAlignment="1" applyProtection="1">
      <alignment horizontal="left" vertical="center"/>
      <protection hidden="1"/>
    </xf>
    <xf numFmtId="0" fontId="21" fillId="48" borderId="10" xfId="0" applyFont="1" applyFill="1" applyBorder="1" applyAlignment="1" applyProtection="1">
      <alignment horizontal="left" vertical="center"/>
      <protection hidden="1"/>
    </xf>
    <xf numFmtId="49" fontId="1" fillId="45" borderId="73" xfId="60" applyNumberFormat="1" applyFont="1" applyFill="1" applyBorder="1" applyAlignment="1" applyProtection="1">
      <alignment horizontal="center" vertical="center"/>
      <protection locked="0"/>
    </xf>
    <xf numFmtId="49" fontId="1" fillId="45" borderId="73" xfId="0" applyNumberFormat="1" applyFont="1" applyFill="1" applyBorder="1" applyAlignment="1" applyProtection="1">
      <alignment vertical="center"/>
      <protection locked="0"/>
    </xf>
    <xf numFmtId="49" fontId="1" fillId="45" borderId="80" xfId="0" applyNumberFormat="1" applyFont="1" applyFill="1" applyBorder="1" applyAlignment="1" applyProtection="1">
      <alignment vertical="center"/>
      <protection locked="0"/>
    </xf>
    <xf numFmtId="49" fontId="1" fillId="45" borderId="84" xfId="0" applyNumberFormat="1" applyFont="1" applyFill="1" applyBorder="1" applyAlignment="1" applyProtection="1">
      <alignment vertical="center"/>
      <protection locked="0"/>
    </xf>
    <xf numFmtId="49" fontId="1" fillId="45" borderId="78" xfId="0" applyNumberFormat="1" applyFont="1" applyFill="1" applyBorder="1" applyAlignment="1" applyProtection="1">
      <alignment vertical="center"/>
      <protection locked="0"/>
    </xf>
    <xf numFmtId="194" fontId="1" fillId="45" borderId="16" xfId="0" applyNumberFormat="1" applyFont="1" applyFill="1" applyBorder="1" applyAlignment="1" applyProtection="1">
      <alignment horizontal="left" vertical="center"/>
      <protection locked="0"/>
    </xf>
    <xf numFmtId="0" fontId="34" fillId="55" borderId="64" xfId="0" applyFont="1" applyFill="1" applyBorder="1" applyAlignment="1" applyProtection="1">
      <alignment horizontal="center" vertical="center" wrapText="1"/>
      <protection hidden="1"/>
    </xf>
    <xf numFmtId="0" fontId="34" fillId="55" borderId="171" xfId="0" applyFont="1" applyFill="1" applyBorder="1" applyAlignment="1" applyProtection="1">
      <alignment horizontal="center" vertical="center" wrapText="1"/>
      <protection hidden="1"/>
    </xf>
    <xf numFmtId="185" fontId="1" fillId="45" borderId="174" xfId="0" applyNumberFormat="1" applyFont="1" applyFill="1" applyBorder="1" applyAlignment="1" applyProtection="1">
      <alignment vertical="center"/>
      <protection locked="0"/>
    </xf>
    <xf numFmtId="185" fontId="21" fillId="45" borderId="57" xfId="0" applyNumberFormat="1" applyFont="1" applyFill="1" applyBorder="1" applyAlignment="1" applyProtection="1">
      <alignment vertical="center"/>
      <protection locked="0"/>
    </xf>
    <xf numFmtId="194" fontId="1" fillId="45" borderId="19" xfId="0" applyNumberFormat="1" applyFont="1" applyFill="1" applyBorder="1" applyAlignment="1" applyProtection="1">
      <alignment horizontal="left" vertical="center"/>
      <protection locked="0"/>
    </xf>
    <xf numFmtId="49" fontId="16" fillId="45" borderId="58" xfId="73" applyNumberFormat="1" applyFill="1" applyBorder="1" applyAlignment="1" applyProtection="1">
      <alignment horizontal="center" vertical="center"/>
      <protection locked="0"/>
    </xf>
    <xf numFmtId="49" fontId="16" fillId="45" borderId="61" xfId="74" applyNumberFormat="1" applyFont="1" applyFill="1" applyBorder="1" applyAlignment="1" applyProtection="1">
      <alignment horizontal="center" vertical="center"/>
      <protection locked="0"/>
    </xf>
    <xf numFmtId="49" fontId="16" fillId="45" borderId="70" xfId="74" applyNumberFormat="1" applyFont="1" applyFill="1" applyBorder="1" applyAlignment="1" applyProtection="1">
      <alignment horizontal="center" vertical="center"/>
      <protection locked="0"/>
    </xf>
    <xf numFmtId="0" fontId="160" fillId="54" borderId="163" xfId="0" applyFont="1" applyFill="1" applyBorder="1" applyAlignment="1" applyProtection="1">
      <alignment horizontal="center" vertical="center" wrapText="1"/>
      <protection hidden="1"/>
    </xf>
    <xf numFmtId="0" fontId="160" fillId="54" borderId="164" xfId="0" applyFont="1" applyFill="1" applyBorder="1" applyAlignment="1" applyProtection="1">
      <alignment horizontal="center" vertical="center" wrapText="1"/>
      <protection hidden="1"/>
    </xf>
    <xf numFmtId="0" fontId="160" fillId="54" borderId="92" xfId="0" applyFont="1" applyFill="1" applyBorder="1" applyAlignment="1" applyProtection="1">
      <alignment horizontal="center" vertical="center" wrapText="1"/>
      <protection hidden="1"/>
    </xf>
    <xf numFmtId="0" fontId="37" fillId="55" borderId="20" xfId="0" applyFont="1" applyFill="1" applyBorder="1" applyAlignment="1" applyProtection="1">
      <alignment horizontal="center" vertical="center" wrapText="1"/>
      <protection hidden="1"/>
    </xf>
    <xf numFmtId="0" fontId="37" fillId="55" borderId="13" xfId="0" applyFont="1" applyFill="1" applyBorder="1" applyAlignment="1" applyProtection="1">
      <alignment horizontal="center" vertical="center" wrapText="1"/>
      <protection hidden="1"/>
    </xf>
    <xf numFmtId="0" fontId="37" fillId="55" borderId="21" xfId="0" applyFont="1" applyFill="1" applyBorder="1" applyAlignment="1" applyProtection="1">
      <alignment horizontal="center" vertical="center" wrapText="1"/>
      <protection hidden="1"/>
    </xf>
    <xf numFmtId="0" fontId="37" fillId="55" borderId="22" xfId="0" applyFont="1" applyFill="1" applyBorder="1" applyAlignment="1" applyProtection="1">
      <alignment horizontal="center" vertical="center" wrapText="1"/>
      <protection hidden="1"/>
    </xf>
    <xf numFmtId="0" fontId="37" fillId="55" borderId="45" xfId="0" applyFont="1" applyFill="1" applyBorder="1" applyAlignment="1" applyProtection="1">
      <alignment horizontal="center" vertical="center" wrapText="1"/>
      <protection hidden="1"/>
    </xf>
    <xf numFmtId="0" fontId="37" fillId="55" borderId="23" xfId="0" applyFont="1" applyFill="1" applyBorder="1" applyAlignment="1" applyProtection="1">
      <alignment horizontal="center" vertical="center" wrapText="1"/>
      <protection hidden="1"/>
    </xf>
    <xf numFmtId="0" fontId="21" fillId="48" borderId="64" xfId="0" applyFont="1" applyFill="1" applyBorder="1" applyAlignment="1" applyProtection="1">
      <alignment horizontal="left" vertical="center"/>
      <protection hidden="1"/>
    </xf>
    <xf numFmtId="0" fontId="21" fillId="48" borderId="49" xfId="0" applyFont="1" applyFill="1" applyBorder="1" applyAlignment="1" applyProtection="1">
      <alignment horizontal="left" vertical="center"/>
      <protection hidden="1"/>
    </xf>
    <xf numFmtId="0" fontId="1" fillId="54" borderId="114" xfId="0" applyFont="1" applyFill="1" applyBorder="1" applyAlignment="1" applyProtection="1">
      <alignment horizontal="left" vertical="center" wrapText="1" indent="1"/>
      <protection hidden="1"/>
    </xf>
    <xf numFmtId="0" fontId="1" fillId="54" borderId="114" xfId="0" applyFont="1" applyFill="1" applyBorder="1" applyAlignment="1" applyProtection="1">
      <alignment horizontal="left" vertical="center" indent="1"/>
      <protection hidden="1"/>
    </xf>
    <xf numFmtId="0" fontId="1" fillId="54" borderId="121" xfId="0" applyFont="1" applyFill="1" applyBorder="1" applyAlignment="1" applyProtection="1">
      <alignment horizontal="left" vertical="center" indent="1"/>
      <protection hidden="1"/>
    </xf>
    <xf numFmtId="49" fontId="1" fillId="45" borderId="129" xfId="0" applyNumberFormat="1" applyFont="1" applyFill="1" applyBorder="1" applyAlignment="1" applyProtection="1">
      <alignment horizontal="center" vertical="center" wrapText="1"/>
      <protection locked="0"/>
    </xf>
    <xf numFmtId="49" fontId="1" fillId="45" borderId="141" xfId="0" applyNumberFormat="1" applyFont="1" applyFill="1" applyBorder="1" applyAlignment="1" applyProtection="1">
      <alignment horizontal="center" vertical="center" wrapText="1"/>
      <protection locked="0"/>
    </xf>
    <xf numFmtId="49" fontId="1" fillId="45" borderId="142" xfId="0" applyNumberFormat="1" applyFont="1" applyFill="1" applyBorder="1" applyAlignment="1" applyProtection="1">
      <alignment horizontal="center" vertical="center" wrapText="1"/>
      <protection locked="0"/>
    </xf>
    <xf numFmtId="49" fontId="1" fillId="45" borderId="170" xfId="0" applyNumberFormat="1" applyFont="1" applyFill="1" applyBorder="1" applyAlignment="1" applyProtection="1">
      <alignment horizontal="center" vertical="center" wrapText="1"/>
      <protection locked="0"/>
    </xf>
    <xf numFmtId="49" fontId="1" fillId="45" borderId="152" xfId="0" applyNumberFormat="1" applyFont="1" applyFill="1" applyBorder="1" applyAlignment="1" applyProtection="1">
      <alignment horizontal="center" vertical="center" wrapText="1"/>
      <protection locked="0"/>
    </xf>
    <xf numFmtId="49" fontId="1" fillId="45" borderId="153" xfId="0" applyNumberFormat="1" applyFont="1" applyFill="1" applyBorder="1" applyAlignment="1" applyProtection="1">
      <alignment horizontal="center" vertical="center" wrapText="1"/>
      <protection locked="0"/>
    </xf>
    <xf numFmtId="0" fontId="21" fillId="48" borderId="49" xfId="0" applyFont="1" applyFill="1" applyBorder="1" applyAlignment="1" applyProtection="1">
      <alignment horizontal="center" vertical="center"/>
      <protection hidden="1"/>
    </xf>
    <xf numFmtId="0" fontId="21" fillId="48" borderId="57" xfId="0" applyFont="1" applyFill="1" applyBorder="1" applyAlignment="1" applyProtection="1">
      <alignment horizontal="center" vertical="center"/>
      <protection hidden="1"/>
    </xf>
    <xf numFmtId="0" fontId="1" fillId="45" borderId="208" xfId="0" applyNumberFormat="1" applyFont="1" applyFill="1" applyBorder="1" applyAlignment="1" applyProtection="1">
      <alignment horizontal="left" vertical="center"/>
      <protection locked="0"/>
    </xf>
    <xf numFmtId="0" fontId="1" fillId="45" borderId="206" xfId="0" applyFont="1" applyFill="1" applyBorder="1" applyAlignment="1" applyProtection="1">
      <alignment horizontal="left" vertical="center"/>
      <protection locked="0"/>
    </xf>
    <xf numFmtId="0" fontId="1" fillId="45" borderId="207" xfId="0" applyFont="1" applyFill="1" applyBorder="1" applyAlignment="1" applyProtection="1">
      <alignment horizontal="left" vertical="center"/>
      <protection locked="0"/>
    </xf>
    <xf numFmtId="0" fontId="1" fillId="45" borderId="208" xfId="0" applyNumberFormat="1" applyFont="1" applyFill="1" applyBorder="1" applyAlignment="1" applyProtection="1">
      <alignment horizontal="center" vertical="center"/>
      <protection locked="0"/>
    </xf>
    <xf numFmtId="0" fontId="1" fillId="45" borderId="206" xfId="0" applyFont="1" applyFill="1" applyBorder="1" applyAlignment="1" applyProtection="1">
      <alignment horizontal="center" vertical="center"/>
      <protection locked="0"/>
    </xf>
    <xf numFmtId="0" fontId="1" fillId="45" borderId="207" xfId="0" applyFont="1" applyFill="1" applyBorder="1" applyAlignment="1" applyProtection="1">
      <alignment horizontal="center" vertical="center"/>
      <protection locked="0"/>
    </xf>
    <xf numFmtId="0" fontId="1" fillId="45" borderId="129" xfId="0" applyNumberFormat="1" applyFont="1" applyFill="1" applyBorder="1" applyAlignment="1" applyProtection="1">
      <alignment horizontal="left" vertical="center"/>
      <protection locked="0"/>
    </xf>
    <xf numFmtId="0" fontId="1" fillId="45" borderId="141" xfId="0" applyFont="1" applyFill="1" applyBorder="1" applyAlignment="1" applyProtection="1">
      <alignment horizontal="left" vertical="center"/>
      <protection locked="0"/>
    </xf>
    <xf numFmtId="0" fontId="1" fillId="45" borderId="142" xfId="0" applyFont="1" applyFill="1" applyBorder="1" applyAlignment="1" applyProtection="1">
      <alignment horizontal="left" vertical="center"/>
      <protection locked="0"/>
    </xf>
    <xf numFmtId="0" fontId="1" fillId="48" borderId="205" xfId="0" applyFont="1" applyFill="1" applyBorder="1" applyAlignment="1" applyProtection="1">
      <alignment horizontal="left" vertical="center" wrapText="1"/>
      <protection hidden="1"/>
    </xf>
    <xf numFmtId="0" fontId="1" fillId="48" borderId="206" xfId="0" applyFont="1" applyFill="1" applyBorder="1" applyAlignment="1" applyProtection="1">
      <alignment vertical="center"/>
      <protection hidden="1"/>
    </xf>
    <xf numFmtId="0" fontId="1" fillId="48" borderId="207" xfId="0" applyFont="1" applyFill="1" applyBorder="1" applyAlignment="1" applyProtection="1">
      <alignment vertical="center"/>
      <protection hidden="1"/>
    </xf>
    <xf numFmtId="0" fontId="1" fillId="45" borderId="130" xfId="0" applyNumberFormat="1" applyFont="1" applyFill="1" applyBorder="1" applyAlignment="1" applyProtection="1">
      <alignment horizontal="left" vertical="center"/>
      <protection locked="0"/>
    </xf>
    <xf numFmtId="0" fontId="1" fillId="45" borderId="209" xfId="0" applyFont="1" applyFill="1" applyBorder="1" applyAlignment="1" applyProtection="1">
      <alignment horizontal="left" vertical="center"/>
      <protection locked="0"/>
    </xf>
    <xf numFmtId="0" fontId="1" fillId="45" borderId="210" xfId="0" applyFont="1" applyFill="1" applyBorder="1" applyAlignment="1" applyProtection="1">
      <alignment horizontal="left" vertical="center"/>
      <protection locked="0"/>
    </xf>
    <xf numFmtId="0" fontId="26" fillId="53" borderId="215" xfId="0" applyFont="1" applyFill="1" applyBorder="1" applyAlignment="1" applyProtection="1">
      <alignment horizontal="left" vertical="center" wrapText="1"/>
      <protection hidden="1"/>
    </xf>
    <xf numFmtId="0" fontId="26" fillId="53" borderId="211" xfId="0" applyFont="1" applyFill="1" applyBorder="1" applyAlignment="1" applyProtection="1">
      <alignment horizontal="left" vertical="center" wrapText="1"/>
      <protection hidden="1"/>
    </xf>
    <xf numFmtId="0" fontId="26" fillId="53" borderId="212" xfId="0" applyFont="1" applyFill="1" applyBorder="1" applyAlignment="1" applyProtection="1">
      <alignment horizontal="left" vertical="center" wrapText="1"/>
      <protection hidden="1"/>
    </xf>
    <xf numFmtId="0" fontId="26" fillId="53" borderId="216" xfId="0" applyFont="1" applyFill="1" applyBorder="1" applyAlignment="1" applyProtection="1">
      <alignment horizontal="left" vertical="center" wrapText="1"/>
      <protection hidden="1"/>
    </xf>
    <xf numFmtId="0" fontId="26" fillId="53" borderId="213" xfId="0" applyFont="1" applyFill="1" applyBorder="1" applyAlignment="1" applyProtection="1">
      <alignment horizontal="left" vertical="center" wrapText="1"/>
      <protection hidden="1"/>
    </xf>
    <xf numFmtId="0" fontId="26" fillId="53" borderId="214" xfId="0" applyFont="1" applyFill="1" applyBorder="1" applyAlignment="1" applyProtection="1">
      <alignment horizontal="left" vertical="center" wrapText="1"/>
      <protection hidden="1"/>
    </xf>
    <xf numFmtId="0" fontId="1" fillId="54" borderId="209" xfId="0" applyNumberFormat="1" applyFont="1" applyFill="1" applyBorder="1" applyAlignment="1" applyProtection="1">
      <alignment horizontal="center" vertical="center"/>
      <protection hidden="1"/>
    </xf>
    <xf numFmtId="0" fontId="1" fillId="54" borderId="210" xfId="0" applyNumberFormat="1" applyFont="1" applyFill="1" applyBorder="1" applyAlignment="1" applyProtection="1">
      <alignment horizontal="center" vertical="center"/>
      <protection hidden="1"/>
    </xf>
    <xf numFmtId="0" fontId="1" fillId="54" borderId="0" xfId="0" applyNumberFormat="1" applyFont="1" applyFill="1" applyBorder="1" applyAlignment="1" applyProtection="1">
      <alignment horizontal="center" vertical="center"/>
      <protection hidden="1"/>
    </xf>
    <xf numFmtId="0" fontId="1" fillId="54" borderId="40" xfId="0" applyNumberFormat="1" applyFont="1" applyFill="1" applyBorder="1" applyAlignment="1" applyProtection="1">
      <alignment horizontal="center" vertical="center"/>
      <protection hidden="1"/>
    </xf>
    <xf numFmtId="0" fontId="1" fillId="54" borderId="206" xfId="0" applyNumberFormat="1" applyFont="1" applyFill="1" applyBorder="1" applyAlignment="1" applyProtection="1">
      <alignment horizontal="center" vertical="center"/>
      <protection hidden="1"/>
    </xf>
    <xf numFmtId="0" fontId="1" fillId="54" borderId="207" xfId="0" applyNumberFormat="1" applyFont="1" applyFill="1" applyBorder="1" applyAlignment="1" applyProtection="1">
      <alignment horizontal="center" vertical="center"/>
      <protection hidden="1"/>
    </xf>
    <xf numFmtId="0" fontId="1" fillId="54" borderId="68" xfId="0" applyNumberFormat="1" applyFont="1" applyFill="1" applyBorder="1" applyAlignment="1" applyProtection="1">
      <alignment horizontal="center" vertical="center"/>
      <protection hidden="1"/>
    </xf>
    <xf numFmtId="0" fontId="1" fillId="54" borderId="208" xfId="0" applyNumberFormat="1" applyFont="1" applyFill="1" applyBorder="1" applyAlignment="1" applyProtection="1">
      <alignment horizontal="center" vertical="center"/>
      <protection hidden="1"/>
    </xf>
    <xf numFmtId="0" fontId="1" fillId="58" borderId="31" xfId="0" applyFont="1" applyFill="1" applyBorder="1" applyAlignment="1" applyProtection="1">
      <alignment horizontal="left" vertical="center" wrapText="1"/>
      <protection hidden="1"/>
    </xf>
    <xf numFmtId="0" fontId="1" fillId="58" borderId="87" xfId="0" applyFont="1" applyFill="1" applyBorder="1" applyAlignment="1" applyProtection="1">
      <alignment horizontal="left" vertical="center" wrapText="1"/>
      <protection hidden="1"/>
    </xf>
    <xf numFmtId="171" fontId="34" fillId="54" borderId="79" xfId="90" applyNumberFormat="1" applyFont="1" applyFill="1" applyBorder="1" applyAlignment="1" applyProtection="1">
      <alignment horizontal="center" vertical="center" wrapText="1"/>
      <protection hidden="1"/>
    </xf>
    <xf numFmtId="171" fontId="34" fillId="54" borderId="30" xfId="90" applyNumberFormat="1" applyFont="1" applyFill="1" applyBorder="1" applyAlignment="1" applyProtection="1">
      <alignment horizontal="center" vertical="center" wrapText="1"/>
      <protection hidden="1"/>
    </xf>
    <xf numFmtId="171" fontId="34" fillId="54" borderId="82" xfId="90" applyNumberFormat="1" applyFont="1" applyFill="1" applyBorder="1" applyAlignment="1" applyProtection="1">
      <alignment horizontal="center" vertical="center" wrapText="1"/>
      <protection hidden="1"/>
    </xf>
    <xf numFmtId="0" fontId="1" fillId="59" borderId="165" xfId="0" applyFont="1" applyFill="1" applyBorder="1" applyAlignment="1" applyProtection="1">
      <alignment horizontal="left" vertical="center" wrapText="1"/>
      <protection hidden="1"/>
    </xf>
    <xf numFmtId="0" fontId="1" fillId="59" borderId="34" xfId="0" applyFont="1" applyFill="1" applyBorder="1" applyAlignment="1" applyProtection="1">
      <alignment horizontal="left" vertical="center" wrapText="1"/>
      <protection hidden="1"/>
    </xf>
    <xf numFmtId="0" fontId="26" fillId="48" borderId="18" xfId="0" applyFont="1" applyFill="1" applyBorder="1" applyAlignment="1" applyProtection="1">
      <alignment horizontal="left" vertical="center" indent="1"/>
      <protection hidden="1"/>
    </xf>
    <xf numFmtId="0" fontId="1" fillId="48" borderId="16" xfId="0" applyFont="1" applyFill="1" applyBorder="1" applyAlignment="1" applyProtection="1">
      <alignment horizontal="left" vertical="center" indent="1"/>
      <protection hidden="1"/>
    </xf>
    <xf numFmtId="0" fontId="1" fillId="52" borderId="58" xfId="0" applyNumberFormat="1" applyFont="1" applyFill="1" applyBorder="1" applyAlignment="1" applyProtection="1">
      <alignment horizontal="left" vertical="center"/>
      <protection hidden="1"/>
    </xf>
    <xf numFmtId="0" fontId="1" fillId="52" borderId="61" xfId="0" applyNumberFormat="1" applyFont="1" applyFill="1" applyBorder="1" applyAlignment="1" applyProtection="1">
      <alignment horizontal="left" vertical="center"/>
      <protection hidden="1"/>
    </xf>
    <xf numFmtId="0" fontId="1" fillId="52" borderId="47" xfId="0" applyNumberFormat="1" applyFont="1" applyFill="1" applyBorder="1" applyAlignment="1" applyProtection="1">
      <alignment horizontal="left" vertical="center"/>
      <protection hidden="1"/>
    </xf>
    <xf numFmtId="0" fontId="164" fillId="55" borderId="157" xfId="0" applyFont="1" applyFill="1" applyBorder="1" applyAlignment="1" applyProtection="1">
      <alignment horizontal="center" vertical="center"/>
      <protection hidden="1"/>
    </xf>
    <xf numFmtId="0" fontId="164" fillId="55" borderId="158" xfId="0" applyFont="1" applyFill="1" applyBorder="1" applyAlignment="1" applyProtection="1">
      <alignment horizontal="center" vertical="center"/>
      <protection hidden="1"/>
    </xf>
    <xf numFmtId="0" fontId="164" fillId="55" borderId="159" xfId="0" applyFont="1" applyFill="1" applyBorder="1" applyAlignment="1" applyProtection="1">
      <alignment horizontal="center" vertical="center"/>
      <protection hidden="1"/>
    </xf>
    <xf numFmtId="0" fontId="160" fillId="54" borderId="163" xfId="0" applyFont="1" applyFill="1" applyBorder="1" applyAlignment="1" applyProtection="1">
      <alignment horizontal="center"/>
      <protection hidden="1"/>
    </xf>
    <xf numFmtId="0" fontId="160" fillId="54" borderId="164" xfId="0" applyFont="1" applyFill="1" applyBorder="1" applyAlignment="1" applyProtection="1">
      <alignment horizontal="center"/>
      <protection hidden="1"/>
    </xf>
    <xf numFmtId="0" fontId="160" fillId="54" borderId="92" xfId="0" applyFont="1" applyFill="1" applyBorder="1" applyAlignment="1" applyProtection="1">
      <alignment horizontal="center"/>
      <protection hidden="1"/>
    </xf>
    <xf numFmtId="0" fontId="37" fillId="55" borderId="64" xfId="0" applyFont="1" applyFill="1" applyBorder="1" applyAlignment="1" applyProtection="1">
      <alignment horizontal="center" vertical="center"/>
      <protection hidden="1"/>
    </xf>
    <xf numFmtId="0" fontId="1" fillId="55" borderId="49" xfId="0" applyFont="1" applyFill="1" applyBorder="1" applyAlignment="1" applyProtection="1">
      <alignment horizontal="center" vertical="center"/>
      <protection hidden="1"/>
    </xf>
    <xf numFmtId="0" fontId="1" fillId="55" borderId="57" xfId="0" applyFont="1" applyFill="1" applyBorder="1" applyAlignment="1" applyProtection="1">
      <alignment horizontal="center" vertical="center"/>
      <protection hidden="1"/>
    </xf>
    <xf numFmtId="0" fontId="2" fillId="54" borderId="64" xfId="0" applyFont="1" applyFill="1" applyBorder="1" applyAlignment="1" applyProtection="1">
      <alignment horizontal="center" vertical="center"/>
      <protection hidden="1"/>
    </xf>
    <xf numFmtId="0" fontId="2" fillId="54" borderId="49" xfId="0" applyFont="1" applyFill="1" applyBorder="1" applyAlignment="1" applyProtection="1">
      <alignment horizontal="center" vertical="center"/>
      <protection hidden="1"/>
    </xf>
    <xf numFmtId="0" fontId="2" fillId="54" borderId="57" xfId="0" applyFont="1" applyFill="1" applyBorder="1" applyAlignment="1" applyProtection="1">
      <alignment horizontal="center" vertical="center"/>
      <protection hidden="1"/>
    </xf>
    <xf numFmtId="185" fontId="26" fillId="52" borderId="97" xfId="0" applyNumberFormat="1" applyFont="1" applyFill="1" applyBorder="1" applyAlignment="1" applyProtection="1">
      <alignment horizontal="center" vertical="center"/>
      <protection hidden="1"/>
    </xf>
    <xf numFmtId="185" fontId="26" fillId="52" borderId="69" xfId="0" applyNumberFormat="1" applyFont="1" applyFill="1" applyBorder="1" applyAlignment="1" applyProtection="1">
      <alignment horizontal="center" vertical="center"/>
      <protection hidden="1"/>
    </xf>
    <xf numFmtId="0" fontId="26" fillId="48" borderId="17" xfId="0" applyFont="1" applyFill="1" applyBorder="1" applyAlignment="1" applyProtection="1">
      <alignment horizontal="left" vertical="center" indent="1"/>
      <protection hidden="1"/>
    </xf>
    <xf numFmtId="0" fontId="1" fillId="48" borderId="36" xfId="0" applyFont="1" applyFill="1" applyBorder="1" applyAlignment="1" applyProtection="1">
      <alignment horizontal="left" vertical="center" indent="1"/>
      <protection hidden="1"/>
    </xf>
    <xf numFmtId="0" fontId="1" fillId="52" borderId="97" xfId="0" applyNumberFormat="1" applyFont="1" applyFill="1" applyBorder="1" applyAlignment="1" applyProtection="1">
      <alignment horizontal="left" vertical="center"/>
      <protection hidden="1"/>
    </xf>
    <xf numFmtId="0" fontId="1" fillId="52" borderId="140" xfId="0" applyNumberFormat="1" applyFont="1" applyFill="1" applyBorder="1" applyAlignment="1" applyProtection="1">
      <alignment horizontal="left" vertical="center"/>
      <protection hidden="1"/>
    </xf>
    <xf numFmtId="0" fontId="1" fillId="52" borderId="146" xfId="0" applyNumberFormat="1" applyFont="1" applyFill="1" applyBorder="1" applyAlignment="1" applyProtection="1">
      <alignment horizontal="left" vertical="center"/>
      <protection hidden="1"/>
    </xf>
    <xf numFmtId="0" fontId="1" fillId="55" borderId="127" xfId="0" applyFont="1" applyFill="1" applyBorder="1" applyAlignment="1" applyProtection="1">
      <alignment horizontal="center" vertical="center" wrapText="1"/>
      <protection hidden="1"/>
    </xf>
    <xf numFmtId="0" fontId="1" fillId="55" borderId="43" xfId="0" applyFont="1" applyFill="1" applyBorder="1" applyAlignment="1" applyProtection="1">
      <alignment horizontal="center" vertical="center" wrapText="1"/>
      <protection hidden="1"/>
    </xf>
    <xf numFmtId="0" fontId="1" fillId="55" borderId="44" xfId="0" applyFont="1" applyFill="1" applyBorder="1" applyAlignment="1" applyProtection="1">
      <alignment horizontal="center" vertical="center" wrapText="1"/>
      <protection hidden="1"/>
    </xf>
    <xf numFmtId="0" fontId="47" fillId="55" borderId="64" xfId="0" applyFont="1" applyFill="1" applyBorder="1" applyAlignment="1" applyProtection="1">
      <alignment horizontal="center" vertical="center"/>
      <protection hidden="1"/>
    </xf>
    <xf numFmtId="0" fontId="47" fillId="55" borderId="49" xfId="0" applyFont="1" applyFill="1" applyBorder="1" applyAlignment="1" applyProtection="1">
      <alignment horizontal="center" vertical="center"/>
      <protection hidden="1"/>
    </xf>
    <xf numFmtId="0" fontId="47" fillId="55" borderId="57" xfId="0" applyFont="1" applyFill="1" applyBorder="1" applyAlignment="1" applyProtection="1">
      <alignment horizontal="center" vertical="center"/>
      <protection hidden="1"/>
    </xf>
    <xf numFmtId="0" fontId="26" fillId="45" borderId="98" xfId="0" applyFont="1" applyFill="1" applyBorder="1" applyAlignment="1" applyProtection="1">
      <alignment horizontal="left" vertical="center"/>
      <protection locked="0"/>
    </xf>
    <xf numFmtId="0" fontId="26" fillId="45" borderId="73" xfId="0" applyFont="1" applyFill="1" applyBorder="1" applyAlignment="1" applyProtection="1">
      <alignment horizontal="left" vertical="center"/>
      <protection locked="0"/>
    </xf>
    <xf numFmtId="0" fontId="26" fillId="45" borderId="80" xfId="0" applyFont="1" applyFill="1" applyBorder="1" applyAlignment="1" applyProtection="1">
      <alignment horizontal="left" vertical="center"/>
      <protection locked="0"/>
    </xf>
    <xf numFmtId="0" fontId="26" fillId="45" borderId="68" xfId="0" applyFont="1" applyFill="1" applyBorder="1" applyAlignment="1" applyProtection="1">
      <alignment horizontal="left" vertical="center"/>
      <protection locked="0"/>
    </xf>
    <xf numFmtId="0" fontId="26" fillId="45" borderId="0" xfId="0" applyFont="1" applyFill="1" applyBorder="1" applyAlignment="1" applyProtection="1">
      <alignment horizontal="left" vertical="center"/>
      <protection locked="0"/>
    </xf>
    <xf numFmtId="0" fontId="26" fillId="45" borderId="40" xfId="0" applyFont="1" applyFill="1" applyBorder="1" applyAlignment="1" applyProtection="1">
      <alignment horizontal="left" vertical="center"/>
      <protection locked="0"/>
    </xf>
    <xf numFmtId="0" fontId="26" fillId="45" borderId="155" xfId="0" applyFont="1" applyFill="1" applyBorder="1" applyAlignment="1" applyProtection="1">
      <alignment horizontal="left" vertical="center"/>
      <protection locked="0"/>
    </xf>
    <xf numFmtId="0" fontId="26" fillId="45" borderId="45" xfId="0" applyFont="1" applyFill="1" applyBorder="1" applyAlignment="1" applyProtection="1">
      <alignment horizontal="left" vertical="center"/>
      <protection locked="0"/>
    </xf>
    <xf numFmtId="0" fontId="26" fillId="45" borderId="23" xfId="0" applyFont="1" applyFill="1" applyBorder="1" applyAlignment="1" applyProtection="1">
      <alignment horizontal="left" vertical="center"/>
      <protection locked="0"/>
    </xf>
    <xf numFmtId="0" fontId="1" fillId="59" borderId="197" xfId="0" applyFont="1" applyFill="1" applyBorder="1" applyAlignment="1" applyProtection="1">
      <alignment horizontal="left" vertical="center" wrapText="1"/>
      <protection hidden="1"/>
    </xf>
    <xf numFmtId="0" fontId="1" fillId="59" borderId="194" xfId="0" applyFont="1" applyFill="1" applyBorder="1" applyAlignment="1" applyProtection="1">
      <alignment vertical="center" wrapText="1"/>
      <protection hidden="1"/>
    </xf>
    <xf numFmtId="0" fontId="1" fillId="58" borderId="190" xfId="0" applyFont="1" applyFill="1" applyBorder="1" applyAlignment="1" applyProtection="1">
      <alignment horizontal="left" vertical="center" wrapText="1"/>
      <protection hidden="1"/>
    </xf>
    <xf numFmtId="0" fontId="1" fillId="58" borderId="53" xfId="0" applyFont="1" applyFill="1" applyBorder="1" applyAlignment="1" applyProtection="1">
      <alignment horizontal="left" vertical="center" wrapText="1"/>
      <protection hidden="1"/>
    </xf>
    <xf numFmtId="0" fontId="1" fillId="58" borderId="165" xfId="0" applyFont="1" applyFill="1" applyBorder="1" applyAlignment="1" applyProtection="1">
      <alignment horizontal="left" vertical="center" wrapText="1"/>
      <protection hidden="1"/>
    </xf>
    <xf numFmtId="0" fontId="1" fillId="59" borderId="27" xfId="0" applyFont="1" applyFill="1" applyBorder="1" applyAlignment="1" applyProtection="1">
      <alignment horizontal="left" vertical="center" wrapText="1"/>
      <protection hidden="1"/>
    </xf>
    <xf numFmtId="0" fontId="1" fillId="59" borderId="87" xfId="0" applyFont="1" applyFill="1" applyBorder="1" applyAlignment="1" applyProtection="1">
      <alignment horizontal="left" vertical="center" wrapText="1"/>
      <protection hidden="1"/>
    </xf>
    <xf numFmtId="0" fontId="34" fillId="55" borderId="18" xfId="0" applyFont="1" applyFill="1" applyBorder="1" applyAlignment="1" applyProtection="1">
      <alignment horizontal="center" vertical="center" wrapText="1"/>
      <protection hidden="1"/>
    </xf>
    <xf numFmtId="0" fontId="34" fillId="55" borderId="38" xfId="0" applyFont="1" applyFill="1" applyBorder="1" applyAlignment="1" applyProtection="1">
      <alignment horizontal="center" vertical="center" wrapText="1"/>
      <protection hidden="1"/>
    </xf>
    <xf numFmtId="0" fontId="34" fillId="55" borderId="16" xfId="0" applyFont="1" applyFill="1" applyBorder="1" applyAlignment="1" applyProtection="1">
      <alignment horizontal="center" vertical="center" wrapText="1"/>
      <protection hidden="1"/>
    </xf>
    <xf numFmtId="0" fontId="34" fillId="55" borderId="19" xfId="0" applyFont="1" applyFill="1" applyBorder="1" applyAlignment="1" applyProtection="1">
      <alignment horizontal="center" vertical="center" wrapText="1"/>
      <protection hidden="1"/>
    </xf>
    <xf numFmtId="0" fontId="26" fillId="48" borderId="38" xfId="0" applyFont="1" applyFill="1" applyBorder="1" applyAlignment="1" applyProtection="1">
      <alignment horizontal="left" vertical="center" indent="1"/>
      <protection hidden="1"/>
    </xf>
    <xf numFmtId="0" fontId="26" fillId="48" borderId="11" xfId="0" applyFont="1" applyFill="1" applyBorder="1" applyAlignment="1" applyProtection="1">
      <alignment horizontal="left" vertical="center" indent="1"/>
      <protection hidden="1"/>
    </xf>
    <xf numFmtId="0" fontId="26" fillId="45" borderId="91" xfId="0" applyNumberFormat="1" applyFont="1" applyFill="1" applyBorder="1" applyAlignment="1" applyProtection="1">
      <alignment horizontal="left" vertical="center"/>
      <protection locked="0"/>
    </xf>
    <xf numFmtId="0" fontId="1" fillId="45" borderId="10" xfId="0" applyNumberFormat="1" applyFont="1" applyFill="1" applyBorder="1" applyAlignment="1" applyProtection="1">
      <alignment horizontal="left" vertical="center"/>
      <protection locked="0"/>
    </xf>
    <xf numFmtId="0" fontId="1" fillId="45" borderId="63" xfId="0" applyNumberFormat="1" applyFont="1" applyFill="1" applyBorder="1" applyAlignment="1" applyProtection="1">
      <alignment horizontal="left" vertical="center"/>
      <protection locked="0"/>
    </xf>
    <xf numFmtId="0" fontId="34" fillId="55" borderId="167" xfId="0" applyFont="1" applyFill="1" applyBorder="1" applyAlignment="1" applyProtection="1">
      <alignment horizontal="center" vertical="center" wrapText="1"/>
      <protection hidden="1"/>
    </xf>
    <xf numFmtId="0" fontId="34" fillId="55" borderId="168" xfId="0" applyFont="1" applyFill="1" applyBorder="1" applyAlignment="1" applyProtection="1">
      <alignment horizontal="center" vertical="center" wrapText="1"/>
      <protection hidden="1"/>
    </xf>
    <xf numFmtId="0" fontId="0" fillId="55" borderId="127" xfId="0" applyFill="1" applyBorder="1" applyAlignment="1" applyProtection="1">
      <alignment horizontal="center" vertical="center" wrapText="1"/>
      <protection hidden="1"/>
    </xf>
    <xf numFmtId="0" fontId="0" fillId="55" borderId="43" xfId="0" applyFill="1" applyBorder="1" applyAlignment="1" applyProtection="1">
      <alignment horizontal="center" vertical="center" wrapText="1"/>
      <protection hidden="1"/>
    </xf>
    <xf numFmtId="0" fontId="0" fillId="55" borderId="44" xfId="0" applyFill="1" applyBorder="1" applyAlignment="1" applyProtection="1">
      <alignment horizontal="center" vertical="center" wrapText="1"/>
      <protection hidden="1"/>
    </xf>
    <xf numFmtId="0" fontId="1" fillId="54" borderId="45" xfId="0" applyFont="1" applyFill="1" applyBorder="1" applyAlignment="1" applyProtection="1">
      <alignment vertical="center"/>
      <protection hidden="1"/>
    </xf>
    <xf numFmtId="187" fontId="163" fillId="55" borderId="157" xfId="0" applyNumberFormat="1" applyFont="1" applyFill="1" applyBorder="1" applyAlignment="1" applyProtection="1">
      <alignment horizontal="center" vertical="center"/>
      <protection hidden="1"/>
    </xf>
    <xf numFmtId="187" fontId="163" fillId="55" borderId="158" xfId="0" applyNumberFormat="1" applyFont="1" applyFill="1" applyBorder="1" applyAlignment="1" applyProtection="1">
      <alignment horizontal="center" vertical="center"/>
      <protection hidden="1"/>
    </xf>
    <xf numFmtId="187" fontId="163" fillId="55" borderId="159" xfId="0" applyNumberFormat="1" applyFont="1" applyFill="1" applyBorder="1" applyAlignment="1" applyProtection="1">
      <alignment horizontal="center" vertical="center"/>
      <protection hidden="1"/>
    </xf>
    <xf numFmtId="0" fontId="1" fillId="54" borderId="13" xfId="0" applyFont="1" applyFill="1" applyBorder="1" applyAlignment="1" applyProtection="1">
      <alignment vertical="center"/>
      <protection hidden="1"/>
    </xf>
    <xf numFmtId="0" fontId="1" fillId="54" borderId="0" xfId="0" applyFont="1" applyFill="1" applyBorder="1" applyAlignment="1" applyProtection="1">
      <alignment vertical="center"/>
      <protection hidden="1"/>
    </xf>
    <xf numFmtId="0" fontId="1" fillId="54" borderId="40" xfId="0" applyFont="1" applyFill="1" applyBorder="1" applyAlignment="1" applyProtection="1">
      <alignment vertical="center"/>
      <protection hidden="1"/>
    </xf>
    <xf numFmtId="0" fontId="165" fillId="48" borderId="0" xfId="0" applyFont="1" applyFill="1" applyAlignment="1" applyProtection="1">
      <alignment horizontal="center" vertical="center"/>
      <protection hidden="1"/>
    </xf>
    <xf numFmtId="0" fontId="160" fillId="54" borderId="163" xfId="0" applyFont="1" applyFill="1" applyBorder="1" applyAlignment="1" applyProtection="1">
      <alignment horizontal="center" vertical="center"/>
      <protection hidden="1"/>
    </xf>
    <xf numFmtId="0" fontId="160" fillId="54" borderId="164" xfId="0" applyFont="1" applyFill="1" applyBorder="1" applyAlignment="1" applyProtection="1">
      <alignment horizontal="center" vertical="center"/>
      <protection hidden="1"/>
    </xf>
    <xf numFmtId="0" fontId="160" fillId="54" borderId="92" xfId="0" applyFont="1" applyFill="1" applyBorder="1" applyAlignment="1" applyProtection="1">
      <alignment horizontal="center" vertical="center"/>
      <protection hidden="1"/>
    </xf>
    <xf numFmtId="0" fontId="1" fillId="48" borderId="16" xfId="0" applyFont="1" applyFill="1" applyBorder="1" applyAlignment="1" applyProtection="1">
      <alignment horizontal="left" vertical="center" wrapText="1"/>
      <protection hidden="1"/>
    </xf>
    <xf numFmtId="0" fontId="26" fillId="48" borderId="16" xfId="0" applyFont="1" applyFill="1" applyBorder="1" applyAlignment="1" applyProtection="1">
      <alignment horizontal="left" vertical="center" wrapText="1"/>
      <protection hidden="1"/>
    </xf>
    <xf numFmtId="0" fontId="34" fillId="48" borderId="73" xfId="0" applyFont="1" applyFill="1" applyBorder="1" applyAlignment="1" applyProtection="1">
      <alignment horizontal="left" vertical="center"/>
      <protection hidden="1"/>
    </xf>
    <xf numFmtId="0" fontId="1" fillId="48" borderId="16" xfId="0" applyFont="1" applyFill="1" applyBorder="1" applyAlignment="1" applyProtection="1">
      <alignment horizontal="left" vertical="center"/>
      <protection hidden="1"/>
    </xf>
    <xf numFmtId="0" fontId="2" fillId="57" borderId="16" xfId="0" applyFont="1" applyFill="1" applyBorder="1" applyAlignment="1" applyProtection="1">
      <alignment horizontal="center" vertical="center" wrapText="1"/>
      <protection hidden="1"/>
    </xf>
    <xf numFmtId="0" fontId="163" fillId="55" borderId="93" xfId="0" applyFont="1" applyFill="1" applyBorder="1" applyAlignment="1" applyProtection="1">
      <alignment horizontal="center" vertical="center"/>
      <protection hidden="1"/>
    </xf>
    <xf numFmtId="0" fontId="163" fillId="55" borderId="94" xfId="0" applyFont="1" applyFill="1" applyBorder="1" applyAlignment="1" applyProtection="1">
      <alignment horizontal="center" vertical="center"/>
      <protection hidden="1"/>
    </xf>
    <xf numFmtId="0" fontId="163" fillId="55" borderId="95" xfId="0" applyFont="1" applyFill="1" applyBorder="1" applyAlignment="1" applyProtection="1">
      <alignment horizontal="center" vertical="center"/>
      <protection hidden="1"/>
    </xf>
    <xf numFmtId="0" fontId="160" fillId="54" borderId="187" xfId="0" applyFont="1" applyFill="1" applyBorder="1" applyAlignment="1" applyProtection="1">
      <alignment horizontal="center" vertical="center"/>
      <protection hidden="1"/>
    </xf>
    <xf numFmtId="0" fontId="160" fillId="54" borderId="152" xfId="0" applyFont="1" applyFill="1" applyBorder="1" applyAlignment="1" applyProtection="1">
      <alignment horizontal="center" vertical="center"/>
      <protection hidden="1"/>
    </xf>
    <xf numFmtId="0" fontId="160" fillId="54" borderId="153" xfId="0" applyFont="1" applyFill="1" applyBorder="1" applyAlignment="1" applyProtection="1">
      <alignment horizontal="center" vertical="center"/>
      <protection hidden="1"/>
    </xf>
    <xf numFmtId="0" fontId="37" fillId="55" borderId="58" xfId="0" applyFont="1" applyFill="1" applyBorder="1" applyAlignment="1" applyProtection="1">
      <alignment horizontal="center" vertical="center"/>
      <protection hidden="1"/>
    </xf>
    <xf numFmtId="0" fontId="37" fillId="55" borderId="61" xfId="0" applyFont="1" applyFill="1" applyBorder="1" applyAlignment="1" applyProtection="1">
      <alignment horizontal="center" vertical="center"/>
      <protection hidden="1"/>
    </xf>
    <xf numFmtId="0" fontId="37" fillId="55" borderId="47" xfId="0" applyFont="1" applyFill="1" applyBorder="1" applyAlignment="1" applyProtection="1">
      <alignment horizontal="center" vertical="center"/>
      <protection hidden="1"/>
    </xf>
    <xf numFmtId="0" fontId="37" fillId="48" borderId="0" xfId="0" applyFont="1" applyFill="1" applyBorder="1" applyAlignment="1" applyProtection="1">
      <alignment horizontal="center" vertical="center"/>
      <protection hidden="1"/>
    </xf>
    <xf numFmtId="49" fontId="21" fillId="48" borderId="0" xfId="0" applyNumberFormat="1" applyFont="1" applyFill="1" applyAlignment="1" applyProtection="1">
      <protection hidden="1"/>
    </xf>
    <xf numFmtId="49" fontId="0" fillId="48" borderId="0" xfId="0" applyNumberFormat="1" applyFill="1" applyAlignment="1" applyProtection="1">
      <protection hidden="1"/>
    </xf>
    <xf numFmtId="0" fontId="21" fillId="48" borderId="0" xfId="0" applyFont="1" applyFill="1" applyAlignment="1" applyProtection="1">
      <protection hidden="1"/>
    </xf>
    <xf numFmtId="0" fontId="0" fillId="48" borderId="0" xfId="0" applyFill="1" applyAlignment="1" applyProtection="1">
      <protection hidden="1"/>
    </xf>
    <xf numFmtId="0" fontId="34" fillId="57" borderId="16" xfId="0" applyFont="1" applyFill="1" applyBorder="1" applyAlignment="1" applyProtection="1">
      <alignment horizontal="center" vertical="center" wrapText="1"/>
      <protection hidden="1"/>
    </xf>
    <xf numFmtId="0" fontId="37" fillId="48" borderId="73" xfId="0" applyFont="1" applyFill="1" applyBorder="1" applyAlignment="1" applyProtection="1">
      <alignment horizontal="center" vertical="center"/>
      <protection hidden="1"/>
    </xf>
    <xf numFmtId="0" fontId="26" fillId="48" borderId="73" xfId="0" applyFont="1" applyFill="1" applyBorder="1" applyAlignment="1" applyProtection="1">
      <alignment horizontal="left" vertical="center"/>
      <protection hidden="1"/>
    </xf>
    <xf numFmtId="0" fontId="51" fillId="48" borderId="31" xfId="0" applyFont="1" applyFill="1" applyBorder="1" applyAlignment="1" applyProtection="1">
      <alignment horizontal="center" vertical="center"/>
      <protection hidden="1"/>
    </xf>
    <xf numFmtId="0" fontId="51" fillId="48" borderId="27" xfId="0" applyFont="1" applyFill="1" applyBorder="1" applyAlignment="1" applyProtection="1">
      <alignment horizontal="center" vertical="center"/>
      <protection hidden="1"/>
    </xf>
    <xf numFmtId="0" fontId="51" fillId="48" borderId="34" xfId="0" applyFont="1" applyFill="1" applyBorder="1" applyAlignment="1" applyProtection="1">
      <alignment horizontal="center" vertical="center"/>
      <protection hidden="1"/>
    </xf>
    <xf numFmtId="0" fontId="51" fillId="48" borderId="190" xfId="0" applyFont="1" applyFill="1" applyBorder="1" applyAlignment="1" applyProtection="1">
      <alignment horizontal="center" vertical="center"/>
      <protection hidden="1"/>
    </xf>
    <xf numFmtId="0" fontId="51" fillId="48" borderId="53" xfId="0" applyFont="1" applyFill="1" applyBorder="1" applyAlignment="1" applyProtection="1">
      <alignment horizontal="center" vertical="center"/>
      <protection hidden="1"/>
    </xf>
    <xf numFmtId="0" fontId="51" fillId="48" borderId="195" xfId="0" applyFont="1" applyFill="1" applyBorder="1" applyAlignment="1" applyProtection="1">
      <alignment horizontal="center" vertical="center"/>
      <protection hidden="1"/>
    </xf>
    <xf numFmtId="0" fontId="163" fillId="55" borderId="157" xfId="0" applyFont="1" applyFill="1" applyBorder="1" applyAlignment="1" applyProtection="1">
      <alignment horizontal="center" vertical="center"/>
      <protection hidden="1"/>
    </xf>
    <xf numFmtId="0" fontId="163" fillId="55" borderId="158" xfId="0" applyFont="1" applyFill="1" applyBorder="1" applyAlignment="1" applyProtection="1">
      <alignment horizontal="center" vertical="center"/>
      <protection hidden="1"/>
    </xf>
    <xf numFmtId="0" fontId="163" fillId="55" borderId="159" xfId="0" applyFont="1" applyFill="1" applyBorder="1" applyAlignment="1" applyProtection="1">
      <alignment horizontal="center" vertical="center"/>
      <protection hidden="1"/>
    </xf>
    <xf numFmtId="0" fontId="51" fillId="48" borderId="149" xfId="0" applyFont="1" applyFill="1" applyBorder="1" applyAlignment="1" applyProtection="1">
      <alignment horizontal="center" vertical="center"/>
      <protection hidden="1"/>
    </xf>
    <xf numFmtId="0" fontId="51" fillId="48" borderId="52" xfId="0" applyFont="1" applyFill="1" applyBorder="1" applyAlignment="1" applyProtection="1">
      <alignment horizontal="center" vertical="center"/>
      <protection hidden="1"/>
    </xf>
    <xf numFmtId="0" fontId="51" fillId="48" borderId="196" xfId="0" applyFont="1" applyFill="1" applyBorder="1" applyAlignment="1" applyProtection="1">
      <alignment horizontal="center" vertical="center"/>
      <protection hidden="1"/>
    </xf>
    <xf numFmtId="0" fontId="51" fillId="48" borderId="128" xfId="0" applyFont="1" applyFill="1" applyBorder="1" applyAlignment="1" applyProtection="1">
      <alignment horizontal="left" vertical="center" wrapText="1"/>
      <protection hidden="1"/>
    </xf>
    <xf numFmtId="0" fontId="51" fillId="48" borderId="55" xfId="0" applyFont="1" applyFill="1" applyBorder="1" applyAlignment="1" applyProtection="1">
      <alignment horizontal="left" vertical="center" wrapText="1"/>
      <protection hidden="1"/>
    </xf>
    <xf numFmtId="0" fontId="51" fillId="48" borderId="148" xfId="0" applyFont="1" applyFill="1" applyBorder="1" applyAlignment="1" applyProtection="1">
      <alignment horizontal="left" vertical="center" wrapText="1"/>
      <protection hidden="1"/>
    </xf>
    <xf numFmtId="0" fontId="51" fillId="48" borderId="51" xfId="0" applyFont="1" applyFill="1" applyBorder="1" applyAlignment="1" applyProtection="1">
      <alignment horizontal="center" vertical="center"/>
      <protection hidden="1"/>
    </xf>
    <xf numFmtId="0" fontId="168" fillId="48" borderId="73" xfId="0" applyFont="1" applyFill="1" applyBorder="1" applyAlignment="1" applyProtection="1">
      <alignment horizontal="center"/>
      <protection hidden="1"/>
    </xf>
    <xf numFmtId="0" fontId="51" fillId="48" borderId="25" xfId="0" applyFont="1" applyFill="1" applyBorder="1" applyAlignment="1" applyProtection="1">
      <alignment horizontal="left" vertical="center" wrapText="1"/>
      <protection hidden="1"/>
    </xf>
    <xf numFmtId="0" fontId="51" fillId="48" borderId="28" xfId="0" applyFont="1" applyFill="1" applyBorder="1" applyAlignment="1" applyProtection="1">
      <alignment horizontal="left" vertical="center" wrapText="1"/>
      <protection hidden="1"/>
    </xf>
    <xf numFmtId="0" fontId="51" fillId="48" borderId="29" xfId="0" applyFont="1" applyFill="1" applyBorder="1" applyAlignment="1" applyProtection="1">
      <alignment horizontal="left" vertical="center" wrapText="1"/>
      <protection hidden="1"/>
    </xf>
    <xf numFmtId="193" fontId="51" fillId="48" borderId="25" xfId="0" applyNumberFormat="1" applyFont="1" applyFill="1" applyBorder="1" applyAlignment="1" applyProtection="1">
      <alignment horizontal="center" vertical="center"/>
      <protection hidden="1"/>
    </xf>
    <xf numFmtId="193" fontId="51" fillId="48" borderId="28" xfId="0" applyNumberFormat="1" applyFont="1" applyFill="1" applyBorder="1" applyAlignment="1" applyProtection="1">
      <alignment horizontal="center" vertical="center"/>
      <protection hidden="1"/>
    </xf>
    <xf numFmtId="193" fontId="51" fillId="48" borderId="29" xfId="0" applyNumberFormat="1" applyFont="1" applyFill="1" applyBorder="1" applyAlignment="1" applyProtection="1">
      <alignment horizontal="center" vertical="center"/>
      <protection hidden="1"/>
    </xf>
    <xf numFmtId="0" fontId="51" fillId="48" borderId="26" xfId="0" applyFont="1" applyFill="1" applyBorder="1" applyAlignment="1" applyProtection="1">
      <alignment horizontal="center" vertical="center"/>
      <protection hidden="1"/>
    </xf>
    <xf numFmtId="0" fontId="51" fillId="48" borderId="30" xfId="0" applyFont="1" applyFill="1" applyBorder="1" applyAlignment="1" applyProtection="1">
      <alignment horizontal="center" vertical="center"/>
      <protection hidden="1"/>
    </xf>
    <xf numFmtId="0" fontId="51" fillId="48" borderId="77" xfId="0" applyFont="1" applyFill="1" applyBorder="1" applyAlignment="1" applyProtection="1">
      <alignment horizontal="center" vertical="center"/>
      <protection hidden="1"/>
    </xf>
    <xf numFmtId="0" fontId="51" fillId="48" borderId="79" xfId="0" applyFont="1" applyFill="1" applyBorder="1" applyAlignment="1" applyProtection="1">
      <alignment horizontal="center" vertical="center"/>
      <protection hidden="1"/>
    </xf>
    <xf numFmtId="0" fontId="51" fillId="48" borderId="82" xfId="0" applyFont="1" applyFill="1" applyBorder="1" applyAlignment="1" applyProtection="1">
      <alignment horizontal="center" vertical="center"/>
      <protection hidden="1"/>
    </xf>
    <xf numFmtId="0" fontId="51" fillId="48" borderId="32" xfId="0" applyFont="1" applyFill="1" applyBorder="1" applyAlignment="1" applyProtection="1">
      <alignment horizontal="left" vertical="center" wrapText="1"/>
      <protection hidden="1"/>
    </xf>
    <xf numFmtId="0" fontId="51" fillId="48" borderId="35" xfId="0" applyFont="1" applyFill="1" applyBorder="1" applyAlignment="1" applyProtection="1">
      <alignment horizontal="left" vertical="center" wrapText="1"/>
      <protection hidden="1"/>
    </xf>
    <xf numFmtId="193" fontId="51" fillId="48" borderId="73" xfId="0" applyNumberFormat="1" applyFont="1" applyFill="1" applyBorder="1" applyAlignment="1" applyProtection="1">
      <alignment horizontal="center" vertical="center"/>
      <protection hidden="1"/>
    </xf>
    <xf numFmtId="193" fontId="51" fillId="48" borderId="0" xfId="0" applyNumberFormat="1" applyFont="1" applyFill="1" applyBorder="1" applyAlignment="1" applyProtection="1">
      <alignment horizontal="center" vertical="center"/>
      <protection hidden="1"/>
    </xf>
    <xf numFmtId="193" fontId="51" fillId="48" borderId="45" xfId="0" applyNumberFormat="1" applyFont="1" applyFill="1" applyBorder="1" applyAlignment="1" applyProtection="1">
      <alignment horizontal="center" vertical="center"/>
      <protection hidden="1"/>
    </xf>
    <xf numFmtId="3" fontId="51" fillId="48" borderId="219" xfId="0" applyNumberFormat="1" applyFont="1" applyFill="1" applyBorder="1" applyAlignment="1" applyProtection="1">
      <alignment horizontal="center" vertical="center"/>
      <protection hidden="1"/>
    </xf>
    <xf numFmtId="0" fontId="51" fillId="48" borderId="218" xfId="0" applyFont="1" applyFill="1" applyBorder="1" applyAlignment="1" applyProtection="1">
      <alignment horizontal="center" vertical="center"/>
      <protection hidden="1"/>
    </xf>
    <xf numFmtId="0" fontId="51" fillId="48" borderId="220" xfId="0" applyFont="1" applyFill="1" applyBorder="1" applyAlignment="1" applyProtection="1">
      <alignment horizontal="center" vertical="center"/>
      <protection hidden="1"/>
    </xf>
    <xf numFmtId="193" fontId="51" fillId="48" borderId="128" xfId="0" applyNumberFormat="1" applyFont="1" applyFill="1" applyBorder="1" applyAlignment="1" applyProtection="1">
      <alignment horizontal="center" vertical="center"/>
      <protection hidden="1"/>
    </xf>
    <xf numFmtId="193" fontId="51" fillId="48" borderId="55" xfId="0" applyNumberFormat="1" applyFont="1" applyFill="1" applyBorder="1" applyAlignment="1" applyProtection="1">
      <alignment horizontal="center" vertical="center"/>
      <protection hidden="1"/>
    </xf>
    <xf numFmtId="193" fontId="51" fillId="48" borderId="148" xfId="0" applyNumberFormat="1" applyFont="1" applyFill="1" applyBorder="1" applyAlignment="1" applyProtection="1">
      <alignment horizontal="center" vertical="center"/>
      <protection hidden="1"/>
    </xf>
    <xf numFmtId="0" fontId="1" fillId="48" borderId="58" xfId="0" applyFont="1" applyFill="1" applyBorder="1" applyAlignment="1" applyProtection="1">
      <alignment horizontal="center"/>
      <protection hidden="1"/>
    </xf>
    <xf numFmtId="0" fontId="1" fillId="48" borderId="47" xfId="0" applyFont="1" applyFill="1" applyBorder="1" applyAlignment="1" applyProtection="1">
      <alignment horizontal="center"/>
      <protection hidden="1"/>
    </xf>
    <xf numFmtId="3" fontId="51" fillId="48" borderId="128" xfId="0" applyNumberFormat="1" applyFont="1" applyFill="1" applyBorder="1" applyAlignment="1" applyProtection="1">
      <alignment horizontal="center" vertical="center"/>
      <protection hidden="1"/>
    </xf>
    <xf numFmtId="0" fontId="51" fillId="48" borderId="55" xfId="0" applyFont="1" applyFill="1" applyBorder="1" applyAlignment="1" applyProtection="1">
      <alignment horizontal="center" vertical="center"/>
      <protection hidden="1"/>
    </xf>
    <xf numFmtId="0" fontId="51" fillId="48" borderId="148" xfId="0" applyFont="1" applyFill="1" applyBorder="1" applyAlignment="1" applyProtection="1">
      <alignment horizontal="center" vertical="center"/>
      <protection hidden="1"/>
    </xf>
    <xf numFmtId="0" fontId="37" fillId="55" borderId="145" xfId="0" applyFont="1" applyFill="1" applyBorder="1" applyAlignment="1" applyProtection="1">
      <alignment horizontal="left" vertical="center" wrapText="1"/>
      <protection hidden="1"/>
    </xf>
    <xf numFmtId="0" fontId="37" fillId="55" borderId="146" xfId="0" applyFont="1" applyFill="1" applyBorder="1" applyAlignment="1" applyProtection="1">
      <alignment horizontal="left" vertical="center" wrapText="1"/>
      <protection hidden="1"/>
    </xf>
    <xf numFmtId="0" fontId="55" fillId="48" borderId="140" xfId="0" applyFont="1" applyFill="1" applyBorder="1" applyAlignment="1" applyProtection="1">
      <alignment horizontal="center" vertical="center"/>
      <protection hidden="1"/>
    </xf>
    <xf numFmtId="0" fontId="55" fillId="48" borderId="69" xfId="0" applyFont="1" applyFill="1" applyBorder="1" applyAlignment="1" applyProtection="1">
      <alignment horizontal="center" vertical="center"/>
      <protection hidden="1"/>
    </xf>
    <xf numFmtId="0" fontId="51" fillId="54" borderId="18" xfId="0" applyFont="1" applyFill="1" applyBorder="1" applyAlignment="1" applyProtection="1">
      <alignment horizontal="left" vertical="center" wrapText="1"/>
      <protection hidden="1"/>
    </xf>
    <xf numFmtId="0" fontId="51" fillId="54" borderId="16" xfId="0" applyFont="1" applyFill="1" applyBorder="1" applyAlignment="1" applyProtection="1">
      <alignment horizontal="left" vertical="center" wrapText="1"/>
      <protection hidden="1"/>
    </xf>
    <xf numFmtId="0" fontId="2" fillId="53" borderId="64" xfId="0" applyFont="1" applyFill="1" applyBorder="1" applyAlignment="1" applyProtection="1">
      <alignment horizontal="left" vertical="center"/>
      <protection hidden="1"/>
    </xf>
    <xf numFmtId="0" fontId="0" fillId="53" borderId="171" xfId="0" applyFill="1" applyBorder="1" applyAlignment="1" applyProtection="1">
      <alignment horizontal="left" vertical="center"/>
      <protection hidden="1"/>
    </xf>
    <xf numFmtId="0" fontId="51" fillId="54" borderId="74" xfId="0" applyFont="1" applyFill="1" applyBorder="1" applyAlignment="1" applyProtection="1">
      <alignment horizontal="left" vertical="center" wrapText="1"/>
      <protection hidden="1"/>
    </xf>
    <xf numFmtId="0" fontId="51" fillId="54" borderId="99" xfId="0" applyFont="1" applyFill="1" applyBorder="1" applyAlignment="1" applyProtection="1">
      <alignment horizontal="left" vertical="center" wrapText="1"/>
      <protection hidden="1"/>
    </xf>
    <xf numFmtId="0" fontId="51" fillId="54" borderId="83" xfId="0" applyFont="1" applyFill="1" applyBorder="1" applyAlignment="1" applyProtection="1">
      <alignment horizontal="left" vertical="center" wrapText="1"/>
      <protection hidden="1"/>
    </xf>
    <xf numFmtId="0" fontId="51" fillId="54" borderId="103" xfId="0" applyFont="1" applyFill="1" applyBorder="1" applyAlignment="1" applyProtection="1">
      <alignment horizontal="left" vertical="center" wrapText="1"/>
      <protection hidden="1"/>
    </xf>
    <xf numFmtId="0" fontId="37" fillId="55" borderId="17" xfId="0" applyFont="1" applyFill="1" applyBorder="1" applyAlignment="1" applyProtection="1">
      <alignment horizontal="left" vertical="center" wrapText="1"/>
      <protection hidden="1"/>
    </xf>
    <xf numFmtId="0" fontId="37" fillId="55" borderId="36" xfId="0" applyFont="1" applyFill="1" applyBorder="1" applyAlignment="1" applyProtection="1">
      <alignment horizontal="left" vertical="center" wrapText="1"/>
      <protection hidden="1"/>
    </xf>
    <xf numFmtId="0" fontId="2" fillId="48" borderId="18" xfId="0" applyFont="1" applyFill="1" applyBorder="1" applyAlignment="1" applyProtection="1">
      <alignment horizontal="left" vertical="center" wrapText="1"/>
      <protection hidden="1"/>
    </xf>
    <xf numFmtId="0" fontId="2" fillId="48" borderId="16" xfId="0" applyFont="1" applyFill="1" applyBorder="1" applyAlignment="1" applyProtection="1">
      <alignment horizontal="left" vertical="center" wrapText="1"/>
      <protection hidden="1"/>
    </xf>
    <xf numFmtId="9" fontId="28" fillId="48" borderId="39" xfId="0" applyNumberFormat="1" applyFont="1" applyFill="1" applyBorder="1" applyAlignment="1" applyProtection="1">
      <alignment horizontal="center" vertical="center" wrapText="1"/>
      <protection hidden="1"/>
    </xf>
    <xf numFmtId="9" fontId="28" fillId="48" borderId="0" xfId="0" applyNumberFormat="1" applyFont="1" applyFill="1" applyBorder="1" applyAlignment="1" applyProtection="1">
      <alignment horizontal="center" vertical="center" wrapText="1"/>
      <protection hidden="1"/>
    </xf>
    <xf numFmtId="0" fontId="55" fillId="48" borderId="0" xfId="0" applyFont="1" applyFill="1" applyAlignment="1" applyProtection="1">
      <alignment horizontal="center" vertical="center"/>
      <protection hidden="1"/>
    </xf>
    <xf numFmtId="0" fontId="2" fillId="55" borderId="39" xfId="0" applyFont="1" applyFill="1" applyBorder="1" applyAlignment="1" applyProtection="1">
      <alignment horizontal="center" vertical="center"/>
      <protection hidden="1"/>
    </xf>
    <xf numFmtId="0" fontId="0" fillId="55" borderId="0" xfId="0" applyFill="1" applyBorder="1" applyAlignment="1" applyProtection="1">
      <alignment horizontal="center" vertical="center"/>
      <protection hidden="1"/>
    </xf>
    <xf numFmtId="0" fontId="0" fillId="55" borderId="40" xfId="0" applyFill="1" applyBorder="1" applyAlignment="1" applyProtection="1">
      <alignment horizontal="center" vertical="center"/>
      <protection hidden="1"/>
    </xf>
    <xf numFmtId="0" fontId="2" fillId="55" borderId="20" xfId="0" applyFont="1" applyFill="1" applyBorder="1" applyAlignment="1" applyProtection="1">
      <alignment horizontal="center" vertical="center"/>
      <protection hidden="1"/>
    </xf>
    <xf numFmtId="0" fontId="2" fillId="55" borderId="13" xfId="0" applyFont="1" applyFill="1" applyBorder="1" applyAlignment="1" applyProtection="1">
      <alignment horizontal="center" vertical="center"/>
      <protection hidden="1"/>
    </xf>
    <xf numFmtId="0" fontId="2" fillId="55" borderId="21" xfId="0" applyFont="1" applyFill="1" applyBorder="1" applyAlignment="1" applyProtection="1">
      <alignment horizontal="center" vertical="center"/>
      <protection hidden="1"/>
    </xf>
    <xf numFmtId="0" fontId="46" fillId="48" borderId="0" xfId="0" applyFont="1" applyFill="1" applyAlignment="1" applyProtection="1">
      <alignment horizontal="center" vertical="center"/>
      <protection hidden="1"/>
    </xf>
    <xf numFmtId="49" fontId="51" fillId="45" borderId="62" xfId="0" applyNumberFormat="1" applyFont="1" applyFill="1" applyBorder="1" applyAlignment="1" applyProtection="1">
      <alignment horizontal="left" vertical="center"/>
      <protection locked="0"/>
    </xf>
    <xf numFmtId="49" fontId="51" fillId="45" borderId="61" xfId="0" applyNumberFormat="1" applyFont="1" applyFill="1" applyBorder="1" applyAlignment="1" applyProtection="1">
      <alignment horizontal="left" vertical="center"/>
      <protection locked="0"/>
    </xf>
    <xf numFmtId="49" fontId="51" fillId="45" borderId="70" xfId="0" applyNumberFormat="1" applyFont="1" applyFill="1" applyBorder="1" applyAlignment="1" applyProtection="1">
      <alignment horizontal="left" vertical="center"/>
      <protection locked="0"/>
    </xf>
    <xf numFmtId="49" fontId="51" fillId="45" borderId="75" xfId="0" applyNumberFormat="1" applyFont="1" applyFill="1" applyBorder="1" applyAlignment="1" applyProtection="1">
      <alignment horizontal="left" vertical="center"/>
      <protection locked="0"/>
    </xf>
    <xf numFmtId="49" fontId="51" fillId="45" borderId="10" xfId="0" applyNumberFormat="1" applyFont="1" applyFill="1" applyBorder="1" applyAlignment="1" applyProtection="1">
      <alignment horizontal="left" vertical="center"/>
      <protection locked="0"/>
    </xf>
    <xf numFmtId="49" fontId="51" fillId="45" borderId="85" xfId="0" applyNumberFormat="1" applyFont="1" applyFill="1" applyBorder="1" applyAlignment="1" applyProtection="1">
      <alignment horizontal="left" vertical="center"/>
      <protection locked="0"/>
    </xf>
    <xf numFmtId="9" fontId="1" fillId="48" borderId="39" xfId="0" applyNumberFormat="1" applyFont="1" applyFill="1" applyBorder="1" applyAlignment="1" applyProtection="1">
      <alignment horizontal="center" vertical="center" wrapText="1"/>
      <protection hidden="1"/>
    </xf>
    <xf numFmtId="9" fontId="1" fillId="48" borderId="0" xfId="0" applyNumberFormat="1" applyFont="1" applyFill="1" applyBorder="1" applyAlignment="1" applyProtection="1">
      <alignment horizontal="center" vertical="center" wrapText="1"/>
      <protection hidden="1"/>
    </xf>
    <xf numFmtId="0" fontId="34" fillId="55" borderId="39" xfId="0" applyFont="1" applyFill="1" applyBorder="1" applyAlignment="1" applyProtection="1">
      <alignment horizontal="center" vertical="center"/>
      <protection hidden="1"/>
    </xf>
    <xf numFmtId="0" fontId="51" fillId="55" borderId="0" xfId="0" applyFont="1" applyFill="1" applyBorder="1" applyAlignment="1" applyProtection="1">
      <alignment horizontal="center" vertical="center"/>
      <protection hidden="1"/>
    </xf>
    <xf numFmtId="0" fontId="51" fillId="55" borderId="40" xfId="0" applyFont="1" applyFill="1" applyBorder="1" applyAlignment="1" applyProtection="1">
      <alignment horizontal="center" vertical="center"/>
      <protection hidden="1"/>
    </xf>
    <xf numFmtId="0" fontId="2" fillId="48" borderId="18" xfId="0" applyFont="1" applyFill="1" applyBorder="1" applyAlignment="1" applyProtection="1">
      <alignment horizontal="left" vertical="center"/>
      <protection hidden="1"/>
    </xf>
    <xf numFmtId="0" fontId="46" fillId="48" borderId="16" xfId="0" applyFont="1" applyFill="1" applyBorder="1" applyAlignment="1" applyProtection="1">
      <alignment horizontal="left" vertical="center"/>
      <protection hidden="1"/>
    </xf>
    <xf numFmtId="0" fontId="34" fillId="53" borderId="64" xfId="0" applyFont="1" applyFill="1" applyBorder="1" applyAlignment="1" applyProtection="1">
      <alignment horizontal="left" vertical="center"/>
      <protection hidden="1"/>
    </xf>
    <xf numFmtId="0" fontId="51" fillId="53" borderId="57" xfId="0" applyFont="1" applyFill="1" applyBorder="1" applyAlignment="1" applyProtection="1">
      <alignment horizontal="left" vertical="center"/>
      <protection hidden="1"/>
    </xf>
    <xf numFmtId="0" fontId="34" fillId="55" borderId="20" xfId="0" applyFont="1" applyFill="1" applyBorder="1" applyAlignment="1" applyProtection="1">
      <alignment horizontal="center" vertical="center"/>
      <protection hidden="1"/>
    </xf>
    <xf numFmtId="0" fontId="34" fillId="55" borderId="13" xfId="0" applyFont="1" applyFill="1" applyBorder="1" applyAlignment="1" applyProtection="1">
      <alignment horizontal="center" vertical="center"/>
      <protection hidden="1"/>
    </xf>
    <xf numFmtId="0" fontId="34" fillId="55" borderId="21" xfId="0" applyFont="1" applyFill="1" applyBorder="1" applyAlignment="1" applyProtection="1">
      <alignment horizontal="center" vertical="center"/>
      <protection hidden="1"/>
    </xf>
    <xf numFmtId="0" fontId="2" fillId="48" borderId="62" xfId="0" applyFont="1" applyFill="1" applyBorder="1" applyAlignment="1" applyProtection="1">
      <alignment horizontal="left" vertical="center" wrapText="1"/>
      <protection hidden="1"/>
    </xf>
    <xf numFmtId="0" fontId="2" fillId="48" borderId="47" xfId="0" applyFont="1" applyFill="1" applyBorder="1" applyAlignment="1" applyProtection="1">
      <alignment horizontal="left" vertical="center" wrapText="1"/>
      <protection hidden="1"/>
    </xf>
    <xf numFmtId="0" fontId="46" fillId="48" borderId="16" xfId="0" applyFont="1" applyFill="1" applyBorder="1" applyAlignment="1" applyProtection="1">
      <alignment horizontal="left" vertical="center" wrapText="1"/>
      <protection hidden="1"/>
    </xf>
    <xf numFmtId="0" fontId="51" fillId="53" borderId="49" xfId="0" applyFont="1" applyFill="1" applyBorder="1" applyAlignment="1" applyProtection="1">
      <alignment horizontal="left" vertical="center"/>
      <protection hidden="1"/>
    </xf>
    <xf numFmtId="3" fontId="71" fillId="48" borderId="172" xfId="0" applyNumberFormat="1" applyFont="1" applyFill="1" applyBorder="1" applyAlignment="1" applyProtection="1">
      <alignment horizontal="center" vertical="center" wrapText="1"/>
      <protection hidden="1"/>
    </xf>
    <xf numFmtId="0" fontId="71" fillId="48" borderId="57" xfId="0" applyFont="1" applyFill="1" applyBorder="1" applyAlignment="1" applyProtection="1">
      <alignment horizontal="center" vertical="center" wrapText="1"/>
      <protection hidden="1"/>
    </xf>
    <xf numFmtId="0" fontId="51" fillId="54" borderId="18" xfId="81" applyFont="1" applyFill="1" applyBorder="1" applyAlignment="1" applyProtection="1">
      <alignment horizontal="left" vertical="center"/>
      <protection hidden="1"/>
    </xf>
    <xf numFmtId="0" fontId="51" fillId="48" borderId="16" xfId="81" applyFont="1" applyFill="1" applyBorder="1" applyAlignment="1" applyProtection="1">
      <alignment horizontal="center" vertical="center"/>
      <protection hidden="1"/>
    </xf>
    <xf numFmtId="0" fontId="2" fillId="55" borderId="25" xfId="81" applyFont="1" applyFill="1" applyBorder="1" applyAlignment="1" applyProtection="1">
      <alignment horizontal="center" vertical="center"/>
      <protection hidden="1"/>
    </xf>
    <xf numFmtId="0" fontId="2" fillId="55" borderId="29" xfId="81" applyFont="1" applyFill="1" applyBorder="1" applyAlignment="1" applyProtection="1">
      <alignment horizontal="center" vertical="center"/>
      <protection hidden="1"/>
    </xf>
    <xf numFmtId="0" fontId="2" fillId="55" borderId="26" xfId="81" applyFont="1" applyFill="1" applyBorder="1" applyAlignment="1" applyProtection="1">
      <alignment horizontal="center" vertical="center"/>
      <protection hidden="1"/>
    </xf>
    <xf numFmtId="0" fontId="2" fillId="55" borderId="77" xfId="81" applyFont="1" applyFill="1" applyBorder="1" applyAlignment="1" applyProtection="1">
      <alignment horizontal="center" vertical="center"/>
      <protection hidden="1"/>
    </xf>
    <xf numFmtId="0" fontId="37" fillId="55" borderId="20" xfId="81" applyFont="1" applyFill="1" applyBorder="1" applyAlignment="1" applyProtection="1">
      <alignment horizontal="center" vertical="center"/>
      <protection hidden="1"/>
    </xf>
    <xf numFmtId="0" fontId="37" fillId="55" borderId="41" xfId="81" applyFont="1" applyFill="1" applyBorder="1" applyAlignment="1" applyProtection="1">
      <alignment horizontal="center" vertical="center"/>
      <protection hidden="1"/>
    </xf>
    <xf numFmtId="0" fontId="37" fillId="55" borderId="83" xfId="81" applyFont="1" applyFill="1" applyBorder="1" applyAlignment="1" applyProtection="1">
      <alignment horizontal="center" vertical="center"/>
      <protection hidden="1"/>
    </xf>
    <xf numFmtId="0" fontId="37" fillId="55" borderId="103" xfId="81" applyFont="1" applyFill="1" applyBorder="1" applyAlignment="1" applyProtection="1">
      <alignment horizontal="center" vertical="center"/>
      <protection hidden="1"/>
    </xf>
    <xf numFmtId="0" fontId="51" fillId="45" borderId="62" xfId="0" applyNumberFormat="1" applyFont="1" applyFill="1" applyBorder="1" applyAlignment="1" applyProtection="1">
      <alignment horizontal="left" vertical="center"/>
      <protection locked="0"/>
    </xf>
    <xf numFmtId="0" fontId="51" fillId="45" borderId="61" xfId="0" applyNumberFormat="1" applyFont="1" applyFill="1" applyBorder="1" applyAlignment="1" applyProtection="1">
      <alignment horizontal="left" vertical="center"/>
      <protection locked="0"/>
    </xf>
    <xf numFmtId="0" fontId="51" fillId="45" borderId="70" xfId="0" applyNumberFormat="1" applyFont="1" applyFill="1" applyBorder="1" applyAlignment="1" applyProtection="1">
      <alignment horizontal="left" vertical="center"/>
      <protection locked="0"/>
    </xf>
    <xf numFmtId="0" fontId="51" fillId="45" borderId="75" xfId="0" applyNumberFormat="1" applyFont="1" applyFill="1" applyBorder="1" applyAlignment="1" applyProtection="1">
      <alignment horizontal="left" vertical="center"/>
      <protection locked="0"/>
    </xf>
    <xf numFmtId="0" fontId="51" fillId="45" borderId="10" xfId="0" applyNumberFormat="1" applyFont="1" applyFill="1" applyBorder="1" applyAlignment="1" applyProtection="1">
      <alignment horizontal="left" vertical="center"/>
      <protection locked="0"/>
    </xf>
    <xf numFmtId="0" fontId="51" fillId="45" borderId="85" xfId="0" applyNumberFormat="1" applyFont="1" applyFill="1" applyBorder="1" applyAlignment="1" applyProtection="1">
      <alignment horizontal="left" vertical="center"/>
      <protection locked="0"/>
    </xf>
    <xf numFmtId="0" fontId="51" fillId="48" borderId="45" xfId="0" applyFont="1" applyFill="1" applyBorder="1" applyAlignment="1" applyProtection="1">
      <alignment horizontal="center" vertical="center" wrapText="1"/>
      <protection hidden="1"/>
    </xf>
    <xf numFmtId="0" fontId="2" fillId="55" borderId="36" xfId="0" applyFont="1" applyFill="1" applyBorder="1" applyAlignment="1" applyProtection="1">
      <alignment horizontal="center" vertical="center" wrapText="1"/>
      <protection locked="0"/>
    </xf>
    <xf numFmtId="0" fontId="2" fillId="55" borderId="37" xfId="0" applyFont="1" applyFill="1" applyBorder="1" applyAlignment="1" applyProtection="1">
      <alignment horizontal="center" vertical="center" wrapText="1"/>
      <protection locked="0"/>
    </xf>
    <xf numFmtId="0" fontId="2" fillId="45" borderId="36" xfId="0" applyFont="1" applyFill="1" applyBorder="1" applyAlignment="1" applyProtection="1">
      <alignment horizontal="center" vertical="center" wrapText="1"/>
      <protection locked="0"/>
    </xf>
    <xf numFmtId="0" fontId="2" fillId="45" borderId="37" xfId="0" applyFont="1" applyFill="1" applyBorder="1" applyAlignment="1" applyProtection="1">
      <alignment horizontal="center" vertical="center" wrapText="1"/>
      <protection locked="0"/>
    </xf>
    <xf numFmtId="0" fontId="37" fillId="55" borderId="64" xfId="0" applyFont="1" applyFill="1" applyBorder="1" applyAlignment="1" applyProtection="1">
      <alignment horizontal="center" vertical="center" wrapText="1"/>
      <protection hidden="1"/>
    </xf>
    <xf numFmtId="0" fontId="37" fillId="55" borderId="49" xfId="0" applyFont="1" applyFill="1" applyBorder="1" applyAlignment="1" applyProtection="1">
      <alignment horizontal="center" vertical="center" wrapText="1"/>
      <protection hidden="1"/>
    </xf>
    <xf numFmtId="0" fontId="37" fillId="55" borderId="57" xfId="0" applyFont="1" applyFill="1" applyBorder="1" applyAlignment="1" applyProtection="1">
      <alignment horizontal="center" vertical="center" wrapText="1"/>
      <protection hidden="1"/>
    </xf>
    <xf numFmtId="3" fontId="51" fillId="55" borderId="47" xfId="0" applyNumberFormat="1" applyFont="1" applyFill="1" applyBorder="1" applyAlignment="1" applyProtection="1">
      <alignment horizontal="center" vertical="center" wrapText="1"/>
      <protection hidden="1"/>
    </xf>
    <xf numFmtId="0" fontId="51" fillId="55" borderId="16" xfId="0" applyFont="1" applyFill="1" applyBorder="1" applyAlignment="1" applyProtection="1">
      <alignment horizontal="center" vertical="center" wrapText="1"/>
      <protection hidden="1"/>
    </xf>
    <xf numFmtId="0" fontId="51" fillId="55" borderId="39" xfId="0" applyFont="1" applyFill="1" applyBorder="1" applyAlignment="1" applyProtection="1">
      <alignment horizontal="center" vertical="center"/>
      <protection hidden="1"/>
    </xf>
    <xf numFmtId="0" fontId="51" fillId="55" borderId="20" xfId="0" applyFont="1" applyFill="1" applyBorder="1" applyAlignment="1" applyProtection="1">
      <alignment horizontal="center" vertical="center"/>
      <protection hidden="1"/>
    </xf>
    <xf numFmtId="0" fontId="51" fillId="55" borderId="13" xfId="0" applyFont="1" applyFill="1" applyBorder="1" applyAlignment="1" applyProtection="1">
      <alignment horizontal="center" vertical="center"/>
      <protection hidden="1"/>
    </xf>
    <xf numFmtId="0" fontId="51" fillId="55" borderId="21" xfId="0" applyFont="1" applyFill="1" applyBorder="1" applyAlignment="1" applyProtection="1">
      <alignment horizontal="center" vertical="center"/>
      <protection hidden="1"/>
    </xf>
    <xf numFmtId="0" fontId="51" fillId="54" borderId="20" xfId="0" applyFont="1" applyFill="1" applyBorder="1" applyAlignment="1" applyProtection="1">
      <alignment horizontal="center" vertical="center"/>
      <protection hidden="1"/>
    </xf>
    <xf numFmtId="0" fontId="51" fillId="54" borderId="21" xfId="0" applyFont="1" applyFill="1" applyBorder="1" applyAlignment="1" applyProtection="1">
      <alignment vertical="center"/>
      <protection hidden="1"/>
    </xf>
    <xf numFmtId="43" fontId="51" fillId="54" borderId="64" xfId="55" applyFont="1" applyFill="1" applyBorder="1" applyAlignment="1" applyProtection="1">
      <alignment horizontal="center" vertical="center" wrapText="1"/>
      <protection hidden="1"/>
    </xf>
    <xf numFmtId="0" fontId="51" fillId="54" borderId="49" xfId="0" applyFont="1" applyFill="1" applyBorder="1" applyAlignment="1" applyProtection="1">
      <alignment horizontal="center" vertical="center" wrapText="1"/>
      <protection hidden="1"/>
    </xf>
    <xf numFmtId="0" fontId="51" fillId="54" borderId="57" xfId="0" applyFont="1" applyFill="1" applyBorder="1" applyAlignment="1" applyProtection="1">
      <alignment horizontal="center" vertical="center" wrapText="1"/>
      <protection hidden="1"/>
    </xf>
    <xf numFmtId="0" fontId="122" fillId="48" borderId="0" xfId="73" applyFont="1" applyFill="1" applyBorder="1" applyAlignment="1" applyProtection="1">
      <alignment horizontal="center" vertical="center" wrapText="1"/>
      <protection hidden="1"/>
    </xf>
    <xf numFmtId="0" fontId="132" fillId="48" borderId="39" xfId="0" applyFont="1" applyFill="1" applyBorder="1" applyAlignment="1" applyProtection="1">
      <alignment horizontal="center" vertical="center" wrapText="1"/>
      <protection hidden="1"/>
    </xf>
    <xf numFmtId="0" fontId="51" fillId="48" borderId="39" xfId="0" applyFont="1" applyFill="1" applyBorder="1" applyAlignment="1" applyProtection="1">
      <alignment horizontal="center" vertical="center" wrapText="1"/>
      <protection hidden="1"/>
    </xf>
    <xf numFmtId="0" fontId="43" fillId="55" borderId="57" xfId="0" applyFont="1" applyFill="1" applyBorder="1" applyAlignment="1" applyProtection="1">
      <alignment horizontal="center" vertical="center" wrapText="1"/>
      <protection hidden="1"/>
    </xf>
    <xf numFmtId="3" fontId="51" fillId="55" borderId="49" xfId="0" applyNumberFormat="1" applyFont="1" applyFill="1" applyBorder="1" applyAlignment="1" applyProtection="1">
      <alignment horizontal="center" vertical="center" wrapText="1"/>
      <protection hidden="1"/>
    </xf>
    <xf numFmtId="0" fontId="51" fillId="55" borderId="57" xfId="0" applyFont="1" applyFill="1" applyBorder="1" applyAlignment="1" applyProtection="1">
      <alignment horizontal="center" vertical="center" wrapText="1"/>
      <protection hidden="1"/>
    </xf>
    <xf numFmtId="0" fontId="37" fillId="55" borderId="64" xfId="81" applyFont="1" applyFill="1" applyBorder="1" applyAlignment="1" applyProtection="1">
      <alignment horizontal="center" vertical="center"/>
      <protection hidden="1"/>
    </xf>
    <xf numFmtId="0" fontId="43" fillId="55" borderId="49" xfId="0" applyFont="1" applyFill="1" applyBorder="1" applyAlignment="1" applyProtection="1">
      <alignment horizontal="center" vertical="center"/>
      <protection hidden="1"/>
    </xf>
    <xf numFmtId="0" fontId="43" fillId="55" borderId="57" xfId="0" applyFont="1" applyFill="1" applyBorder="1" applyAlignment="1" applyProtection="1">
      <alignment horizontal="center" vertical="center"/>
      <protection hidden="1"/>
    </xf>
    <xf numFmtId="0" fontId="34" fillId="54" borderId="51" xfId="81" applyFont="1" applyFill="1" applyBorder="1" applyAlignment="1" applyProtection="1">
      <alignment horizontal="left" vertical="center" wrapText="1"/>
      <protection hidden="1"/>
    </xf>
    <xf numFmtId="0" fontId="34" fillId="54" borderId="53" xfId="81" applyFont="1" applyFill="1" applyBorder="1" applyAlignment="1" applyProtection="1">
      <alignment horizontal="left" vertical="center" wrapText="1"/>
      <protection hidden="1"/>
    </xf>
    <xf numFmtId="0" fontId="34" fillId="54" borderId="154" xfId="81" applyFont="1" applyFill="1" applyBorder="1" applyAlignment="1" applyProtection="1">
      <alignment horizontal="center" vertical="center" wrapText="1"/>
      <protection hidden="1"/>
    </xf>
    <xf numFmtId="0" fontId="34" fillId="54" borderId="55" xfId="81" applyFont="1" applyFill="1" applyBorder="1" applyAlignment="1" applyProtection="1">
      <alignment horizontal="center" vertical="center" wrapText="1"/>
      <protection hidden="1"/>
    </xf>
    <xf numFmtId="0" fontId="34" fillId="54" borderId="87" xfId="81" applyFont="1" applyFill="1" applyBorder="1" applyAlignment="1" applyProtection="1">
      <alignment horizontal="left" vertical="center" wrapText="1"/>
      <protection hidden="1"/>
    </xf>
    <xf numFmtId="0" fontId="34" fillId="54" borderId="88" xfId="81" applyFont="1" applyFill="1" applyBorder="1" applyAlignment="1" applyProtection="1">
      <alignment horizontal="center" vertical="center" wrapText="1"/>
      <protection hidden="1"/>
    </xf>
    <xf numFmtId="0" fontId="0" fillId="0" borderId="79" xfId="0" applyBorder="1" applyAlignment="1">
      <alignment vertical="center"/>
    </xf>
    <xf numFmtId="0" fontId="0" fillId="0" borderId="77" xfId="0" applyBorder="1" applyAlignment="1">
      <alignment vertical="center"/>
    </xf>
    <xf numFmtId="0" fontId="0" fillId="0" borderId="82" xfId="0" applyBorder="1" applyAlignment="1">
      <alignment vertical="center"/>
    </xf>
    <xf numFmtId="0" fontId="132" fillId="48" borderId="0" xfId="0" applyFont="1" applyFill="1" applyBorder="1" applyAlignment="1" applyProtection="1">
      <alignment horizontal="center" vertical="center" wrapText="1"/>
      <protection hidden="1"/>
    </xf>
    <xf numFmtId="0" fontId="132" fillId="48" borderId="40" xfId="0" applyFont="1" applyFill="1" applyBorder="1" applyAlignment="1" applyProtection="1">
      <alignment horizontal="center" vertical="center" wrapText="1"/>
      <protection hidden="1"/>
    </xf>
    <xf numFmtId="3" fontId="51" fillId="48" borderId="172" xfId="0" applyNumberFormat="1" applyFont="1" applyFill="1" applyBorder="1" applyAlignment="1" applyProtection="1">
      <alignment horizontal="center" vertical="center" wrapText="1"/>
      <protection hidden="1"/>
    </xf>
    <xf numFmtId="0" fontId="51" fillId="48" borderId="57" xfId="0" applyFont="1" applyFill="1" applyBorder="1" applyAlignment="1" applyProtection="1">
      <alignment horizontal="center" vertical="center" wrapText="1"/>
      <protection hidden="1"/>
    </xf>
    <xf numFmtId="0" fontId="51" fillId="51" borderId="128" xfId="0" applyFont="1" applyFill="1" applyBorder="1" applyAlignment="1" applyProtection="1">
      <alignment horizontal="center" vertical="center" wrapText="1"/>
      <protection locked="0"/>
    </xf>
    <xf numFmtId="0" fontId="51" fillId="51" borderId="149" xfId="0" applyFont="1" applyFill="1" applyBorder="1" applyAlignment="1" applyProtection="1">
      <alignment horizontal="center" vertical="center" wrapText="1"/>
      <protection locked="0"/>
    </xf>
    <xf numFmtId="0" fontId="34" fillId="51" borderId="128" xfId="0" applyFont="1" applyFill="1" applyBorder="1" applyAlignment="1" applyProtection="1">
      <alignment horizontal="center" vertical="center" wrapText="1"/>
      <protection locked="0"/>
    </xf>
    <xf numFmtId="0" fontId="34" fillId="51" borderId="149" xfId="0" applyFont="1" applyFill="1" applyBorder="1" applyAlignment="1" applyProtection="1">
      <alignment horizontal="center" vertical="center" wrapText="1"/>
      <protection locked="0"/>
    </xf>
    <xf numFmtId="0" fontId="51" fillId="45" borderId="13" xfId="0" applyFont="1" applyFill="1" applyBorder="1" applyAlignment="1" applyProtection="1">
      <alignment horizontal="center" vertical="center" wrapText="1"/>
      <protection locked="0"/>
    </xf>
    <xf numFmtId="0" fontId="51" fillId="45" borderId="21" xfId="0" applyFont="1" applyFill="1" applyBorder="1" applyAlignment="1" applyProtection="1">
      <alignment horizontal="center" vertical="center" wrapText="1"/>
      <protection locked="0"/>
    </xf>
    <xf numFmtId="4" fontId="31" fillId="26" borderId="0" xfId="0" applyNumberFormat="1" applyFont="1" applyFill="1" applyBorder="1" applyAlignment="1" applyProtection="1">
      <alignment horizontal="center" vertical="center"/>
      <protection hidden="1"/>
    </xf>
    <xf numFmtId="0" fontId="31" fillId="26" borderId="0" xfId="0" applyFont="1" applyFill="1" applyAlignment="1" applyProtection="1">
      <alignment horizontal="center" vertical="center"/>
      <protection hidden="1"/>
    </xf>
    <xf numFmtId="4" fontId="122" fillId="48" borderId="0" xfId="73" applyNumberFormat="1" applyFont="1" applyFill="1" applyBorder="1" applyAlignment="1" applyProtection="1">
      <alignment horizontal="center" vertical="center" wrapText="1"/>
      <protection hidden="1"/>
    </xf>
    <xf numFmtId="0" fontId="51" fillId="55" borderId="24" xfId="0" applyFont="1" applyFill="1" applyBorder="1" applyAlignment="1" applyProtection="1">
      <alignment horizontal="center" vertical="center" wrapText="1"/>
      <protection hidden="1"/>
    </xf>
    <xf numFmtId="0" fontId="51" fillId="55" borderId="34" xfId="0" applyFont="1" applyFill="1" applyBorder="1" applyAlignment="1" applyProtection="1">
      <alignment horizontal="center" vertical="center" wrapText="1"/>
      <protection hidden="1"/>
    </xf>
    <xf numFmtId="0" fontId="51" fillId="45" borderId="175" xfId="0" applyFont="1" applyFill="1" applyBorder="1" applyAlignment="1" applyProtection="1">
      <alignment horizontal="center" vertical="center"/>
      <protection locked="0"/>
    </xf>
    <xf numFmtId="0" fontId="51" fillId="45" borderId="201" xfId="0" applyFont="1" applyFill="1" applyBorder="1" applyAlignment="1" applyProtection="1">
      <alignment horizontal="center" vertical="center"/>
      <protection locked="0"/>
    </xf>
    <xf numFmtId="0" fontId="51" fillId="51" borderId="154" xfId="0" applyNumberFormat="1" applyFont="1" applyFill="1" applyBorder="1" applyAlignment="1" applyProtection="1">
      <alignment horizontal="center" vertical="center"/>
      <protection locked="0"/>
    </xf>
    <xf numFmtId="0" fontId="51" fillId="51" borderId="173" xfId="0" applyNumberFormat="1" applyFont="1" applyFill="1" applyBorder="1" applyAlignment="1" applyProtection="1">
      <alignment horizontal="center" vertical="center"/>
      <protection locked="0"/>
    </xf>
    <xf numFmtId="3" fontId="34" fillId="55" borderId="154" xfId="0" applyNumberFormat="1" applyFont="1" applyFill="1" applyBorder="1" applyAlignment="1" applyProtection="1">
      <alignment horizontal="center" vertical="center" wrapText="1"/>
      <protection hidden="1"/>
    </xf>
    <xf numFmtId="3" fontId="34" fillId="55" borderId="50" xfId="0" applyNumberFormat="1" applyFont="1" applyFill="1" applyBorder="1" applyAlignment="1" applyProtection="1">
      <alignment horizontal="center" vertical="center" wrapText="1"/>
      <protection hidden="1"/>
    </xf>
    <xf numFmtId="3" fontId="34" fillId="55" borderId="173" xfId="0" applyNumberFormat="1" applyFont="1" applyFill="1" applyBorder="1" applyAlignment="1" applyProtection="1">
      <alignment horizontal="center" vertical="center" wrapText="1"/>
      <protection hidden="1"/>
    </xf>
    <xf numFmtId="3" fontId="34" fillId="55" borderId="56" xfId="0" applyNumberFormat="1" applyFont="1" applyFill="1" applyBorder="1" applyAlignment="1" applyProtection="1">
      <alignment horizontal="center" vertical="center" wrapText="1"/>
      <protection hidden="1"/>
    </xf>
    <xf numFmtId="0" fontId="51" fillId="55" borderId="25" xfId="0" applyFont="1" applyFill="1" applyBorder="1" applyAlignment="1" applyProtection="1">
      <alignment horizontal="center" vertical="center" wrapText="1"/>
      <protection hidden="1"/>
    </xf>
    <xf numFmtId="0" fontId="51" fillId="55" borderId="35" xfId="0" applyFont="1" applyFill="1" applyBorder="1" applyAlignment="1" applyProtection="1">
      <alignment horizontal="center" vertical="center" wrapText="1"/>
      <protection hidden="1"/>
    </xf>
    <xf numFmtId="3" fontId="51" fillId="48" borderId="58" xfId="0" applyNumberFormat="1" applyFont="1" applyFill="1" applyBorder="1" applyAlignment="1" applyProtection="1">
      <alignment horizontal="center" vertical="center" wrapText="1"/>
      <protection hidden="1"/>
    </xf>
    <xf numFmtId="0" fontId="51" fillId="48" borderId="47" xfId="0" applyFont="1" applyFill="1" applyBorder="1" applyAlignment="1" applyProtection="1">
      <alignment horizontal="center" vertical="center" wrapText="1"/>
      <protection hidden="1"/>
    </xf>
    <xf numFmtId="3" fontId="34" fillId="54" borderId="173" xfId="0" applyNumberFormat="1" applyFont="1" applyFill="1" applyBorder="1" applyAlignment="1" applyProtection="1">
      <alignment horizontal="center" vertical="center" wrapText="1"/>
      <protection hidden="1"/>
    </xf>
    <xf numFmtId="3" fontId="34" fillId="54" borderId="196" xfId="0" applyNumberFormat="1" applyFont="1" applyFill="1" applyBorder="1" applyAlignment="1" applyProtection="1">
      <alignment horizontal="center" vertical="center" wrapText="1"/>
      <protection hidden="1"/>
    </xf>
    <xf numFmtId="0" fontId="51" fillId="51" borderId="88" xfId="0" applyNumberFormat="1" applyFont="1" applyFill="1" applyBorder="1" applyAlignment="1" applyProtection="1">
      <alignment horizontal="center" vertical="center"/>
      <protection locked="0"/>
    </xf>
    <xf numFmtId="0" fontId="51" fillId="51" borderId="89" xfId="0" applyNumberFormat="1" applyFont="1" applyFill="1" applyBorder="1" applyAlignment="1" applyProtection="1">
      <alignment horizontal="center" vertical="center"/>
      <protection locked="0"/>
    </xf>
    <xf numFmtId="0" fontId="37" fillId="55" borderId="49" xfId="0" applyFont="1" applyFill="1" applyBorder="1" applyAlignment="1" applyProtection="1">
      <alignment horizontal="center" vertical="center"/>
      <protection hidden="1"/>
    </xf>
    <xf numFmtId="0" fontId="37" fillId="55" borderId="57" xfId="0" applyFont="1" applyFill="1" applyBorder="1" applyAlignment="1" applyProtection="1">
      <alignment horizontal="center" vertical="center"/>
      <protection hidden="1"/>
    </xf>
    <xf numFmtId="3" fontId="34" fillId="54" borderId="154" xfId="0" applyNumberFormat="1" applyFont="1" applyFill="1" applyBorder="1" applyAlignment="1" applyProtection="1">
      <alignment horizontal="center" vertical="center" wrapText="1"/>
      <protection hidden="1"/>
    </xf>
    <xf numFmtId="3" fontId="34" fillId="54" borderId="148" xfId="0" applyNumberFormat="1" applyFont="1" applyFill="1" applyBorder="1" applyAlignment="1" applyProtection="1">
      <alignment horizontal="center" vertical="center" wrapText="1"/>
      <protection hidden="1"/>
    </xf>
    <xf numFmtId="0" fontId="51" fillId="54" borderId="25" xfId="0" applyFont="1" applyFill="1" applyBorder="1" applyAlignment="1" applyProtection="1">
      <alignment horizontal="center" vertical="center" wrapText="1"/>
      <protection hidden="1"/>
    </xf>
    <xf numFmtId="0" fontId="51" fillId="54" borderId="29" xfId="0" applyFont="1" applyFill="1" applyBorder="1" applyAlignment="1" applyProtection="1">
      <alignment horizontal="center" vertical="center" wrapText="1"/>
      <protection hidden="1"/>
    </xf>
    <xf numFmtId="0" fontId="51" fillId="54" borderId="24" xfId="0" applyFont="1" applyFill="1" applyBorder="1" applyAlignment="1" applyProtection="1">
      <alignment horizontal="center" vertical="center" wrapText="1"/>
      <protection hidden="1"/>
    </xf>
    <xf numFmtId="0" fontId="51" fillId="54" borderId="33" xfId="0" applyFont="1" applyFill="1" applyBorder="1" applyAlignment="1" applyProtection="1">
      <alignment horizontal="center" vertical="center" wrapText="1"/>
      <protection hidden="1"/>
    </xf>
    <xf numFmtId="0" fontId="51" fillId="45" borderId="145" xfId="0" applyNumberFormat="1" applyFont="1" applyFill="1" applyBorder="1" applyAlignment="1" applyProtection="1">
      <alignment horizontal="left" vertical="center"/>
      <protection locked="0"/>
    </xf>
    <xf numFmtId="0" fontId="51" fillId="45" borderId="140" xfId="0" applyNumberFormat="1" applyFont="1" applyFill="1" applyBorder="1" applyAlignment="1" applyProtection="1">
      <alignment horizontal="left" vertical="center"/>
      <protection locked="0"/>
    </xf>
    <xf numFmtId="0" fontId="51" fillId="45" borderId="69" xfId="0" applyNumberFormat="1" applyFont="1" applyFill="1" applyBorder="1" applyAlignment="1" applyProtection="1">
      <alignment horizontal="left" vertical="center"/>
      <protection locked="0"/>
    </xf>
    <xf numFmtId="0" fontId="34" fillId="55" borderId="22" xfId="0" applyFont="1" applyFill="1" applyBorder="1" applyAlignment="1" applyProtection="1">
      <alignment horizontal="center" vertical="center"/>
      <protection hidden="1"/>
    </xf>
    <xf numFmtId="0" fontId="34" fillId="55" borderId="45" xfId="0" applyFont="1" applyFill="1" applyBorder="1" applyAlignment="1" applyProtection="1">
      <alignment horizontal="center" vertical="center"/>
      <protection hidden="1"/>
    </xf>
    <xf numFmtId="0" fontId="34" fillId="55" borderId="23" xfId="0" applyFont="1" applyFill="1" applyBorder="1" applyAlignment="1" applyProtection="1">
      <alignment horizontal="center" vertical="center"/>
      <protection hidden="1"/>
    </xf>
    <xf numFmtId="0" fontId="153" fillId="48" borderId="0" xfId="73" applyFont="1" applyFill="1" applyBorder="1" applyAlignment="1" applyProtection="1">
      <alignment horizontal="center" vertical="center" wrapText="1"/>
      <protection hidden="1"/>
    </xf>
    <xf numFmtId="0" fontId="34" fillId="57" borderId="198" xfId="0" applyFont="1" applyFill="1" applyBorder="1" applyAlignment="1" applyProtection="1">
      <alignment vertical="center"/>
      <protection hidden="1"/>
    </xf>
    <xf numFmtId="0" fontId="34" fillId="57" borderId="199" xfId="0" applyFont="1" applyFill="1" applyBorder="1" applyAlignment="1" applyProtection="1">
      <alignment vertical="center"/>
      <protection hidden="1"/>
    </xf>
    <xf numFmtId="0" fontId="34" fillId="57" borderId="200" xfId="0" applyFont="1" applyFill="1" applyBorder="1" applyAlignment="1" applyProtection="1">
      <alignment vertical="center"/>
      <protection hidden="1"/>
    </xf>
    <xf numFmtId="0" fontId="51" fillId="48" borderId="194" xfId="0" applyFont="1" applyFill="1" applyBorder="1" applyAlignment="1" applyProtection="1">
      <alignment horizontal="left" vertical="center"/>
      <protection hidden="1"/>
    </xf>
    <xf numFmtId="0" fontId="51" fillId="48" borderId="202" xfId="0" applyFont="1" applyFill="1" applyBorder="1" applyAlignment="1" applyProtection="1">
      <alignment horizontal="left" vertical="center"/>
      <protection hidden="1"/>
    </xf>
    <xf numFmtId="0" fontId="51" fillId="48" borderId="203" xfId="0" applyFont="1" applyFill="1" applyBorder="1" applyAlignment="1" applyProtection="1">
      <alignment horizontal="left" vertical="center"/>
      <protection hidden="1"/>
    </xf>
    <xf numFmtId="0" fontId="51" fillId="48" borderId="197" xfId="0" applyFont="1" applyFill="1" applyBorder="1" applyAlignment="1" applyProtection="1">
      <alignment horizontal="left" vertical="center"/>
      <protection hidden="1"/>
    </xf>
    <xf numFmtId="0" fontId="51" fillId="48" borderId="175" xfId="0" applyFont="1" applyFill="1" applyBorder="1" applyAlignment="1" applyProtection="1">
      <alignment horizontal="left" vertical="center"/>
      <protection hidden="1"/>
    </xf>
    <xf numFmtId="0" fontId="51" fillId="48" borderId="201" xfId="0" applyFont="1" applyFill="1" applyBorder="1" applyAlignment="1" applyProtection="1">
      <alignment horizontal="left" vertical="center"/>
      <protection hidden="1"/>
    </xf>
    <xf numFmtId="0" fontId="106" fillId="54" borderId="64" xfId="0" applyFont="1" applyFill="1" applyBorder="1" applyAlignment="1" applyProtection="1">
      <alignment horizontal="center" vertical="center"/>
      <protection hidden="1"/>
    </xf>
    <xf numFmtId="0" fontId="106" fillId="54" borderId="49" xfId="0" applyFont="1" applyFill="1" applyBorder="1" applyAlignment="1" applyProtection="1">
      <alignment horizontal="center" vertical="center"/>
      <protection hidden="1"/>
    </xf>
    <xf numFmtId="0" fontId="106" fillId="54" borderId="57" xfId="0" applyFont="1" applyFill="1" applyBorder="1" applyAlignment="1" applyProtection="1">
      <alignment horizontal="center" vertical="center"/>
      <protection hidden="1"/>
    </xf>
    <xf numFmtId="0" fontId="34" fillId="55" borderId="145" xfId="0" applyFont="1" applyFill="1" applyBorder="1" applyAlignment="1" applyProtection="1">
      <alignment horizontal="left" vertical="center" wrapText="1"/>
      <protection hidden="1"/>
    </xf>
    <xf numFmtId="0" fontId="34" fillId="55" borderId="146" xfId="0" applyFont="1" applyFill="1" applyBorder="1" applyAlignment="1" applyProtection="1">
      <alignment horizontal="left" vertical="center" wrapText="1"/>
      <protection hidden="1"/>
    </xf>
    <xf numFmtId="0" fontId="34" fillId="55" borderId="97" xfId="0" applyFont="1" applyFill="1" applyBorder="1" applyAlignment="1" applyProtection="1">
      <alignment horizontal="center" vertical="center" wrapText="1"/>
      <protection locked="0"/>
    </xf>
    <xf numFmtId="0" fontId="34" fillId="55" borderId="69" xfId="0" applyFont="1" applyFill="1" applyBorder="1" applyAlignment="1" applyProtection="1">
      <alignment horizontal="center" vertical="center" wrapText="1"/>
      <protection locked="0"/>
    </xf>
    <xf numFmtId="0" fontId="148" fillId="48" borderId="64" xfId="0" applyFont="1" applyFill="1" applyBorder="1" applyAlignment="1" applyProtection="1">
      <alignment horizontal="center" vertical="center" wrapText="1"/>
      <protection hidden="1"/>
    </xf>
    <xf numFmtId="0" fontId="152" fillId="48" borderId="49" xfId="0" applyFont="1" applyFill="1" applyBorder="1" applyAlignment="1" applyProtection="1">
      <alignment horizontal="center" vertical="center" wrapText="1"/>
      <protection hidden="1"/>
    </xf>
    <xf numFmtId="0" fontId="152" fillId="48" borderId="57" xfId="0" applyFont="1" applyFill="1" applyBorder="1" applyAlignment="1" applyProtection="1">
      <alignment horizontal="center" vertical="center" wrapText="1"/>
      <protection hidden="1"/>
    </xf>
    <xf numFmtId="0" fontId="51" fillId="48" borderId="62" xfId="0" applyFont="1" applyFill="1" applyBorder="1" applyAlignment="1" applyProtection="1">
      <alignment horizontal="left" vertical="center"/>
      <protection hidden="1"/>
    </xf>
    <xf numFmtId="0" fontId="51" fillId="48" borderId="47" xfId="0" applyFont="1" applyFill="1" applyBorder="1" applyAlignment="1" applyProtection="1">
      <alignment horizontal="left" vertical="center"/>
      <protection hidden="1"/>
    </xf>
    <xf numFmtId="3" fontId="34" fillId="55" borderId="37" xfId="0" applyNumberFormat="1" applyFont="1" applyFill="1" applyBorder="1" applyAlignment="1" applyProtection="1">
      <alignment horizontal="center" vertical="center" wrapText="1"/>
      <protection hidden="1"/>
    </xf>
    <xf numFmtId="3" fontId="34" fillId="55" borderId="79" xfId="0" applyNumberFormat="1" applyFont="1" applyFill="1" applyBorder="1" applyAlignment="1" applyProtection="1">
      <alignment horizontal="center" vertical="center" wrapText="1"/>
      <protection hidden="1"/>
    </xf>
    <xf numFmtId="0" fontId="34" fillId="55" borderId="24" xfId="0" applyFont="1" applyFill="1" applyBorder="1" applyAlignment="1" applyProtection="1">
      <alignment horizontal="left" vertical="center" wrapText="1"/>
      <protection hidden="1"/>
    </xf>
    <xf numFmtId="0" fontId="34" fillId="55" borderId="27" xfId="0" applyFont="1" applyFill="1" applyBorder="1" applyAlignment="1" applyProtection="1">
      <alignment horizontal="left" vertical="center" wrapText="1"/>
      <protection hidden="1"/>
    </xf>
    <xf numFmtId="0" fontId="31" fillId="55" borderId="25" xfId="0" applyFont="1" applyFill="1" applyBorder="1" applyAlignment="1" applyProtection="1">
      <alignment horizontal="center" vertical="center" wrapText="1"/>
      <protection hidden="1"/>
    </xf>
    <xf numFmtId="0" fontId="31" fillId="55" borderId="28" xfId="0" applyFont="1" applyFill="1" applyBorder="1" applyAlignment="1" applyProtection="1">
      <alignment horizontal="center" vertical="center" wrapText="1"/>
      <protection hidden="1"/>
    </xf>
    <xf numFmtId="0" fontId="51" fillId="48" borderId="62" xfId="0" applyFont="1" applyFill="1" applyBorder="1" applyAlignment="1" applyProtection="1">
      <alignment horizontal="center" vertical="center"/>
      <protection hidden="1"/>
    </xf>
    <xf numFmtId="0" fontId="51" fillId="48" borderId="61" xfId="0" applyFont="1" applyFill="1" applyBorder="1" applyAlignment="1" applyProtection="1">
      <alignment horizontal="center" vertical="center"/>
      <protection hidden="1"/>
    </xf>
    <xf numFmtId="0" fontId="51" fillId="48" borderId="70" xfId="0" applyFont="1" applyFill="1" applyBorder="1" applyAlignment="1" applyProtection="1">
      <alignment horizontal="center" vertical="center"/>
      <protection hidden="1"/>
    </xf>
    <xf numFmtId="0" fontId="34" fillId="48" borderId="145" xfId="0" applyFont="1" applyFill="1" applyBorder="1" applyAlignment="1" applyProtection="1">
      <alignment horizontal="center" vertical="center"/>
      <protection hidden="1"/>
    </xf>
    <xf numFmtId="0" fontId="34" fillId="48" borderId="140" xfId="0" applyFont="1" applyFill="1" applyBorder="1" applyAlignment="1" applyProtection="1">
      <alignment horizontal="center" vertical="center"/>
      <protection hidden="1"/>
    </xf>
    <xf numFmtId="0" fontId="34" fillId="48" borderId="69" xfId="0" applyFont="1" applyFill="1" applyBorder="1" applyAlignment="1" applyProtection="1">
      <alignment horizontal="center" vertical="center"/>
      <protection hidden="1"/>
    </xf>
    <xf numFmtId="43" fontId="51" fillId="48" borderId="62" xfId="57" applyFont="1" applyFill="1" applyBorder="1" applyAlignment="1" applyProtection="1">
      <alignment horizontal="center" vertical="center"/>
      <protection hidden="1"/>
    </xf>
    <xf numFmtId="0" fontId="51" fillId="55" borderId="0" xfId="0" applyFont="1" applyFill="1" applyBorder="1" applyAlignment="1" applyProtection="1">
      <alignment vertical="center"/>
      <protection hidden="1"/>
    </xf>
    <xf numFmtId="0" fontId="51" fillId="55" borderId="40" xfId="0" applyFont="1" applyFill="1" applyBorder="1" applyAlignment="1" applyProtection="1">
      <alignment vertical="center"/>
      <protection hidden="1"/>
    </xf>
    <xf numFmtId="3" fontId="34" fillId="55" borderId="36" xfId="0" applyNumberFormat="1" applyFont="1" applyFill="1" applyBorder="1" applyAlignment="1" applyProtection="1">
      <alignment horizontal="center" vertical="center" wrapText="1"/>
      <protection hidden="1"/>
    </xf>
    <xf numFmtId="3" fontId="34" fillId="55" borderId="32" xfId="0" applyNumberFormat="1" applyFont="1" applyFill="1" applyBorder="1" applyAlignment="1" applyProtection="1">
      <alignment horizontal="center" vertical="center" wrapText="1"/>
      <protection hidden="1"/>
    </xf>
    <xf numFmtId="0" fontId="150" fillId="55" borderId="25" xfId="0" applyFont="1" applyFill="1" applyBorder="1" applyAlignment="1" applyProtection="1">
      <alignment horizontal="center" vertical="center" wrapText="1"/>
      <protection hidden="1"/>
    </xf>
    <xf numFmtId="0" fontId="150" fillId="55" borderId="28" xfId="0" applyFont="1" applyFill="1" applyBorder="1" applyAlignment="1" applyProtection="1">
      <alignment horizontal="center" vertical="center" wrapText="1"/>
      <protection hidden="1"/>
    </xf>
    <xf numFmtId="0" fontId="51" fillId="55" borderId="25" xfId="0" applyFont="1" applyFill="1" applyBorder="1" applyAlignment="1" applyProtection="1">
      <alignment horizontal="center" vertical="center"/>
      <protection hidden="1"/>
    </xf>
    <xf numFmtId="0" fontId="51" fillId="55" borderId="28" xfId="0" applyFont="1" applyFill="1" applyBorder="1" applyAlignment="1" applyProtection="1">
      <alignment horizontal="center" vertical="center"/>
      <protection hidden="1"/>
    </xf>
    <xf numFmtId="0" fontId="31" fillId="48" borderId="0" xfId="0" applyFont="1" applyFill="1" applyAlignment="1" applyProtection="1">
      <alignment horizontal="center" vertical="center" wrapText="1"/>
      <protection hidden="1"/>
    </xf>
    <xf numFmtId="0" fontId="51" fillId="48" borderId="0" xfId="0" applyFont="1" applyFill="1" applyAlignment="1" applyProtection="1">
      <alignment horizontal="center" vertical="center" wrapText="1"/>
      <protection hidden="1"/>
    </xf>
    <xf numFmtId="0" fontId="123" fillId="48" borderId="0" xfId="0" applyFont="1" applyFill="1" applyAlignment="1" applyProtection="1">
      <alignment horizontal="center" vertical="center" wrapText="1"/>
      <protection hidden="1"/>
    </xf>
    <xf numFmtId="0" fontId="34" fillId="48" borderId="0" xfId="0" applyFont="1" applyFill="1" applyBorder="1" applyAlignment="1" applyProtection="1">
      <alignment horizontal="center" vertical="center"/>
      <protection hidden="1"/>
    </xf>
    <xf numFmtId="0" fontId="51" fillId="48" borderId="64" xfId="81" applyFont="1" applyFill="1" applyBorder="1" applyAlignment="1" applyProtection="1">
      <alignment horizontal="left" vertical="center"/>
      <protection hidden="1"/>
    </xf>
    <xf numFmtId="0" fontId="51" fillId="48" borderId="49" xfId="81" applyFont="1" applyFill="1" applyBorder="1" applyAlignment="1" applyProtection="1">
      <alignment horizontal="left" vertical="center"/>
      <protection hidden="1"/>
    </xf>
    <xf numFmtId="0" fontId="51" fillId="48" borderId="57" xfId="81" applyFont="1" applyFill="1" applyBorder="1" applyAlignment="1" applyProtection="1">
      <alignment horizontal="left" vertical="center"/>
      <protection hidden="1"/>
    </xf>
    <xf numFmtId="0" fontId="34" fillId="55" borderId="64" xfId="81" applyFont="1" applyFill="1" applyBorder="1" applyAlignment="1" applyProtection="1">
      <alignment horizontal="left" vertical="center"/>
      <protection hidden="1"/>
    </xf>
    <xf numFmtId="0" fontId="34" fillId="55" borderId="49" xfId="81" applyFont="1" applyFill="1" applyBorder="1" applyAlignment="1" applyProtection="1">
      <alignment horizontal="left" vertical="center"/>
      <protection hidden="1"/>
    </xf>
    <xf numFmtId="0" fontId="34" fillId="55" borderId="57" xfId="81" applyFont="1" applyFill="1" applyBorder="1" applyAlignment="1" applyProtection="1">
      <alignment horizontal="left" vertical="center"/>
      <protection hidden="1"/>
    </xf>
    <xf numFmtId="0" fontId="51" fillId="48" borderId="58" xfId="0" applyFont="1" applyFill="1" applyBorder="1" applyAlignment="1" applyProtection="1">
      <alignment horizontal="center" vertical="center"/>
      <protection locked="0"/>
    </xf>
    <xf numFmtId="0" fontId="51" fillId="48" borderId="47" xfId="0" applyFont="1" applyFill="1" applyBorder="1" applyAlignment="1" applyProtection="1">
      <alignment horizontal="center" vertical="center"/>
      <protection locked="0"/>
    </xf>
    <xf numFmtId="0" fontId="51" fillId="48" borderId="166" xfId="0" applyFont="1" applyFill="1" applyBorder="1" applyAlignment="1" applyProtection="1">
      <alignment horizontal="left" vertical="center" wrapText="1"/>
      <protection hidden="1"/>
    </xf>
    <xf numFmtId="0" fontId="51" fillId="48" borderId="150" xfId="0" applyFont="1" applyFill="1" applyBorder="1" applyAlignment="1" applyProtection="1">
      <alignment horizontal="left" vertical="center" wrapText="1"/>
      <protection hidden="1"/>
    </xf>
    <xf numFmtId="0" fontId="51" fillId="48" borderId="96" xfId="0" applyFont="1" applyFill="1" applyBorder="1" applyAlignment="1" applyProtection="1">
      <alignment horizontal="center" vertical="center" wrapText="1"/>
      <protection hidden="1"/>
    </xf>
    <xf numFmtId="0" fontId="51" fillId="48" borderId="144" xfId="0" applyFont="1" applyFill="1" applyBorder="1" applyAlignment="1" applyProtection="1">
      <alignment horizontal="center" vertical="center"/>
      <protection hidden="1"/>
    </xf>
    <xf numFmtId="0" fontId="157" fillId="54" borderId="30" xfId="0" applyFont="1" applyFill="1" applyBorder="1" applyAlignment="1" applyProtection="1">
      <alignment horizontal="center" vertical="center" wrapText="1"/>
      <protection hidden="1"/>
    </xf>
    <xf numFmtId="0" fontId="106" fillId="55" borderId="20" xfId="0" applyFont="1" applyFill="1" applyBorder="1" applyAlignment="1" applyProtection="1">
      <alignment horizontal="center" vertical="center"/>
      <protection hidden="1"/>
    </xf>
    <xf numFmtId="0" fontId="106" fillId="55" borderId="13" xfId="0" applyFont="1" applyFill="1" applyBorder="1" applyAlignment="1" applyProtection="1">
      <alignment horizontal="center" vertical="center"/>
      <protection hidden="1"/>
    </xf>
    <xf numFmtId="0" fontId="106" fillId="55" borderId="21" xfId="0" applyFont="1" applyFill="1" applyBorder="1" applyAlignment="1" applyProtection="1">
      <alignment horizontal="center" vertical="center"/>
      <protection hidden="1"/>
    </xf>
    <xf numFmtId="0" fontId="106" fillId="55" borderId="22" xfId="0" applyFont="1" applyFill="1" applyBorder="1" applyAlignment="1" applyProtection="1">
      <alignment horizontal="center" vertical="center"/>
      <protection hidden="1"/>
    </xf>
    <xf numFmtId="0" fontId="106" fillId="55" borderId="45" xfId="0" applyFont="1" applyFill="1" applyBorder="1" applyAlignment="1" applyProtection="1">
      <alignment horizontal="center" vertical="center"/>
      <protection hidden="1"/>
    </xf>
    <xf numFmtId="0" fontId="106" fillId="55" borderId="23" xfId="0" applyFont="1" applyFill="1" applyBorder="1" applyAlignment="1" applyProtection="1">
      <alignment horizontal="center" vertical="center"/>
      <protection hidden="1"/>
    </xf>
    <xf numFmtId="0" fontId="34" fillId="55" borderId="64" xfId="81" applyFont="1" applyFill="1" applyBorder="1" applyAlignment="1" applyProtection="1">
      <alignment horizontal="center" vertical="center"/>
      <protection hidden="1"/>
    </xf>
    <xf numFmtId="0" fontId="51" fillId="55" borderId="49" xfId="0" applyFont="1" applyFill="1" applyBorder="1" applyAlignment="1" applyProtection="1">
      <alignment horizontal="center" vertical="center"/>
      <protection hidden="1"/>
    </xf>
    <xf numFmtId="0" fontId="51" fillId="55" borderId="57" xfId="0" applyFont="1" applyFill="1" applyBorder="1" applyAlignment="1" applyProtection="1">
      <alignment horizontal="center" vertical="center"/>
      <protection hidden="1"/>
    </xf>
    <xf numFmtId="0" fontId="51" fillId="54" borderId="55" xfId="81" applyFont="1" applyFill="1" applyBorder="1" applyAlignment="1" applyProtection="1">
      <alignment horizontal="center" vertical="center" wrapText="1"/>
      <protection hidden="1"/>
    </xf>
    <xf numFmtId="0" fontId="51" fillId="54" borderId="52" xfId="81" applyFont="1" applyFill="1" applyBorder="1" applyAlignment="1" applyProtection="1">
      <alignment horizontal="center" vertical="center" wrapText="1"/>
      <protection hidden="1"/>
    </xf>
    <xf numFmtId="0" fontId="51" fillId="48" borderId="0" xfId="81" applyFont="1" applyFill="1" applyAlignment="1" applyProtection="1">
      <alignment horizontal="center" vertical="center" wrapText="1"/>
      <protection hidden="1"/>
    </xf>
    <xf numFmtId="0" fontId="51" fillId="48" borderId="39" xfId="81" applyFont="1" applyFill="1" applyBorder="1" applyAlignment="1" applyProtection="1">
      <alignment horizontal="center" vertical="center" wrapText="1"/>
      <protection hidden="1"/>
    </xf>
    <xf numFmtId="0" fontId="51" fillId="48" borderId="0" xfId="81" applyFont="1" applyFill="1" applyBorder="1" applyAlignment="1" applyProtection="1">
      <alignment horizontal="center" vertical="center" wrapText="1"/>
      <protection hidden="1"/>
    </xf>
    <xf numFmtId="0" fontId="51" fillId="0" borderId="0" xfId="0" applyFont="1" applyAlignment="1">
      <alignment wrapText="1"/>
    </xf>
    <xf numFmtId="0" fontId="21" fillId="0" borderId="98" xfId="0" applyFont="1" applyBorder="1" applyAlignment="1">
      <alignment wrapText="1"/>
    </xf>
    <xf numFmtId="0" fontId="0" fillId="0" borderId="73" xfId="0" applyBorder="1" applyAlignment="1">
      <alignment wrapText="1"/>
    </xf>
    <xf numFmtId="0" fontId="0" fillId="0" borderId="99" xfId="0" applyBorder="1" applyAlignment="1">
      <alignment wrapText="1"/>
    </xf>
    <xf numFmtId="0" fontId="0" fillId="0" borderId="0" xfId="0" applyAlignment="1">
      <alignment wrapText="1"/>
    </xf>
    <xf numFmtId="168" fontId="83" fillId="0" borderId="58" xfId="55" applyNumberFormat="1" applyFont="1" applyBorder="1" applyAlignment="1">
      <alignment vertical="center" wrapText="1"/>
    </xf>
    <xf numFmtId="0" fontId="83" fillId="0" borderId="61" xfId="0" applyFont="1" applyBorder="1" applyAlignment="1">
      <alignment vertical="center" wrapText="1"/>
    </xf>
    <xf numFmtId="0" fontId="83" fillId="0" borderId="47" xfId="0" applyFont="1" applyBorder="1" applyAlignment="1">
      <alignment vertical="center" wrapText="1"/>
    </xf>
    <xf numFmtId="189" fontId="21" fillId="0" borderId="0" xfId="55" applyNumberFormat="1" applyFont="1" applyAlignment="1" applyProtection="1">
      <alignment horizontal="center" vertical="center" wrapText="1"/>
      <protection hidden="1"/>
    </xf>
    <xf numFmtId="0" fontId="94" fillId="0" borderId="0" xfId="0" applyFont="1" applyAlignment="1">
      <alignment vertical="center" wrapText="1"/>
    </xf>
    <xf numFmtId="0" fontId="0" fillId="0" borderId="0" xfId="0" applyAlignment="1">
      <alignment vertical="center" wrapText="1"/>
    </xf>
    <xf numFmtId="168" fontId="83" fillId="0" borderId="0" xfId="55" applyNumberFormat="1" applyFont="1" applyAlignment="1">
      <alignment vertical="center" wrapText="1"/>
    </xf>
    <xf numFmtId="0" fontId="83" fillId="0" borderId="0" xfId="0" applyFont="1" applyAlignment="1">
      <alignment vertical="center"/>
    </xf>
    <xf numFmtId="0" fontId="31" fillId="0" borderId="0" xfId="0" applyFont="1" applyAlignment="1">
      <alignment horizontal="center" vertical="center"/>
    </xf>
    <xf numFmtId="0" fontId="35" fillId="0" borderId="32" xfId="0" applyFont="1" applyBorder="1" applyAlignment="1">
      <alignment horizontal="center" vertical="center" wrapText="1"/>
    </xf>
    <xf numFmtId="0" fontId="0" fillId="0" borderId="29" xfId="0" applyBorder="1" applyAlignment="1">
      <alignment vertical="center" wrapText="1"/>
    </xf>
    <xf numFmtId="3" fontId="45" fillId="43" borderId="58" xfId="55" applyNumberFormat="1" applyFont="1" applyFill="1" applyBorder="1" applyAlignment="1" applyProtection="1">
      <alignment horizontal="center" vertical="center" wrapText="1"/>
      <protection locked="0" hidden="1"/>
    </xf>
    <xf numFmtId="0" fontId="45" fillId="43" borderId="61" xfId="0" applyFont="1" applyFill="1" applyBorder="1" applyAlignment="1" applyProtection="1">
      <alignment vertical="center" wrapText="1"/>
      <protection hidden="1"/>
    </xf>
    <xf numFmtId="0" fontId="45" fillId="43" borderId="47" xfId="0" applyFont="1" applyFill="1" applyBorder="1" applyAlignment="1" applyProtection="1">
      <alignment vertical="center" wrapText="1"/>
      <protection hidden="1"/>
    </xf>
    <xf numFmtId="0" fontId="35" fillId="0" borderId="145" xfId="0" applyFont="1" applyBorder="1" applyAlignment="1">
      <alignment vertical="center" wrapText="1"/>
    </xf>
    <xf numFmtId="0" fontId="0" fillId="0" borderId="140" xfId="0" applyBorder="1" applyAlignment="1">
      <alignment vertical="center" wrapText="1"/>
    </xf>
    <xf numFmtId="0" fontId="0" fillId="0" borderId="69" xfId="0" applyBorder="1" applyAlignment="1">
      <alignment vertical="center" wrapText="1"/>
    </xf>
    <xf numFmtId="0" fontId="35" fillId="0" borderId="29" xfId="0" applyFont="1" applyBorder="1" applyAlignment="1">
      <alignment horizontal="center" vertical="center" wrapText="1"/>
    </xf>
    <xf numFmtId="0" fontId="33" fillId="0" borderId="32" xfId="0" applyFont="1" applyBorder="1" applyAlignment="1">
      <alignment horizontal="center" vertical="center" wrapText="1"/>
    </xf>
    <xf numFmtId="0" fontId="33" fillId="0" borderId="29" xfId="0" applyFont="1" applyBorder="1" applyAlignment="1">
      <alignment horizontal="center" vertical="center" wrapText="1"/>
    </xf>
    <xf numFmtId="0" fontId="105" fillId="41" borderId="24" xfId="0" applyFont="1" applyFill="1" applyBorder="1" applyAlignment="1">
      <alignment horizontal="left" vertical="center" indent="2"/>
    </xf>
    <xf numFmtId="0" fontId="105" fillId="41" borderId="25" xfId="0" applyFont="1" applyFill="1" applyBorder="1" applyAlignment="1">
      <alignment horizontal="left" vertical="center" indent="2"/>
    </xf>
    <xf numFmtId="0" fontId="105" fillId="41" borderId="26" xfId="0" applyFont="1" applyFill="1" applyBorder="1" applyAlignment="1">
      <alignment horizontal="left" vertical="center" indent="2"/>
    </xf>
    <xf numFmtId="0" fontId="106" fillId="41" borderId="96" xfId="0" applyFont="1" applyFill="1" applyBorder="1" applyAlignment="1" applyProtection="1">
      <alignment horizontal="center" vertical="center" wrapText="1"/>
      <protection hidden="1"/>
    </xf>
    <xf numFmtId="0" fontId="106" fillId="41" borderId="144" xfId="0" applyFont="1" applyFill="1" applyBorder="1" applyAlignment="1" applyProtection="1">
      <alignment vertical="center"/>
      <protection hidden="1"/>
    </xf>
    <xf numFmtId="0" fontId="86" fillId="42" borderId="20" xfId="0" applyFont="1" applyFill="1" applyBorder="1" applyAlignment="1">
      <alignment horizontal="center" vertical="center"/>
    </xf>
    <xf numFmtId="0" fontId="86" fillId="42" borderId="13" xfId="0" applyFont="1" applyFill="1" applyBorder="1" applyAlignment="1">
      <alignment horizontal="center" vertical="center"/>
    </xf>
    <xf numFmtId="0" fontId="86" fillId="42" borderId="21" xfId="0" applyFont="1" applyFill="1" applyBorder="1" applyAlignment="1">
      <alignment horizontal="center" vertical="center"/>
    </xf>
    <xf numFmtId="0" fontId="86" fillId="42" borderId="22" xfId="0" applyFont="1" applyFill="1" applyBorder="1" applyAlignment="1">
      <alignment horizontal="center" vertical="center"/>
    </xf>
    <xf numFmtId="0" fontId="86" fillId="42" borderId="45" xfId="0" applyFont="1" applyFill="1" applyBorder="1" applyAlignment="1">
      <alignment horizontal="center" vertical="center"/>
    </xf>
    <xf numFmtId="0" fontId="86" fillId="42" borderId="23" xfId="0" applyFont="1" applyFill="1" applyBorder="1" applyAlignment="1">
      <alignment horizontal="center" vertical="center"/>
    </xf>
    <xf numFmtId="0" fontId="46" fillId="29" borderId="58" xfId="0" applyFont="1" applyFill="1" applyBorder="1" applyAlignment="1" applyProtection="1">
      <alignment horizontal="center" vertical="center"/>
      <protection locked="0"/>
    </xf>
    <xf numFmtId="0" fontId="46" fillId="29" borderId="47" xfId="0" applyFont="1" applyFill="1" applyBorder="1" applyAlignment="1" applyProtection="1">
      <alignment horizontal="center" vertical="center"/>
      <protection locked="0"/>
    </xf>
    <xf numFmtId="0" fontId="106" fillId="41" borderId="166" xfId="0" applyFont="1" applyFill="1" applyBorder="1" applyAlignment="1" applyProtection="1">
      <alignment horizontal="left" vertical="center" wrapText="1" indent="1"/>
      <protection hidden="1"/>
    </xf>
    <xf numFmtId="0" fontId="0" fillId="0" borderId="150" xfId="0" applyBorder="1" applyAlignment="1">
      <alignment horizontal="left" vertical="center" wrapText="1" indent="1"/>
    </xf>
    <xf numFmtId="0" fontId="108" fillId="0" borderId="16" xfId="0" applyFont="1" applyFill="1" applyBorder="1" applyAlignment="1">
      <alignment vertical="center" wrapText="1"/>
    </xf>
    <xf numFmtId="0" fontId="1" fillId="47" borderId="16" xfId="0" applyFont="1" applyFill="1" applyBorder="1" applyAlignment="1">
      <alignment horizontal="center" vertical="center"/>
    </xf>
    <xf numFmtId="0" fontId="0" fillId="47" borderId="16" xfId="0" applyFill="1" applyBorder="1" applyAlignment="1">
      <alignment horizontal="center" vertical="center"/>
    </xf>
    <xf numFmtId="0" fontId="1" fillId="0" borderId="16" xfId="0" applyFont="1" applyFill="1" applyBorder="1" applyAlignment="1">
      <alignment horizontal="center" vertical="center"/>
    </xf>
    <xf numFmtId="0" fontId="0" fillId="0" borderId="16" xfId="0" applyFill="1" applyBorder="1" applyAlignment="1">
      <alignment horizontal="center" vertical="center"/>
    </xf>
    <xf numFmtId="0" fontId="0" fillId="0" borderId="176" xfId="0" applyBorder="1" applyAlignment="1">
      <alignment vertical="center" wrapText="1"/>
    </xf>
    <xf numFmtId="0" fontId="0" fillId="0" borderId="177" xfId="0" applyBorder="1" applyAlignment="1">
      <alignment vertical="center" wrapText="1"/>
    </xf>
    <xf numFmtId="0" fontId="0" fillId="0" borderId="178" xfId="0" applyBorder="1" applyAlignment="1">
      <alignment vertical="center" wrapText="1"/>
    </xf>
    <xf numFmtId="0" fontId="0" fillId="0" borderId="48" xfId="0" applyBorder="1" applyAlignment="1">
      <alignment vertical="center" wrapText="1"/>
    </xf>
    <xf numFmtId="0" fontId="0" fillId="0" borderId="0" xfId="0" applyBorder="1" applyAlignment="1">
      <alignment vertical="center" wrapText="1"/>
    </xf>
    <xf numFmtId="0" fontId="0" fillId="0" borderId="67" xfId="0" applyBorder="1" applyAlignment="1">
      <alignment vertical="center" wrapText="1"/>
    </xf>
    <xf numFmtId="0" fontId="0" fillId="0" borderId="179" xfId="0" applyBorder="1" applyAlignment="1">
      <alignment vertical="center" wrapText="1"/>
    </xf>
    <xf numFmtId="0" fontId="0" fillId="0" borderId="180" xfId="0" applyBorder="1" applyAlignment="1">
      <alignment vertical="center" wrapText="1"/>
    </xf>
    <xf numFmtId="0" fontId="0" fillId="0" borderId="181" xfId="0" applyBorder="1" applyAlignment="1">
      <alignment vertical="center" wrapText="1"/>
    </xf>
    <xf numFmtId="0" fontId="26" fillId="34" borderId="29" xfId="0" applyFont="1" applyFill="1" applyBorder="1" applyAlignment="1" applyProtection="1">
      <alignment vertical="center" wrapText="1"/>
      <protection locked="0"/>
    </xf>
    <xf numFmtId="0" fontId="0" fillId="34" borderId="29" xfId="0" applyFill="1" applyBorder="1" applyAlignment="1">
      <alignment vertical="center" wrapText="1"/>
    </xf>
    <xf numFmtId="0" fontId="0" fillId="34" borderId="29" xfId="0" applyFill="1" applyBorder="1" applyAlignment="1"/>
    <xf numFmtId="0" fontId="0" fillId="0" borderId="0" xfId="0" applyBorder="1" applyAlignment="1">
      <alignment vertical="center"/>
    </xf>
    <xf numFmtId="0" fontId="2" fillId="24" borderId="16" xfId="0" applyFont="1" applyFill="1" applyBorder="1" applyAlignment="1" applyProtection="1">
      <alignment horizontal="left" vertical="center" wrapText="1" indent="1"/>
    </xf>
    <xf numFmtId="0" fontId="2" fillId="25" borderId="16" xfId="0" applyFont="1" applyFill="1" applyBorder="1" applyAlignment="1" applyProtection="1">
      <alignment horizontal="left" vertical="center" wrapText="1" indent="1"/>
      <protection hidden="1"/>
    </xf>
    <xf numFmtId="0" fontId="34" fillId="0" borderId="16" xfId="0" applyFont="1" applyBorder="1" applyAlignment="1" applyProtection="1">
      <alignment horizontal="left" vertical="center" wrapText="1" indent="1"/>
    </xf>
    <xf numFmtId="0" fontId="26" fillId="0" borderId="16" xfId="0" applyFont="1" applyBorder="1" applyAlignment="1">
      <alignment horizontal="center" vertical="center"/>
    </xf>
    <xf numFmtId="0" fontId="0" fillId="0" borderId="16" xfId="0" applyBorder="1" applyAlignment="1">
      <alignment horizontal="center"/>
    </xf>
    <xf numFmtId="0" fontId="0" fillId="0" borderId="16" xfId="0" applyBorder="1" applyAlignment="1">
      <alignment vertical="center"/>
    </xf>
    <xf numFmtId="0" fontId="1" fillId="0" borderId="0" xfId="0" applyFont="1" applyAlignment="1">
      <alignment vertical="center" wrapText="1"/>
    </xf>
    <xf numFmtId="0" fontId="0" fillId="0" borderId="74" xfId="0" applyBorder="1" applyAlignment="1">
      <alignment vertical="center"/>
    </xf>
    <xf numFmtId="0" fontId="0" fillId="0" borderId="73" xfId="0" applyBorder="1" applyAlignment="1">
      <alignment vertical="center"/>
    </xf>
    <xf numFmtId="0" fontId="34" fillId="1" borderId="16" xfId="0" applyFont="1" applyFill="1" applyBorder="1" applyAlignment="1" applyProtection="1">
      <alignment horizontal="left" vertical="center" wrapText="1" indent="1"/>
    </xf>
    <xf numFmtId="0" fontId="1" fillId="0" borderId="0" xfId="0" applyFont="1" applyAlignment="1">
      <alignment vertical="center"/>
    </xf>
    <xf numFmtId="0" fontId="0" fillId="0" borderId="0" xfId="0" applyAlignment="1">
      <alignment vertical="center"/>
    </xf>
    <xf numFmtId="0" fontId="69" fillId="0" borderId="16" xfId="0" applyFont="1" applyBorder="1" applyAlignment="1" applyProtection="1">
      <alignment vertical="center"/>
      <protection hidden="1"/>
    </xf>
    <xf numFmtId="0" fontId="1" fillId="0" borderId="182" xfId="0" applyFont="1" applyBorder="1" applyAlignment="1">
      <alignment horizontal="center" vertical="center" wrapText="1"/>
    </xf>
    <xf numFmtId="0" fontId="0" fillId="0" borderId="183" xfId="0" applyBorder="1" applyAlignment="1">
      <alignment horizontal="center" vertical="center" wrapText="1"/>
    </xf>
    <xf numFmtId="0" fontId="36" fillId="0" borderId="145" xfId="0" applyFont="1" applyBorder="1" applyAlignment="1">
      <alignment vertical="center"/>
    </xf>
    <xf numFmtId="0" fontId="36" fillId="0" borderId="140" xfId="0" applyFont="1" applyBorder="1" applyAlignment="1">
      <alignment vertical="center"/>
    </xf>
    <xf numFmtId="0" fontId="0" fillId="0" borderId="140" xfId="0" applyBorder="1" applyAlignment="1">
      <alignment vertical="center"/>
    </xf>
    <xf numFmtId="0" fontId="26" fillId="0" borderId="16" xfId="0" applyFont="1" applyFill="1" applyBorder="1" applyAlignment="1">
      <alignment horizontal="center" vertical="center"/>
    </xf>
    <xf numFmtId="0" fontId="0" fillId="0" borderId="16" xfId="0" applyFill="1" applyBorder="1" applyAlignment="1">
      <alignment horizontal="center"/>
    </xf>
    <xf numFmtId="0" fontId="34" fillId="0" borderId="16" xfId="0" applyFont="1" applyBorder="1" applyAlignment="1" applyProtection="1">
      <alignment horizontal="left" vertical="center" wrapText="1"/>
    </xf>
    <xf numFmtId="0" fontId="0" fillId="0" borderId="16" xfId="0" applyBorder="1" applyAlignment="1">
      <alignment horizontal="center" vertical="center"/>
    </xf>
    <xf numFmtId="0" fontId="76" fillId="27" borderId="20" xfId="0" applyFont="1" applyFill="1" applyBorder="1" applyAlignment="1">
      <alignment horizontal="center" vertical="center" wrapText="1"/>
    </xf>
    <xf numFmtId="0" fontId="76" fillId="27" borderId="13" xfId="0" applyFont="1" applyFill="1" applyBorder="1" applyAlignment="1">
      <alignment horizontal="center" vertical="center" wrapText="1"/>
    </xf>
    <xf numFmtId="0" fontId="0" fillId="0" borderId="21" xfId="0" applyBorder="1" applyAlignment="1">
      <alignment vertical="center"/>
    </xf>
    <xf numFmtId="0" fontId="1" fillId="42" borderId="16" xfId="0" applyFont="1" applyFill="1" applyBorder="1" applyAlignment="1">
      <alignment horizontal="center" vertical="center"/>
    </xf>
    <xf numFmtId="0" fontId="0" fillId="42" borderId="16" xfId="0" applyFill="1" applyBorder="1" applyAlignment="1">
      <alignment horizontal="center" vertical="center"/>
    </xf>
    <xf numFmtId="0" fontId="1" fillId="39" borderId="16" xfId="0" applyFont="1" applyFill="1" applyBorder="1" applyAlignment="1">
      <alignment horizontal="center" vertical="center"/>
    </xf>
    <xf numFmtId="0" fontId="0" fillId="39" borderId="16" xfId="0" applyFill="1" applyBorder="1" applyAlignment="1">
      <alignment horizontal="center" vertical="center"/>
    </xf>
    <xf numFmtId="0" fontId="37" fillId="48" borderId="0" xfId="0" applyFont="1" applyFill="1" applyAlignment="1" applyProtection="1">
      <alignment horizontal="center"/>
      <protection hidden="1"/>
    </xf>
    <xf numFmtId="0" fontId="1" fillId="46" borderId="58" xfId="82" applyFont="1" applyFill="1" applyBorder="1" applyAlignment="1" applyProtection="1">
      <alignment vertical="center" wrapText="1"/>
    </xf>
    <xf numFmtId="0" fontId="1" fillId="46" borderId="47" xfId="82" applyFont="1" applyFill="1" applyBorder="1" applyAlignment="1" applyProtection="1">
      <alignment vertical="center" wrapText="1"/>
    </xf>
    <xf numFmtId="0" fontId="126" fillId="48" borderId="42" xfId="82" applyFill="1" applyBorder="1" applyAlignment="1" applyProtection="1">
      <alignment vertical="center"/>
    </xf>
    <xf numFmtId="0" fontId="1" fillId="0" borderId="24" xfId="97" applyBorder="1" applyAlignment="1" applyProtection="1">
      <alignment horizontal="left" vertical="center" wrapText="1" indent="1"/>
    </xf>
    <xf numFmtId="0" fontId="0" fillId="0" borderId="27" xfId="0" applyBorder="1" applyAlignment="1" applyProtection="1">
      <alignment horizontal="left" vertical="center" wrapText="1" indent="1"/>
    </xf>
    <xf numFmtId="0" fontId="0" fillId="0" borderId="34" xfId="0" applyBorder="1" applyAlignment="1" applyProtection="1">
      <alignment horizontal="left" vertical="center" wrapText="1" indent="1"/>
    </xf>
    <xf numFmtId="0" fontId="126" fillId="44" borderId="64" xfId="82" applyFill="1" applyBorder="1" applyAlignment="1" applyProtection="1">
      <alignment vertical="center" wrapText="1"/>
    </xf>
    <xf numFmtId="0" fontId="0" fillId="44" borderId="57" xfId="0" applyFill="1" applyBorder="1" applyAlignment="1" applyProtection="1">
      <alignment vertical="center" wrapText="1"/>
    </xf>
    <xf numFmtId="0" fontId="135" fillId="48" borderId="20" xfId="82" applyFont="1" applyFill="1" applyBorder="1" applyAlignment="1" applyProtection="1">
      <alignment horizontal="left" vertical="center"/>
    </xf>
    <xf numFmtId="0" fontId="135" fillId="48" borderId="21" xfId="82" applyFont="1" applyFill="1" applyBorder="1" applyAlignment="1" applyProtection="1">
      <alignment horizontal="left" vertical="center"/>
    </xf>
    <xf numFmtId="0" fontId="135" fillId="48" borderId="22" xfId="82" applyFont="1" applyFill="1" applyBorder="1" applyAlignment="1" applyProtection="1">
      <alignment horizontal="left" vertical="center"/>
    </xf>
    <xf numFmtId="0" fontId="135" fillId="48" borderId="23" xfId="82" applyFont="1" applyFill="1" applyBorder="1" applyAlignment="1" applyProtection="1">
      <alignment horizontal="left" vertical="center"/>
    </xf>
    <xf numFmtId="0" fontId="1" fillId="46" borderId="129" xfId="82" applyFont="1" applyFill="1" applyBorder="1" applyAlignment="1">
      <alignment vertical="center" wrapText="1"/>
    </xf>
    <xf numFmtId="0" fontId="1" fillId="46" borderId="169" xfId="82" applyFont="1" applyFill="1" applyBorder="1" applyAlignment="1">
      <alignment vertical="center" wrapText="1"/>
    </xf>
    <xf numFmtId="0" fontId="1" fillId="0" borderId="24" xfId="97" applyBorder="1" applyAlignment="1">
      <alignment horizontal="left" vertical="center" wrapText="1" indent="1"/>
    </xf>
    <xf numFmtId="0" fontId="0" fillId="0" borderId="27" xfId="0" applyBorder="1" applyAlignment="1">
      <alignment horizontal="left" vertical="center" wrapText="1" indent="1"/>
    </xf>
    <xf numFmtId="0" fontId="0" fillId="0" borderId="34" xfId="0" applyBorder="1" applyAlignment="1">
      <alignment horizontal="left" vertical="center" wrapText="1" indent="1"/>
    </xf>
    <xf numFmtId="0" fontId="126" fillId="44" borderId="64" xfId="82" applyFill="1" applyBorder="1" applyAlignment="1">
      <alignment vertical="center" wrapText="1"/>
    </xf>
    <xf numFmtId="0" fontId="0" fillId="44" borderId="57" xfId="0" applyFill="1" applyBorder="1" applyAlignment="1">
      <alignment vertical="center" wrapText="1"/>
    </xf>
    <xf numFmtId="0" fontId="135" fillId="48" borderId="20" xfId="82" applyFont="1" applyFill="1" applyBorder="1" applyAlignment="1">
      <alignment horizontal="left" vertical="center"/>
    </xf>
    <xf numFmtId="0" fontId="135" fillId="48" borderId="21" xfId="82" applyFont="1" applyFill="1" applyBorder="1" applyAlignment="1">
      <alignment horizontal="left" vertical="center"/>
    </xf>
    <xf numFmtId="0" fontId="135" fillId="48" borderId="39" xfId="82" applyFont="1" applyFill="1" applyBorder="1" applyAlignment="1">
      <alignment horizontal="left" vertical="center"/>
    </xf>
    <xf numFmtId="0" fontId="135" fillId="48" borderId="40" xfId="82" applyFont="1" applyFill="1" applyBorder="1" applyAlignment="1">
      <alignment horizontal="left" vertical="center"/>
    </xf>
    <xf numFmtId="0" fontId="135" fillId="48" borderId="22" xfId="82" applyFont="1" applyFill="1" applyBorder="1" applyAlignment="1">
      <alignment horizontal="left" vertical="center"/>
    </xf>
    <xf numFmtId="0" fontId="135" fillId="48" borderId="23" xfId="82" applyFont="1" applyFill="1" applyBorder="1" applyAlignment="1">
      <alignment horizontal="left" vertical="center"/>
    </xf>
    <xf numFmtId="0" fontId="135" fillId="0" borderId="20" xfId="82" applyFont="1" applyBorder="1" applyAlignment="1">
      <alignment horizontal="left" vertical="center"/>
    </xf>
    <xf numFmtId="0" fontId="135" fillId="0" borderId="21" xfId="82" applyFont="1" applyBorder="1" applyAlignment="1">
      <alignment horizontal="left" vertical="center"/>
    </xf>
    <xf numFmtId="0" fontId="135" fillId="0" borderId="22" xfId="82" applyFont="1" applyBorder="1" applyAlignment="1">
      <alignment horizontal="left" vertical="center"/>
    </xf>
    <xf numFmtId="0" fontId="135" fillId="0" borderId="23" xfId="82" applyFont="1" applyBorder="1" applyAlignment="1">
      <alignment horizontal="left" vertical="center"/>
    </xf>
    <xf numFmtId="0" fontId="137" fillId="0" borderId="184" xfId="82" applyFont="1" applyFill="1" applyBorder="1" applyAlignment="1">
      <alignment vertical="center" wrapText="1"/>
    </xf>
    <xf numFmtId="0" fontId="26" fillId="0" borderId="185" xfId="81" applyFont="1" applyBorder="1" applyAlignment="1">
      <alignment vertical="center" wrapText="1"/>
    </xf>
    <xf numFmtId="0" fontId="26" fillId="46" borderId="143" xfId="81" applyFont="1" applyFill="1" applyBorder="1" applyAlignment="1">
      <alignment horizontal="left" wrapText="1"/>
    </xf>
    <xf numFmtId="0" fontId="26" fillId="46" borderId="169" xfId="81" applyFont="1" applyFill="1" applyBorder="1" applyAlignment="1">
      <alignment horizontal="left" wrapText="1"/>
    </xf>
    <xf numFmtId="0" fontId="1" fillId="0" borderId="27" xfId="97" applyBorder="1" applyAlignment="1">
      <alignment horizontal="left" vertical="center" wrapText="1" indent="1"/>
    </xf>
    <xf numFmtId="0" fontId="138" fillId="46" borderId="98" xfId="82" applyFont="1" applyFill="1" applyBorder="1" applyAlignment="1">
      <alignment vertical="center" wrapText="1"/>
    </xf>
    <xf numFmtId="0" fontId="26" fillId="46" borderId="99" xfId="81" applyFont="1" applyFill="1" applyBorder="1" applyAlignment="1">
      <alignment vertical="center" wrapText="1"/>
    </xf>
    <xf numFmtId="0" fontId="59" fillId="0" borderId="28" xfId="82" applyFont="1" applyFill="1" applyBorder="1" applyAlignment="1">
      <alignment vertical="center" wrapText="1"/>
    </xf>
    <xf numFmtId="0" fontId="1" fillId="0" borderId="28" xfId="81" applyFont="1" applyBorder="1" applyAlignment="1"/>
    <xf numFmtId="0" fontId="1" fillId="0" borderId="29" xfId="81" applyFont="1" applyBorder="1" applyAlignment="1"/>
    <xf numFmtId="0" fontId="59" fillId="49" borderId="32" xfId="82" applyFont="1" applyFill="1" applyBorder="1" applyAlignment="1">
      <alignment vertical="center" wrapText="1"/>
    </xf>
    <xf numFmtId="0" fontId="1" fillId="49" borderId="28" xfId="81" applyFont="1" applyFill="1" applyBorder="1" applyAlignment="1">
      <alignment vertical="center"/>
    </xf>
    <xf numFmtId="0" fontId="1" fillId="49" borderId="29" xfId="81" applyFont="1" applyFill="1" applyBorder="1" applyAlignment="1">
      <alignment vertical="center"/>
    </xf>
    <xf numFmtId="0" fontId="1" fillId="48" borderId="32" xfId="81" applyFont="1" applyFill="1" applyBorder="1" applyAlignment="1" applyProtection="1">
      <alignment horizontal="left" vertical="center" wrapText="1"/>
    </xf>
    <xf numFmtId="0" fontId="1" fillId="48" borderId="28" xfId="81" applyFont="1" applyFill="1" applyBorder="1" applyAlignment="1">
      <alignment horizontal="left" vertical="center" wrapText="1"/>
    </xf>
    <xf numFmtId="0" fontId="1" fillId="48" borderId="29" xfId="81" applyFont="1" applyFill="1" applyBorder="1" applyAlignment="1">
      <alignment horizontal="left" vertical="center" wrapText="1"/>
    </xf>
    <xf numFmtId="0" fontId="38" fillId="28" borderId="64" xfId="0" applyFont="1" applyFill="1" applyBorder="1" applyAlignment="1">
      <alignment vertical="center" wrapText="1"/>
    </xf>
    <xf numFmtId="0" fontId="38" fillId="28" borderId="57" xfId="0" applyFont="1" applyFill="1" applyBorder="1" applyAlignment="1">
      <alignment vertical="center" wrapText="1"/>
    </xf>
    <xf numFmtId="0" fontId="16" fillId="29" borderId="0" xfId="73" applyFill="1" applyAlignment="1" applyProtection="1">
      <alignment horizontal="center" vertical="center" textRotation="90"/>
    </xf>
  </cellXfs>
  <cellStyles count="98">
    <cellStyle name="20% - Accent1" xfId="1" builtinId="30" customBuiltin="1"/>
    <cellStyle name="20% - Accent1 2" xfId="2"/>
    <cellStyle name="20% - Accent2" xfId="3" builtinId="34" customBuiltin="1"/>
    <cellStyle name="20% - Accent2 2" xfId="4"/>
    <cellStyle name="20% - Accent3" xfId="5" builtinId="38" customBuiltin="1"/>
    <cellStyle name="20% - Accent3 2" xfId="6"/>
    <cellStyle name="20% - Accent4" xfId="7" builtinId="42" customBuiltin="1"/>
    <cellStyle name="20% - Accent4 2" xfId="8"/>
    <cellStyle name="20% - Accent5" xfId="9" builtinId="46" customBuiltin="1"/>
    <cellStyle name="20% - Accent5 2" xfId="10"/>
    <cellStyle name="20% - Accent6" xfId="11" builtinId="50" customBuiltin="1"/>
    <cellStyle name="20% - Accent6 2" xfId="12"/>
    <cellStyle name="40% - Accent1" xfId="13" builtinId="31" customBuiltin="1"/>
    <cellStyle name="40% - Accent1 2" xfId="14"/>
    <cellStyle name="40% - Accent2" xfId="15" builtinId="35" customBuiltin="1"/>
    <cellStyle name="40% - Accent2 2" xfId="16"/>
    <cellStyle name="40% - Accent3" xfId="17" builtinId="39" customBuiltin="1"/>
    <cellStyle name="40% - Accent3 2" xfId="18"/>
    <cellStyle name="40% - Accent4" xfId="19" builtinId="43" customBuiltin="1"/>
    <cellStyle name="40% - Accent4 2" xfId="20"/>
    <cellStyle name="40% - Accent5" xfId="21" builtinId="47" customBuiltin="1"/>
    <cellStyle name="40% - Accent5 2" xfId="22"/>
    <cellStyle name="40% - Accent6" xfId="23" builtinId="51" customBuiltin="1"/>
    <cellStyle name="40% - Accent6 2" xfId="24"/>
    <cellStyle name="60% - Accent1" xfId="25" builtinId="32" customBuiltin="1"/>
    <cellStyle name="60% - Accent1 2" xfId="26"/>
    <cellStyle name="60% - Accent2" xfId="27" builtinId="36" customBuiltin="1"/>
    <cellStyle name="60% - Accent2 2" xfId="28"/>
    <cellStyle name="60% - Accent3" xfId="29" builtinId="40" customBuiltin="1"/>
    <cellStyle name="60% - Accent3 2" xfId="30"/>
    <cellStyle name="60% - Accent4" xfId="31" builtinId="44" customBuiltin="1"/>
    <cellStyle name="60% - Accent4 2" xfId="32"/>
    <cellStyle name="60% - Accent5" xfId="33" builtinId="48" customBuiltin="1"/>
    <cellStyle name="60% - Accent5 2" xfId="34"/>
    <cellStyle name="60% - Accent6" xfId="35" builtinId="52" customBuiltin="1"/>
    <cellStyle name="60% - Accent6 2" xfId="36"/>
    <cellStyle name="Accent1" xfId="37" builtinId="29" customBuiltin="1"/>
    <cellStyle name="Accent1 2" xfId="38"/>
    <cellStyle name="Accent2" xfId="39" builtinId="33" customBuiltin="1"/>
    <cellStyle name="Accent2 2" xfId="40"/>
    <cellStyle name="Accent3" xfId="41" builtinId="37" customBuiltin="1"/>
    <cellStyle name="Accent3 2" xfId="42"/>
    <cellStyle name="Accent4" xfId="43" builtinId="41" customBuiltin="1"/>
    <cellStyle name="Accent4 2" xfId="44"/>
    <cellStyle name="Accent5" xfId="45" builtinId="45" customBuiltin="1"/>
    <cellStyle name="Accent5 2" xfId="46"/>
    <cellStyle name="Accent6" xfId="47" builtinId="49" customBuiltin="1"/>
    <cellStyle name="Accent6 2" xfId="48"/>
    <cellStyle name="Bad" xfId="49" builtinId="27" customBuiltin="1"/>
    <cellStyle name="Bad 2" xfId="50"/>
    <cellStyle name="Calculation" xfId="51" builtinId="22" customBuiltin="1"/>
    <cellStyle name="Calculation 2" xfId="52"/>
    <cellStyle name="Check Cell" xfId="53" builtinId="23" customBuiltin="1"/>
    <cellStyle name="Check Cell 2" xfId="54"/>
    <cellStyle name="Comma" xfId="55" builtinId="3"/>
    <cellStyle name="Comma 2" xfId="56"/>
    <cellStyle name="Comma 3" xfId="57"/>
    <cellStyle name="Comma 4" xfId="58"/>
    <cellStyle name="Currency" xfId="59" builtinId="4"/>
    <cellStyle name="Currency 2" xfId="60"/>
    <cellStyle name="Explanatory Text" xfId="61" builtinId="53" customBuiltin="1"/>
    <cellStyle name="Explanatory Text 2" xfId="62"/>
    <cellStyle name="Good" xfId="63" builtinId="26" customBuiltin="1"/>
    <cellStyle name="Good 2" xfId="64"/>
    <cellStyle name="Heading 1" xfId="65" builtinId="16" customBuiltin="1"/>
    <cellStyle name="Heading 1 2" xfId="66"/>
    <cellStyle name="Heading 2" xfId="67" builtinId="17" customBuiltin="1"/>
    <cellStyle name="Heading 2 2" xfId="68"/>
    <cellStyle name="Heading 3" xfId="69" builtinId="18" customBuiltin="1"/>
    <cellStyle name="Heading 3 2" xfId="70"/>
    <cellStyle name="Heading 4" xfId="71" builtinId="19" customBuiltin="1"/>
    <cellStyle name="Heading 4 2" xfId="72"/>
    <cellStyle name="Hyperlink" xfId="73" builtinId="8"/>
    <cellStyle name="Hyperlink 2" xfId="74"/>
    <cellStyle name="Input" xfId="75" builtinId="20" customBuiltin="1"/>
    <cellStyle name="Input 2" xfId="76"/>
    <cellStyle name="Linked Cell" xfId="77" builtinId="24" customBuiltin="1"/>
    <cellStyle name="Linked Cell 2" xfId="78"/>
    <cellStyle name="Neutral" xfId="79" builtinId="28" customBuiltin="1"/>
    <cellStyle name="Neutral 2" xfId="80"/>
    <cellStyle name="Normal" xfId="0" builtinId="0"/>
    <cellStyle name="Normal 2" xfId="81"/>
    <cellStyle name="Normal 3" xfId="82"/>
    <cellStyle name="Normal 3 2" xfId="83"/>
    <cellStyle name="Normal 4" xfId="97"/>
    <cellStyle name="Normal_Sheet1" xfId="84"/>
    <cellStyle name="Note" xfId="85" builtinId="10" customBuiltin="1"/>
    <cellStyle name="Note 2" xfId="86"/>
    <cellStyle name="Output" xfId="87" builtinId="21" customBuiltin="1"/>
    <cellStyle name="Output 2" xfId="88"/>
    <cellStyle name="Percent" xfId="89" builtinId="5"/>
    <cellStyle name="Percent 2" xfId="90"/>
    <cellStyle name="Title" xfId="91" builtinId="15" customBuiltin="1"/>
    <cellStyle name="Title 2" xfId="92"/>
    <cellStyle name="Total" xfId="93" builtinId="25" customBuiltin="1"/>
    <cellStyle name="Total 2" xfId="94"/>
    <cellStyle name="Warning Text" xfId="95" builtinId="11" customBuiltin="1"/>
    <cellStyle name="Warning Text 2" xfId="96"/>
  </cellStyles>
  <dxfs count="125">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4.9989318521683403E-2"/>
        </patternFill>
      </fill>
    </dxf>
    <dxf>
      <font>
        <color rgb="FFFF0000"/>
      </font>
    </dxf>
    <dxf>
      <font>
        <color rgb="FFFF000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E5E5E5"/>
        </patternFill>
      </fill>
    </dxf>
    <dxf>
      <fill>
        <patternFill>
          <bgColor rgb="FFE5E5E5"/>
        </patternFill>
      </fill>
    </dxf>
    <dxf>
      <fill>
        <patternFill>
          <bgColor rgb="FFE5E5E5"/>
        </patternFill>
      </fill>
    </dxf>
    <dxf>
      <fill>
        <patternFill>
          <bgColor rgb="FFE5E5E5"/>
        </patternFill>
      </fill>
    </dxf>
    <dxf>
      <fill>
        <patternFill>
          <bgColor rgb="FFE5E5E5"/>
        </patternFill>
      </fill>
    </dxf>
    <dxf>
      <fill>
        <patternFill>
          <bgColor rgb="FFE5E5E5"/>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theme="3" tint="0.79998168889431442"/>
      </font>
      <fill>
        <patternFill>
          <bgColor theme="3" tint="0.79998168889431442"/>
        </patternFill>
      </fill>
    </dxf>
    <dxf>
      <font>
        <color auto="1"/>
      </font>
      <fill>
        <patternFill>
          <bgColor rgb="FFE5E5E5"/>
        </patternFill>
      </fill>
    </dxf>
    <dxf>
      <font>
        <color auto="1"/>
      </font>
      <fill>
        <patternFill>
          <bgColor rgb="FFE5E5E5"/>
        </patternFill>
      </fill>
    </dxf>
    <dxf>
      <font>
        <color auto="1"/>
      </font>
      <fill>
        <patternFill>
          <bgColor rgb="FFE5E5E5"/>
        </patternFill>
      </fill>
    </dxf>
    <dxf>
      <font>
        <color auto="1"/>
      </font>
      <fill>
        <patternFill>
          <bgColor rgb="FFE5E5E5"/>
        </patternFill>
      </fill>
    </dxf>
    <dxf>
      <font>
        <color auto="1"/>
      </font>
      <fill>
        <patternFill>
          <bgColor rgb="FFE5E5E5"/>
        </patternFill>
      </fill>
    </dxf>
    <dxf>
      <font>
        <color auto="1"/>
      </font>
      <fill>
        <patternFill>
          <bgColor rgb="FFE5E5E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ndense val="0"/>
        <extend val="0"/>
        <color indexed="9"/>
      </font>
      <fill>
        <patternFill patternType="none">
          <bgColor indexed="65"/>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10"/>
      </font>
    </dxf>
    <dxf>
      <font>
        <condense val="0"/>
        <extend val="0"/>
        <color indexed="14"/>
      </font>
    </dxf>
    <dxf>
      <font>
        <condense val="0"/>
        <extend val="0"/>
        <color indexed="9"/>
      </font>
    </dxf>
    <dxf>
      <font>
        <condense val="0"/>
        <extend val="0"/>
        <color indexed="10"/>
      </font>
    </dxf>
    <dxf>
      <font>
        <condense val="0"/>
        <extend val="0"/>
        <color indexed="14"/>
      </font>
    </dxf>
    <dxf>
      <font>
        <condense val="0"/>
        <extend val="0"/>
        <color indexed="9"/>
      </font>
    </dxf>
    <dxf>
      <font>
        <condense val="0"/>
        <extend val="0"/>
        <color indexed="10"/>
      </font>
    </dxf>
    <dxf>
      <font>
        <condense val="0"/>
        <extend val="0"/>
        <color indexed="14"/>
      </font>
    </dxf>
    <dxf>
      <font>
        <condense val="0"/>
        <extend val="0"/>
        <color indexed="9"/>
      </font>
    </dxf>
    <dxf>
      <font>
        <condense val="0"/>
        <extend val="0"/>
        <color indexed="10"/>
      </font>
    </dxf>
    <dxf>
      <font>
        <condense val="0"/>
        <extend val="0"/>
        <color indexed="14"/>
      </font>
    </dxf>
    <dxf>
      <font>
        <condense val="0"/>
        <extend val="0"/>
        <color indexed="9"/>
      </font>
    </dxf>
    <dxf>
      <font>
        <condense val="0"/>
        <extend val="0"/>
        <color indexed="10"/>
      </font>
    </dxf>
    <dxf>
      <font>
        <condense val="0"/>
        <extend val="0"/>
        <color indexed="14"/>
      </font>
    </dxf>
    <dxf>
      <font>
        <condense val="0"/>
        <extend val="0"/>
        <color indexed="9"/>
      </font>
    </dxf>
    <dxf>
      <font>
        <condense val="0"/>
        <extend val="0"/>
        <color indexed="10"/>
      </font>
    </dxf>
    <dxf>
      <font>
        <condense val="0"/>
        <extend val="0"/>
        <color indexed="14"/>
      </font>
    </dxf>
    <dxf>
      <font>
        <color theme="4" tint="0.79998168889431442"/>
      </font>
    </dxf>
    <dxf>
      <font>
        <color theme="4" tint="0.79998168889431442"/>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E5E5E5"/>
        </patternFill>
      </fill>
    </dxf>
    <dxf>
      <font>
        <condense val="0"/>
        <extend val="0"/>
        <color indexed="9"/>
      </font>
      <fill>
        <patternFill patternType="none">
          <bgColor indexed="65"/>
        </patternFill>
      </fill>
      <border>
        <left/>
        <right/>
        <top/>
        <bottom/>
      </border>
    </dxf>
  </dxfs>
  <tableStyles count="0" defaultTableStyle="TableStyleMedium9" defaultPivotStyle="PivotStyleLight16"/>
  <colors>
    <mruColors>
      <color rgb="FFE5E5E5"/>
      <color rgb="FFFFFFCC"/>
      <color rgb="FFEAEAEA"/>
      <color rgb="FFCCFF99"/>
      <color rgb="FFEFEFEF"/>
      <color rgb="FF1144AB"/>
      <color rgb="FFE6E6E6"/>
      <color rgb="FFF0B6E4"/>
      <color rgb="FF61D7DD"/>
      <color rgb="FFD898D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8BD21D10-EC42-11CE-9E0D-00AA006002F3}" ax:persistence="persistStreamInit" r:id="rId1"/>
</file>

<file path=xl/activeX/activeX89.xml><?xml version="1.0" encoding="utf-8"?>
<ax:ocx xmlns:ax="http://schemas.microsoft.com/office/2006/activeX" xmlns:r="http://schemas.openxmlformats.org/officeDocument/2006/relationships" ax:classid="{8BD21D10-EC42-11CE-9E0D-00AA006002F3}" ax:persistence="persistStreamInit" r:id="rId1"/>
</file>

<file path=xl/activeX/activeX90.xml><?xml version="1.0" encoding="utf-8"?>
<ax:ocx xmlns:ax="http://schemas.microsoft.com/office/2006/activeX" xmlns:r="http://schemas.openxmlformats.org/officeDocument/2006/relationships" ax:classid="{8BD21D10-EC42-11CE-9E0D-00AA006002F3}" ax:persistence="persistStreamInit" r:id="rId1"/>
</file>

<file path=xl/activeX/activeX91.xml><?xml version="1.0" encoding="utf-8"?>
<ax:ocx xmlns:ax="http://schemas.microsoft.com/office/2006/activeX" xmlns:r="http://schemas.openxmlformats.org/officeDocument/2006/relationships" ax:classid="{8BD21D10-EC42-11CE-9E0D-00AA006002F3}" ax:persistence="persistStreamInit" r:id="rId1"/>
</file>

<file path=xl/activeX/activeX92.xml><?xml version="1.0" encoding="utf-8"?>
<ax:ocx xmlns:ax="http://schemas.microsoft.com/office/2006/activeX" xmlns:r="http://schemas.openxmlformats.org/officeDocument/2006/relationships" ax:classid="{8BD21D10-EC42-11CE-9E0D-00AA006002F3}" ax:persistence="persistStreamInit" r:id="rId1"/>
</file>

<file path=xl/activeX/activeX93.xml><?xml version="1.0" encoding="utf-8"?>
<ax:ocx xmlns:ax="http://schemas.microsoft.com/office/2006/activeX" xmlns:r="http://schemas.openxmlformats.org/officeDocument/2006/relationships" ax:classid="{8BD21D10-EC42-11CE-9E0D-00AA006002F3}" ax:persistence="persistStreamInit" r:id="rId1"/>
</file>

<file path=xl/activeX/activeX94.xml><?xml version="1.0" encoding="utf-8"?>
<ax:ocx xmlns:ax="http://schemas.microsoft.com/office/2006/activeX" xmlns:r="http://schemas.openxmlformats.org/officeDocument/2006/relationships" ax:classid="{8BD21D10-EC42-11CE-9E0D-00AA006002F3}" ax:persistence="persistStreamInit" r:id="rId1"/>
</file>

<file path=xl/activeX/activeX95.xml><?xml version="1.0" encoding="utf-8"?>
<ax:ocx xmlns:ax="http://schemas.microsoft.com/office/2006/activeX" xmlns:r="http://schemas.openxmlformats.org/officeDocument/2006/relationships" ax:classid="{8BD21D10-EC42-11CE-9E0D-00AA006002F3}" ax:persistence="persistStreamInit" r:id="rId1"/>
</file>

<file path=xl/activeX/activeX96.xml><?xml version="1.0" encoding="utf-8"?>
<ax:ocx xmlns:ax="http://schemas.microsoft.com/office/2006/activeX" xmlns:r="http://schemas.openxmlformats.org/officeDocument/2006/relationships" ax:classid="{8BD21D10-EC42-11CE-9E0D-00AA006002F3}" ax:persistence="persistStreamInit" r:id="rId1"/>
</file>

<file path=xl/activeX/activeX97.xml><?xml version="1.0" encoding="utf-8"?>
<ax:ocx xmlns:ax="http://schemas.microsoft.com/office/2006/activeX" xmlns:r="http://schemas.openxmlformats.org/officeDocument/2006/relationships" ax:classid="{8BD21D10-EC42-11CE-9E0D-00AA006002F3}" ax:persistence="persistStreamInit" r:id="rId1"/>
</file>

<file path=xl/activeX/activeX98.xml><?xml version="1.0" encoding="utf-8"?>
<ax:ocx xmlns:ax="http://schemas.microsoft.com/office/2006/activeX" xmlns:r="http://schemas.openxmlformats.org/officeDocument/2006/relationships" ax:classid="{8BD21D1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8BD21D10-EC42-11CE-9E0D-00AA006002F3}" ax:persistence="persistStreamInit" r:id="rId1"/>
</file>

<file path=xl/activeX/activeX101.xml><?xml version="1.0" encoding="utf-8"?>
<ax:ocx xmlns:ax="http://schemas.microsoft.com/office/2006/activeX" xmlns:r="http://schemas.openxmlformats.org/officeDocument/2006/relationships" ax:classid="{8BD21D10-EC42-11CE-9E0D-00AA006002F3}" ax:persistence="persistStreamInit" r:id="rId1"/>
</file>

<file path=xl/activeX/activeX102.xml><?xml version="1.0" encoding="utf-8"?>
<ax:ocx xmlns:ax="http://schemas.microsoft.com/office/2006/activeX" xmlns:r="http://schemas.openxmlformats.org/officeDocument/2006/relationships" ax:classid="{8BD21D10-EC42-11CE-9E0D-00AA006002F3}" ax:persistence="persistStreamInit" r:id="rId1"/>
</file>

<file path=xl/activeX/activeX103.xml><?xml version="1.0" encoding="utf-8"?>
<ax:ocx xmlns:ax="http://schemas.microsoft.com/office/2006/activeX" xmlns:r="http://schemas.openxmlformats.org/officeDocument/2006/relationships" ax:classid="{8BD21D10-EC42-11CE-9E0D-00AA006002F3}" ax:persistence="persistStreamInit" r:id="rId1"/>
</file>

<file path=xl/activeX/activeX104.xml><?xml version="1.0" encoding="utf-8"?>
<ax:ocx xmlns:ax="http://schemas.microsoft.com/office/2006/activeX" xmlns:r="http://schemas.openxmlformats.org/officeDocument/2006/relationships" ax:classid="{8BD21D10-EC42-11CE-9E0D-00AA006002F3}" ax:persistence="persistStreamInit" r:id="rId1"/>
</file>

<file path=xl/activeX/activeX105.xml><?xml version="1.0" encoding="utf-8"?>
<ax:ocx xmlns:ax="http://schemas.microsoft.com/office/2006/activeX" xmlns:r="http://schemas.openxmlformats.org/officeDocument/2006/relationships" ax:classid="{8BD21D10-EC42-11CE-9E0D-00AA006002F3}" ax:persistence="persistStreamInit" r:id="rId1"/>
</file>

<file path=xl/activeX/activeX106.xml><?xml version="1.0" encoding="utf-8"?>
<ax:ocx xmlns:ax="http://schemas.microsoft.com/office/2006/activeX" xmlns:r="http://schemas.openxmlformats.org/officeDocument/2006/relationships" ax:classid="{8BD21D10-EC42-11CE-9E0D-00AA006002F3}" ax:persistence="persistStreamInit" r:id="rId1"/>
</file>

<file path=xl/activeX/activeX107.xml><?xml version="1.0" encoding="utf-8"?>
<ax:ocx xmlns:ax="http://schemas.microsoft.com/office/2006/activeX" xmlns:r="http://schemas.openxmlformats.org/officeDocument/2006/relationships" ax:classid="{8BD21D10-EC42-11CE-9E0D-00AA006002F3}" ax:persistence="persistStreamInit" r:id="rId1"/>
</file>

<file path=xl/activeX/activeX108.xml><?xml version="1.0" encoding="utf-8"?>
<ax:ocx xmlns:ax="http://schemas.microsoft.com/office/2006/activeX" xmlns:r="http://schemas.openxmlformats.org/officeDocument/2006/relationships" ax:classid="{8BD21D10-EC42-11CE-9E0D-00AA006002F3}" ax:persistence="persistStreamInit" r:id="rId1"/>
</file>

<file path=xl/activeX/activeX109.xml><?xml version="1.0" encoding="utf-8"?>
<ax:ocx xmlns:ax="http://schemas.microsoft.com/office/2006/activeX" xmlns:r="http://schemas.openxmlformats.org/officeDocument/2006/relationships" ax:classid="{8BD21D10-EC42-11CE-9E0D-00AA006002F3}" ax:persistence="persistStreamInit" r:id="rId1"/>
</file>

<file path=xl/activeX/activeX110.xml><?xml version="1.0" encoding="utf-8"?>
<ax:ocx xmlns:ax="http://schemas.microsoft.com/office/2006/activeX" xmlns:r="http://schemas.openxmlformats.org/officeDocument/2006/relationships" ax:classid="{8BD21D10-EC42-11CE-9E0D-00AA006002F3}" ax:persistence="persistStreamInit" r:id="rId1"/>
</file>

<file path=xl/activeX/activeX111.xml><?xml version="1.0" encoding="utf-8"?>
<ax:ocx xmlns:ax="http://schemas.microsoft.com/office/2006/activeX" xmlns:r="http://schemas.openxmlformats.org/officeDocument/2006/relationships" ax:classid="{8BD21D10-EC42-11CE-9E0D-00AA006002F3}" ax:persistence="persistStreamInit" r:id="rId1"/>
</file>

<file path=xl/activeX/activeX112.xml><?xml version="1.0" encoding="utf-8"?>
<ax:ocx xmlns:ax="http://schemas.microsoft.com/office/2006/activeX" xmlns:r="http://schemas.openxmlformats.org/officeDocument/2006/relationships" ax:classid="{8BD21D1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8BD21D10-EC42-11CE-9E0D-00AA006002F3}" ax:persistence="persistStreamInit" r:id="rId1"/>
</file>

<file path=xl/activeX/activeX125.xml><?xml version="1.0" encoding="utf-8"?>
<ax:ocx xmlns:ax="http://schemas.microsoft.com/office/2006/activeX" xmlns:r="http://schemas.openxmlformats.org/officeDocument/2006/relationships" ax:classid="{8BD21D10-EC42-11CE-9E0D-00AA006002F3}" ax:persistence="persistStreamInit" r:id="rId1"/>
</file>

<file path=xl/activeX/activeX126.xml><?xml version="1.0" encoding="utf-8"?>
<ax:ocx xmlns:ax="http://schemas.microsoft.com/office/2006/activeX" xmlns:r="http://schemas.openxmlformats.org/officeDocument/2006/relationships" ax:classid="{8BD21D10-EC42-11CE-9E0D-00AA006002F3}" ax:persistence="persistStreamInit" r:id="rId1"/>
</file>

<file path=xl/activeX/activeX127.xml><?xml version="1.0" encoding="utf-8"?>
<ax:ocx xmlns:ax="http://schemas.microsoft.com/office/2006/activeX" xmlns:r="http://schemas.openxmlformats.org/officeDocument/2006/relationships" ax:classid="{8BD21D10-EC42-11CE-9E0D-00AA006002F3}" ax:persistence="persistStreamInit" r:id="rId1"/>
</file>

<file path=xl/activeX/activeX128.xml><?xml version="1.0" encoding="utf-8"?>
<ax:ocx xmlns:ax="http://schemas.microsoft.com/office/2006/activeX" xmlns:r="http://schemas.openxmlformats.org/officeDocument/2006/relationships" ax:classid="{8BD21D10-EC42-11CE-9E0D-00AA006002F3}" ax:persistence="persistStreamInit" r:id="rId1"/>
</file>

<file path=xl/activeX/activeX129.xml><?xml version="1.0" encoding="utf-8"?>
<ax:ocx xmlns:ax="http://schemas.microsoft.com/office/2006/activeX" xmlns:r="http://schemas.openxmlformats.org/officeDocument/2006/relationships" ax:classid="{8BD21D10-EC42-11CE-9E0D-00AA006002F3}" ax:persistence="persistStreamInit" r:id="rId1"/>
</file>

<file path=xl/activeX/activeX130.xml><?xml version="1.0" encoding="utf-8"?>
<ax:ocx xmlns:ax="http://schemas.microsoft.com/office/2006/activeX" xmlns:r="http://schemas.openxmlformats.org/officeDocument/2006/relationships" ax:classid="{8BD21D10-EC42-11CE-9E0D-00AA006002F3}" ax:persistence="persistStreamInit" r:id="rId1"/>
</file>

<file path=xl/activeX/activeX131.xml><?xml version="1.0" encoding="utf-8"?>
<ax:ocx xmlns:ax="http://schemas.microsoft.com/office/2006/activeX" xmlns:r="http://schemas.openxmlformats.org/officeDocument/2006/relationships" ax:classid="{8BD21D10-EC42-11CE-9E0D-00AA006002F3}"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8BD21D50-EC42-11CE-9E0D-00AA006002F3}" ax:persistence="persistStreamInit" r:id="rId1"/>
</file>

<file path=xl/activeX/activeX153.xml><?xml version="1.0" encoding="utf-8"?>
<ax:ocx xmlns:ax="http://schemas.microsoft.com/office/2006/activeX" xmlns:r="http://schemas.openxmlformats.org/officeDocument/2006/relationships" ax:classid="{8BD21D50-EC42-11CE-9E0D-00AA006002F3}" ax:persistence="persistStreamInit" r:id="rId1"/>
</file>

<file path=xl/activeX/activeX154.xml><?xml version="1.0" encoding="utf-8"?>
<ax:ocx xmlns:ax="http://schemas.microsoft.com/office/2006/activeX" xmlns:r="http://schemas.openxmlformats.org/officeDocument/2006/relationships" ax:classid="{8BD21D5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Heat Balance - Current Condition</a:t>
            </a:r>
          </a:p>
        </c:rich>
      </c:tx>
      <c:layout>
        <c:manualLayout>
          <c:xMode val="edge"/>
          <c:yMode val="edge"/>
          <c:x val="0.18813313877975482"/>
          <c:y val="2.7701219234889062E-2"/>
        </c:manualLayout>
      </c:layout>
      <c:overlay val="0"/>
    </c:title>
    <c:autoTitleDeleted val="0"/>
    <c:plotArea>
      <c:layout>
        <c:manualLayout>
          <c:layoutTarget val="inner"/>
          <c:xMode val="edge"/>
          <c:yMode val="edge"/>
          <c:x val="9.678923720607209E-2"/>
          <c:y val="7.642179752753589E-2"/>
          <c:w val="0.76161731977930336"/>
          <c:h val="0.83713807340825519"/>
        </c:manualLayout>
      </c:layout>
      <c:ofPieChart>
        <c:ofPieType val="bar"/>
        <c:varyColors val="1"/>
        <c:ser>
          <c:idx val="0"/>
          <c:order val="0"/>
          <c:dPt>
            <c:idx val="0"/>
            <c:bubble3D val="0"/>
            <c:spPr>
              <a:solidFill>
                <a:schemeClr val="accent3">
                  <a:lumMod val="60000"/>
                  <a:lumOff val="40000"/>
                </a:schemeClr>
              </a:solidFill>
            </c:spPr>
          </c:dPt>
          <c:dPt>
            <c:idx val="1"/>
            <c:bubble3D val="0"/>
            <c:spPr>
              <a:solidFill>
                <a:schemeClr val="bg2">
                  <a:lumMod val="75000"/>
                </a:schemeClr>
              </a:solidFill>
            </c:spPr>
          </c:dPt>
          <c:dPt>
            <c:idx val="2"/>
            <c:bubble3D val="0"/>
            <c:spPr>
              <a:solidFill>
                <a:schemeClr val="accent4">
                  <a:lumMod val="40000"/>
                  <a:lumOff val="60000"/>
                </a:schemeClr>
              </a:solidFill>
            </c:spPr>
          </c:dPt>
          <c:dPt>
            <c:idx val="3"/>
            <c:bubble3D val="0"/>
            <c:spPr>
              <a:solidFill>
                <a:schemeClr val="tx2">
                  <a:lumMod val="40000"/>
                  <a:lumOff val="60000"/>
                </a:schemeClr>
              </a:solidFill>
            </c:spPr>
          </c:dPt>
          <c:dPt>
            <c:idx val="4"/>
            <c:bubble3D val="0"/>
            <c:spPr>
              <a:solidFill>
                <a:schemeClr val="accent5">
                  <a:lumMod val="40000"/>
                  <a:lumOff val="60000"/>
                </a:schemeClr>
              </a:solidFill>
            </c:spPr>
          </c:dPt>
          <c:dPt>
            <c:idx val="5"/>
            <c:bubble3D val="0"/>
            <c:spPr>
              <a:solidFill>
                <a:schemeClr val="accent6">
                  <a:lumMod val="40000"/>
                  <a:lumOff val="60000"/>
                </a:schemeClr>
              </a:solidFill>
            </c:spPr>
          </c:dPt>
          <c:dPt>
            <c:idx val="6"/>
            <c:bubble3D val="0"/>
            <c:spPr>
              <a:solidFill>
                <a:srgbClr val="F0B6E4"/>
              </a:solidFill>
            </c:spPr>
          </c:dPt>
          <c:dPt>
            <c:idx val="7"/>
            <c:bubble3D val="0"/>
            <c:spPr>
              <a:solidFill>
                <a:schemeClr val="accent2">
                  <a:lumMod val="60000"/>
                  <a:lumOff val="40000"/>
                </a:schemeClr>
              </a:solidFill>
            </c:spPr>
          </c:dPt>
          <c:dPt>
            <c:idx val="8"/>
            <c:bubble3D val="0"/>
            <c:spPr>
              <a:solidFill>
                <a:schemeClr val="bg1">
                  <a:lumMod val="75000"/>
                </a:schemeClr>
              </a:solidFill>
            </c:spPr>
          </c:dPt>
          <c:dLbls>
            <c:dLbl>
              <c:idx val="4"/>
              <c:layout>
                <c:manualLayout>
                  <c:x val="-6.7226878894218415E-3"/>
                  <c:y val="2.8943564455418857E-2"/>
                </c:manualLayout>
              </c:layout>
              <c:dLblPos val="bestFit"/>
              <c:showLegendKey val="0"/>
              <c:showVal val="0"/>
              <c:showCatName val="1"/>
              <c:showSerName val="0"/>
              <c:showPercent val="1"/>
              <c:showBubbleSize val="0"/>
              <c:separator>
</c:separator>
            </c:dLbl>
            <c:dLbl>
              <c:idx val="5"/>
              <c:layout>
                <c:manualLayout>
                  <c:x val="2.2408959631406138E-3"/>
                  <c:y val="2.3289668770174063E-2"/>
                </c:manualLayout>
              </c:layout>
              <c:dLblPos val="bestFit"/>
              <c:showLegendKey val="0"/>
              <c:showVal val="0"/>
              <c:showCatName val="1"/>
              <c:showSerName val="0"/>
              <c:showPercent val="1"/>
              <c:showBubbleSize val="0"/>
              <c:separator>
</c:separator>
            </c:dLbl>
            <c:dLbl>
              <c:idx val="6"/>
              <c:layout>
                <c:manualLayout>
                  <c:x val="-2.2408959631406138E-3"/>
                  <c:y val="4.0520990237586402E-2"/>
                </c:manualLayout>
              </c:layout>
              <c:dLblPos val="bestFit"/>
              <c:showLegendKey val="0"/>
              <c:showVal val="0"/>
              <c:showCatName val="1"/>
              <c:showSerName val="0"/>
              <c:showPercent val="1"/>
              <c:showBubbleSize val="0"/>
              <c:separator>
</c:separator>
            </c:dLbl>
            <c:dLbl>
              <c:idx val="8"/>
              <c:layout/>
              <c:dLblPos val="bestFit"/>
              <c:showLegendKey val="0"/>
              <c:showVal val="0"/>
              <c:showCatName val="1"/>
              <c:showSerName val="0"/>
              <c:showPercent val="1"/>
              <c:showBubbleSize val="0"/>
            </c:dLbl>
            <c:numFmt formatCode="0.00%" sourceLinked="0"/>
            <c:txPr>
              <a:bodyPr/>
              <a:lstStyle/>
              <a:p>
                <a:pPr>
                  <a:defRPr sz="1100"/>
                </a:pPr>
                <a:endParaRPr lang="en-US"/>
              </a:p>
            </c:txPr>
            <c:dLblPos val="bestFit"/>
            <c:showLegendKey val="0"/>
            <c:showVal val="0"/>
            <c:showCatName val="1"/>
            <c:showSerName val="0"/>
            <c:showPercent val="1"/>
            <c:showBubbleSize val="0"/>
            <c:separator>
</c:separator>
            <c:showLeaderLines val="1"/>
          </c:dLbls>
          <c:cat>
            <c:strRef>
              <c:f>'Energy Usage Distribution'!$I$35:$J$42</c:f>
              <c:strCache>
                <c:ptCount val="8"/>
                <c:pt idx="0">
                  <c:v>Charge-load</c:v>
                </c:pt>
                <c:pt idx="1">
                  <c:v>Fixtures etc.</c:v>
                </c:pt>
                <c:pt idx="2">
                  <c:v>Wall surfaces </c:v>
                </c:pt>
                <c:pt idx="3">
                  <c:v>Water/air cooling </c:v>
                </c:pt>
                <c:pt idx="4">
                  <c:v>Atmosphere </c:v>
                </c:pt>
                <c:pt idx="5">
                  <c:v>Openings</c:v>
                </c:pt>
                <c:pt idx="6">
                  <c:v>Other loss </c:v>
                </c:pt>
                <c:pt idx="7">
                  <c:v>Flue gases</c:v>
                </c:pt>
              </c:strCache>
            </c:strRef>
          </c:cat>
          <c:val>
            <c:numRef>
              <c:f>'Energy Usage Distribution'!$K$35:$K$42</c:f>
              <c:numCache>
                <c:formatCode>#,##0.00_ ;\-#,##0.00\ </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showLeaderLines val="1"/>
        </c:dLbls>
        <c:gapWidth val="100"/>
        <c:splitType val="percent"/>
        <c:splitPos val="2"/>
        <c:secondPieSize val="75"/>
        <c:serLines/>
      </c:ofPieChart>
    </c:plotArea>
    <c:plotVisOnly val="1"/>
    <c:dispBlanksAs val="zero"/>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Net Heat Usage By Area</a:t>
            </a:r>
          </a:p>
        </c:rich>
      </c:tx>
      <c:layout>
        <c:manualLayout>
          <c:xMode val="edge"/>
          <c:yMode val="edge"/>
          <c:x val="0.35707774256128222"/>
          <c:y val="3.1943229318557406E-2"/>
        </c:manualLayout>
      </c:layout>
      <c:overlay val="0"/>
    </c:title>
    <c:autoTitleDeleted val="0"/>
    <c:plotArea>
      <c:layout>
        <c:manualLayout>
          <c:layoutTarget val="inner"/>
          <c:xMode val="edge"/>
          <c:yMode val="edge"/>
          <c:x val="0.19500632668850279"/>
          <c:y val="0.13862683313654117"/>
          <c:w val="0.76965772753892536"/>
          <c:h val="0.50220206946181412"/>
        </c:manualLayout>
      </c:layout>
      <c:barChart>
        <c:barDir val="col"/>
        <c:grouping val="clustered"/>
        <c:varyColors val="0"/>
        <c:ser>
          <c:idx val="0"/>
          <c:order val="0"/>
          <c:tx>
            <c:strRef>
              <c:f>'Energy Usage Distribution'!$K$34</c:f>
              <c:strCache>
                <c:ptCount val="1"/>
                <c:pt idx="0">
                  <c:v>Current </c:v>
                </c:pt>
              </c:strCache>
            </c:strRef>
          </c:tx>
          <c:spPr>
            <a:solidFill>
              <a:schemeClr val="tx2">
                <a:lumMod val="60000"/>
                <a:lumOff val="40000"/>
              </a:schemeClr>
            </a:solidFill>
          </c:spPr>
          <c:invertIfNegative val="0"/>
          <c:cat>
            <c:strRef>
              <c:f>'Energy Usage Distribution'!$I$35:$J$42</c:f>
              <c:strCache>
                <c:ptCount val="8"/>
                <c:pt idx="0">
                  <c:v>Charge-load</c:v>
                </c:pt>
                <c:pt idx="1">
                  <c:v>Fixtures etc.</c:v>
                </c:pt>
                <c:pt idx="2">
                  <c:v>Wall surfaces </c:v>
                </c:pt>
                <c:pt idx="3">
                  <c:v>Water/air cooling </c:v>
                </c:pt>
                <c:pt idx="4">
                  <c:v>Atmosphere </c:v>
                </c:pt>
                <c:pt idx="5">
                  <c:v>Openings</c:v>
                </c:pt>
                <c:pt idx="6">
                  <c:v>Other loss </c:v>
                </c:pt>
                <c:pt idx="7">
                  <c:v>Flue gases</c:v>
                </c:pt>
              </c:strCache>
            </c:strRef>
          </c:cat>
          <c:val>
            <c:numRef>
              <c:f>'Energy Usage Distribution'!$K$35:$K$42</c:f>
              <c:numCache>
                <c:formatCode>#,##0.00_ ;\-#,##0.00\ </c:formatCode>
                <c:ptCount val="8"/>
                <c:pt idx="0">
                  <c:v>0</c:v>
                </c:pt>
                <c:pt idx="1">
                  <c:v>0</c:v>
                </c:pt>
                <c:pt idx="2">
                  <c:v>0</c:v>
                </c:pt>
                <c:pt idx="3">
                  <c:v>0</c:v>
                </c:pt>
                <c:pt idx="4">
                  <c:v>0</c:v>
                </c:pt>
                <c:pt idx="5">
                  <c:v>0</c:v>
                </c:pt>
                <c:pt idx="6">
                  <c:v>0</c:v>
                </c:pt>
                <c:pt idx="7">
                  <c:v>0</c:v>
                </c:pt>
              </c:numCache>
            </c:numRef>
          </c:val>
        </c:ser>
        <c:ser>
          <c:idx val="1"/>
          <c:order val="1"/>
          <c:tx>
            <c:strRef>
              <c:f>'Energy Usage Distribution'!$L$34</c:f>
              <c:strCache>
                <c:ptCount val="1"/>
                <c:pt idx="0">
                  <c:v>Modified</c:v>
                </c:pt>
              </c:strCache>
            </c:strRef>
          </c:tx>
          <c:spPr>
            <a:solidFill>
              <a:schemeClr val="accent2">
                <a:lumMod val="60000"/>
                <a:lumOff val="40000"/>
              </a:schemeClr>
            </a:solidFill>
          </c:spPr>
          <c:invertIfNegative val="0"/>
          <c:cat>
            <c:strRef>
              <c:f>'Energy Usage Distribution'!$I$35:$J$42</c:f>
              <c:strCache>
                <c:ptCount val="8"/>
                <c:pt idx="0">
                  <c:v>Charge-load</c:v>
                </c:pt>
                <c:pt idx="1">
                  <c:v>Fixtures etc.</c:v>
                </c:pt>
                <c:pt idx="2">
                  <c:v>Wall surfaces </c:v>
                </c:pt>
                <c:pt idx="3">
                  <c:v>Water/air cooling </c:v>
                </c:pt>
                <c:pt idx="4">
                  <c:v>Atmosphere </c:v>
                </c:pt>
                <c:pt idx="5">
                  <c:v>Openings</c:v>
                </c:pt>
                <c:pt idx="6">
                  <c:v>Other loss </c:v>
                </c:pt>
                <c:pt idx="7">
                  <c:v>Flue gases</c:v>
                </c:pt>
              </c:strCache>
            </c:strRef>
          </c:cat>
          <c:val>
            <c:numRef>
              <c:f>'Energy Usage Distribution'!$L$35:$L$42</c:f>
              <c:numCache>
                <c:formatCode>#,##0.00_ ;\-#,##0.00\ </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axId val="196218240"/>
        <c:axId val="196220416"/>
      </c:barChart>
      <c:catAx>
        <c:axId val="196218240"/>
        <c:scaling>
          <c:orientation val="minMax"/>
        </c:scaling>
        <c:delete val="0"/>
        <c:axPos val="b"/>
        <c:title>
          <c:tx>
            <c:rich>
              <a:bodyPr/>
              <a:lstStyle/>
              <a:p>
                <a:pPr>
                  <a:defRPr sz="1400" b="0"/>
                </a:pPr>
                <a:r>
                  <a:rPr lang="en-US" sz="1400" b="0"/>
                  <a:t>Area of heat loss/use</a:t>
                </a:r>
              </a:p>
            </c:rich>
          </c:tx>
          <c:layout>
            <c:manualLayout>
              <c:xMode val="edge"/>
              <c:yMode val="edge"/>
              <c:x val="0.42643300880976259"/>
              <c:y val="0.90206884139482568"/>
            </c:manualLayout>
          </c:layout>
          <c:overlay val="0"/>
        </c:title>
        <c:numFmt formatCode="General" sourceLinked="1"/>
        <c:majorTickMark val="out"/>
        <c:minorTickMark val="none"/>
        <c:tickLblPos val="nextTo"/>
        <c:txPr>
          <a:bodyPr rot="-2700000" vert="horz"/>
          <a:lstStyle/>
          <a:p>
            <a:pPr>
              <a:defRPr sz="1200"/>
            </a:pPr>
            <a:endParaRPr lang="en-US"/>
          </a:p>
        </c:txPr>
        <c:crossAx val="196220416"/>
        <c:crosses val="autoZero"/>
        <c:auto val="1"/>
        <c:lblAlgn val="ctr"/>
        <c:lblOffset val="100"/>
        <c:noMultiLvlLbl val="0"/>
      </c:catAx>
      <c:valAx>
        <c:axId val="196220416"/>
        <c:scaling>
          <c:orientation val="minMax"/>
        </c:scaling>
        <c:delete val="0"/>
        <c:axPos val="l"/>
        <c:majorGridlines/>
        <c:title>
          <c:tx>
            <c:strRef>
              <c:f>'Energy Usage Distribution'!$R$10</c:f>
              <c:strCache>
                <c:ptCount val="1"/>
                <c:pt idx="0">
                  <c:v>Heat loss or use (kgce/hour)</c:v>
                </c:pt>
              </c:strCache>
            </c:strRef>
          </c:tx>
          <c:layout>
            <c:manualLayout>
              <c:xMode val="edge"/>
              <c:yMode val="edge"/>
              <c:x val="2.2460528118047305E-2"/>
              <c:y val="0.12777952755905511"/>
            </c:manualLayout>
          </c:layout>
          <c:overlay val="0"/>
          <c:txPr>
            <a:bodyPr/>
            <a:lstStyle/>
            <a:p>
              <a:pPr>
                <a:defRPr sz="1400" b="0"/>
              </a:pPr>
              <a:endParaRPr lang="en-US"/>
            </a:p>
          </c:txPr>
        </c:title>
        <c:numFmt formatCode="#,##0.00_ ;\-#,##0.00\ " sourceLinked="1"/>
        <c:majorTickMark val="out"/>
        <c:minorTickMark val="none"/>
        <c:tickLblPos val="nextTo"/>
        <c:txPr>
          <a:bodyPr rot="0" vert="horz"/>
          <a:lstStyle/>
          <a:p>
            <a:pPr>
              <a:defRPr sz="1100"/>
            </a:pPr>
            <a:endParaRPr lang="en-US"/>
          </a:p>
        </c:txPr>
        <c:crossAx val="196218240"/>
        <c:crosses val="autoZero"/>
        <c:crossBetween val="between"/>
      </c:valAx>
    </c:plotArea>
    <c:legend>
      <c:legendPos val="r"/>
      <c:layout>
        <c:manualLayout>
          <c:xMode val="edge"/>
          <c:yMode val="edge"/>
          <c:x val="0.83450210378681622"/>
          <c:y val="0.83967421465833791"/>
          <c:w val="0.15171024386978951"/>
          <c:h val="0.12044251240675623"/>
        </c:manualLayout>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Heat Balance-Modified Condition</a:t>
            </a:r>
          </a:p>
        </c:rich>
      </c:tx>
      <c:layout>
        <c:manualLayout>
          <c:xMode val="edge"/>
          <c:yMode val="edge"/>
          <c:x val="0.18385373623168899"/>
          <c:y val="1.667057898515218E-2"/>
        </c:manualLayout>
      </c:layout>
      <c:overlay val="0"/>
    </c:title>
    <c:autoTitleDeleted val="0"/>
    <c:plotArea>
      <c:layout>
        <c:manualLayout>
          <c:layoutTarget val="inner"/>
          <c:xMode val="edge"/>
          <c:yMode val="edge"/>
          <c:x val="0.10011352492310018"/>
          <c:y val="9.0024746906636668E-3"/>
          <c:w val="0.73997370841465326"/>
          <c:h val="0.90802602641384733"/>
        </c:manualLayout>
      </c:layout>
      <c:ofPieChart>
        <c:ofPieType val="bar"/>
        <c:varyColors val="1"/>
        <c:ser>
          <c:idx val="0"/>
          <c:order val="0"/>
          <c:dPt>
            <c:idx val="0"/>
            <c:bubble3D val="0"/>
            <c:spPr>
              <a:solidFill>
                <a:schemeClr val="accent3">
                  <a:lumMod val="60000"/>
                  <a:lumOff val="40000"/>
                </a:schemeClr>
              </a:solidFill>
            </c:spPr>
          </c:dPt>
          <c:dPt>
            <c:idx val="1"/>
            <c:bubble3D val="0"/>
            <c:spPr>
              <a:solidFill>
                <a:schemeClr val="bg2">
                  <a:lumMod val="75000"/>
                </a:schemeClr>
              </a:solidFill>
            </c:spPr>
          </c:dPt>
          <c:dPt>
            <c:idx val="2"/>
            <c:bubble3D val="0"/>
            <c:spPr>
              <a:solidFill>
                <a:schemeClr val="accent4">
                  <a:lumMod val="40000"/>
                  <a:lumOff val="60000"/>
                </a:schemeClr>
              </a:solidFill>
            </c:spPr>
          </c:dPt>
          <c:dPt>
            <c:idx val="3"/>
            <c:bubble3D val="0"/>
            <c:spPr>
              <a:solidFill>
                <a:schemeClr val="tx2">
                  <a:lumMod val="40000"/>
                  <a:lumOff val="60000"/>
                </a:schemeClr>
              </a:solidFill>
              <a:ln>
                <a:solidFill>
                  <a:schemeClr val="accent1"/>
                </a:solidFill>
              </a:ln>
            </c:spPr>
          </c:dPt>
          <c:dPt>
            <c:idx val="4"/>
            <c:bubble3D val="0"/>
            <c:spPr>
              <a:solidFill>
                <a:schemeClr val="accent1">
                  <a:lumMod val="40000"/>
                  <a:lumOff val="60000"/>
                </a:schemeClr>
              </a:solidFill>
            </c:spPr>
          </c:dPt>
          <c:dPt>
            <c:idx val="5"/>
            <c:bubble3D val="0"/>
            <c:spPr>
              <a:solidFill>
                <a:schemeClr val="accent6">
                  <a:lumMod val="40000"/>
                  <a:lumOff val="60000"/>
                </a:schemeClr>
              </a:solidFill>
            </c:spPr>
          </c:dPt>
          <c:dPt>
            <c:idx val="6"/>
            <c:bubble3D val="0"/>
            <c:spPr>
              <a:solidFill>
                <a:srgbClr val="F0B6E4"/>
              </a:solidFill>
            </c:spPr>
          </c:dPt>
          <c:dPt>
            <c:idx val="7"/>
            <c:bubble3D val="0"/>
            <c:spPr>
              <a:solidFill>
                <a:schemeClr val="accent2">
                  <a:lumMod val="60000"/>
                  <a:lumOff val="40000"/>
                </a:schemeClr>
              </a:solidFill>
            </c:spPr>
          </c:dPt>
          <c:dPt>
            <c:idx val="8"/>
            <c:bubble3D val="0"/>
            <c:spPr>
              <a:solidFill>
                <a:schemeClr val="bg1">
                  <a:lumMod val="75000"/>
                </a:schemeClr>
              </a:solidFill>
            </c:spPr>
          </c:dPt>
          <c:dLbls>
            <c:dLbl>
              <c:idx val="4"/>
              <c:layout>
                <c:manualLayout>
                  <c:x val="6.3492063492063489E-2"/>
                  <c:y val="2.0952380952380882E-2"/>
                </c:manualLayout>
              </c:layout>
              <c:dLblPos val="bestFit"/>
              <c:showLegendKey val="0"/>
              <c:showVal val="0"/>
              <c:showCatName val="1"/>
              <c:showSerName val="0"/>
              <c:showPercent val="1"/>
              <c:showBubbleSize val="0"/>
            </c:dLbl>
            <c:dLbl>
              <c:idx val="6"/>
              <c:layout>
                <c:manualLayout>
                  <c:x val="1.1337868480725623E-2"/>
                  <c:y val="5.1428571428571428E-2"/>
                </c:manualLayout>
              </c:layout>
              <c:dLblPos val="bestFit"/>
              <c:showLegendKey val="0"/>
              <c:showVal val="0"/>
              <c:showCatName val="1"/>
              <c:showSerName val="0"/>
              <c:showPercent val="1"/>
              <c:showBubbleSize val="0"/>
            </c:dLbl>
            <c:numFmt formatCode="0.00%" sourceLinked="0"/>
            <c:txPr>
              <a:bodyPr/>
              <a:lstStyle/>
              <a:p>
                <a:pPr>
                  <a:defRPr sz="1100"/>
                </a:pPr>
                <a:endParaRPr lang="en-US"/>
              </a:p>
            </c:txPr>
            <c:dLblPos val="bestFit"/>
            <c:showLegendKey val="0"/>
            <c:showVal val="0"/>
            <c:showCatName val="1"/>
            <c:showSerName val="0"/>
            <c:showPercent val="1"/>
            <c:showBubbleSize val="0"/>
            <c:showLeaderLines val="1"/>
          </c:dLbls>
          <c:cat>
            <c:strRef>
              <c:f>'Energy Usage Distribution pg2'!$J$33:$K$40</c:f>
              <c:strCache>
                <c:ptCount val="8"/>
                <c:pt idx="0">
                  <c:v>Charge-load</c:v>
                </c:pt>
                <c:pt idx="1">
                  <c:v>Fixtures etc.</c:v>
                </c:pt>
                <c:pt idx="2">
                  <c:v>Wall surfaces </c:v>
                </c:pt>
                <c:pt idx="3">
                  <c:v>Water/air cooling </c:v>
                </c:pt>
                <c:pt idx="4">
                  <c:v>Atmosphere </c:v>
                </c:pt>
                <c:pt idx="5">
                  <c:v>Openings</c:v>
                </c:pt>
                <c:pt idx="6">
                  <c:v>Other loss </c:v>
                </c:pt>
                <c:pt idx="7">
                  <c:v>Flue gases</c:v>
                </c:pt>
              </c:strCache>
            </c:strRef>
          </c:cat>
          <c:val>
            <c:numRef>
              <c:f>'Energy Usage Distribution pg2'!$M$33:$M$40</c:f>
              <c:numCache>
                <c:formatCode>#,##0.00_ ;\-#,##0.00\ </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showLeaderLines val="1"/>
        </c:dLbls>
        <c:gapWidth val="100"/>
        <c:splitType val="percent"/>
        <c:splitPos val="2"/>
        <c:secondPieSize val="75"/>
        <c:serLines/>
      </c:ofPieChart>
    </c:plotArea>
    <c:plotVisOnly val="1"/>
    <c:dispBlanksAs val="zero"/>
    <c:showDLblsOverMax val="0"/>
  </c:chart>
  <c:printSettings>
    <c:headerFooter/>
    <c:pageMargins b="0.75000000000000089" l="0.70000000000000062" r="0.70000000000000062" t="0.750000000000000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Net Heat Usage By Area</a:t>
            </a:r>
          </a:p>
        </c:rich>
      </c:tx>
      <c:layout/>
      <c:overlay val="0"/>
    </c:title>
    <c:autoTitleDeleted val="0"/>
    <c:plotArea>
      <c:layout>
        <c:manualLayout>
          <c:layoutTarget val="inner"/>
          <c:xMode val="edge"/>
          <c:yMode val="edge"/>
          <c:x val="0.18335830361630329"/>
          <c:y val="0.13978745974594645"/>
          <c:w val="0.75858730424654364"/>
          <c:h val="0.54391637026945605"/>
        </c:manualLayout>
      </c:layout>
      <c:barChart>
        <c:barDir val="col"/>
        <c:grouping val="clustered"/>
        <c:varyColors val="0"/>
        <c:ser>
          <c:idx val="0"/>
          <c:order val="0"/>
          <c:tx>
            <c:strRef>
              <c:f>'Energy Usage Distribution pg2'!$L$32</c:f>
              <c:strCache>
                <c:ptCount val="1"/>
                <c:pt idx="0">
                  <c:v>Current </c:v>
                </c:pt>
              </c:strCache>
            </c:strRef>
          </c:tx>
          <c:spPr>
            <a:solidFill>
              <a:schemeClr val="tx2">
                <a:lumMod val="60000"/>
                <a:lumOff val="40000"/>
              </a:schemeClr>
            </a:solidFill>
          </c:spPr>
          <c:invertIfNegative val="0"/>
          <c:cat>
            <c:strRef>
              <c:f>'Energy Usage Distribution pg2'!$J$33:$K$40</c:f>
              <c:strCache>
                <c:ptCount val="8"/>
                <c:pt idx="0">
                  <c:v>Charge-load</c:v>
                </c:pt>
                <c:pt idx="1">
                  <c:v>Fixtures etc.</c:v>
                </c:pt>
                <c:pt idx="2">
                  <c:v>Wall surfaces </c:v>
                </c:pt>
                <c:pt idx="3">
                  <c:v>Water/air cooling </c:v>
                </c:pt>
                <c:pt idx="4">
                  <c:v>Atmosphere </c:v>
                </c:pt>
                <c:pt idx="5">
                  <c:v>Openings</c:v>
                </c:pt>
                <c:pt idx="6">
                  <c:v>Other loss </c:v>
                </c:pt>
                <c:pt idx="7">
                  <c:v>Flue gases</c:v>
                </c:pt>
              </c:strCache>
            </c:strRef>
          </c:cat>
          <c:val>
            <c:numRef>
              <c:f>'Energy Usage Distribution pg2'!$L$33:$L$40</c:f>
              <c:numCache>
                <c:formatCode>#,##0.00_ ;\-#,##0.00\ </c:formatCode>
                <c:ptCount val="8"/>
                <c:pt idx="0">
                  <c:v>0</c:v>
                </c:pt>
                <c:pt idx="1">
                  <c:v>0</c:v>
                </c:pt>
                <c:pt idx="2">
                  <c:v>0</c:v>
                </c:pt>
                <c:pt idx="3">
                  <c:v>0</c:v>
                </c:pt>
                <c:pt idx="4">
                  <c:v>0</c:v>
                </c:pt>
                <c:pt idx="5">
                  <c:v>0</c:v>
                </c:pt>
                <c:pt idx="6">
                  <c:v>0</c:v>
                </c:pt>
                <c:pt idx="7">
                  <c:v>0</c:v>
                </c:pt>
              </c:numCache>
            </c:numRef>
          </c:val>
        </c:ser>
        <c:ser>
          <c:idx val="1"/>
          <c:order val="1"/>
          <c:tx>
            <c:strRef>
              <c:f>'Energy Usage Distribution pg2'!$M$32</c:f>
              <c:strCache>
                <c:ptCount val="1"/>
                <c:pt idx="0">
                  <c:v>Modified</c:v>
                </c:pt>
              </c:strCache>
            </c:strRef>
          </c:tx>
          <c:spPr>
            <a:solidFill>
              <a:schemeClr val="accent2">
                <a:lumMod val="60000"/>
                <a:lumOff val="40000"/>
              </a:schemeClr>
            </a:solidFill>
          </c:spPr>
          <c:invertIfNegative val="0"/>
          <c:cat>
            <c:strRef>
              <c:f>'Energy Usage Distribution pg2'!$J$33:$K$40</c:f>
              <c:strCache>
                <c:ptCount val="8"/>
                <c:pt idx="0">
                  <c:v>Charge-load</c:v>
                </c:pt>
                <c:pt idx="1">
                  <c:v>Fixtures etc.</c:v>
                </c:pt>
                <c:pt idx="2">
                  <c:v>Wall surfaces </c:v>
                </c:pt>
                <c:pt idx="3">
                  <c:v>Water/air cooling </c:v>
                </c:pt>
                <c:pt idx="4">
                  <c:v>Atmosphere </c:v>
                </c:pt>
                <c:pt idx="5">
                  <c:v>Openings</c:v>
                </c:pt>
                <c:pt idx="6">
                  <c:v>Other loss </c:v>
                </c:pt>
                <c:pt idx="7">
                  <c:v>Flue gases</c:v>
                </c:pt>
              </c:strCache>
            </c:strRef>
          </c:cat>
          <c:val>
            <c:numRef>
              <c:f>'Energy Usage Distribution pg2'!$M$33:$M$40</c:f>
              <c:numCache>
                <c:formatCode>#,##0.00_ ;\-#,##0.00\ </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axId val="196299008"/>
        <c:axId val="196301184"/>
      </c:barChart>
      <c:catAx>
        <c:axId val="196299008"/>
        <c:scaling>
          <c:orientation val="minMax"/>
        </c:scaling>
        <c:delete val="0"/>
        <c:axPos val="b"/>
        <c:title>
          <c:tx>
            <c:rich>
              <a:bodyPr/>
              <a:lstStyle/>
              <a:p>
                <a:pPr>
                  <a:defRPr sz="1400" b="0"/>
                </a:pPr>
                <a:r>
                  <a:rPr lang="en-US" sz="1400" b="0"/>
                  <a:t>Area of heat loss/use</a:t>
                </a:r>
              </a:p>
            </c:rich>
          </c:tx>
          <c:layout>
            <c:manualLayout>
              <c:xMode val="edge"/>
              <c:yMode val="edge"/>
              <c:x val="0.44198813124898978"/>
              <c:y val="0.91376811886006726"/>
            </c:manualLayout>
          </c:layout>
          <c:overlay val="0"/>
        </c:title>
        <c:numFmt formatCode="General" sourceLinked="1"/>
        <c:majorTickMark val="out"/>
        <c:minorTickMark val="none"/>
        <c:tickLblPos val="nextTo"/>
        <c:txPr>
          <a:bodyPr rot="-2700000" vert="horz"/>
          <a:lstStyle/>
          <a:p>
            <a:pPr>
              <a:defRPr sz="1200"/>
            </a:pPr>
            <a:endParaRPr lang="en-US"/>
          </a:p>
        </c:txPr>
        <c:crossAx val="196301184"/>
        <c:crosses val="autoZero"/>
        <c:auto val="1"/>
        <c:lblAlgn val="ctr"/>
        <c:lblOffset val="100"/>
        <c:noMultiLvlLbl val="0"/>
      </c:catAx>
      <c:valAx>
        <c:axId val="196301184"/>
        <c:scaling>
          <c:orientation val="minMax"/>
        </c:scaling>
        <c:delete val="0"/>
        <c:axPos val="l"/>
        <c:majorGridlines/>
        <c:title>
          <c:tx>
            <c:strRef>
              <c:f>'Energy Usage Distribution'!$R$10</c:f>
              <c:strCache>
                <c:ptCount val="1"/>
                <c:pt idx="0">
                  <c:v>Heat loss or use (kgce/hour)</c:v>
                </c:pt>
              </c:strCache>
            </c:strRef>
          </c:tx>
          <c:layout>
            <c:manualLayout>
              <c:xMode val="edge"/>
              <c:yMode val="edge"/>
              <c:x val="1.7765717849133882E-2"/>
              <c:y val="0.13907844861591456"/>
            </c:manualLayout>
          </c:layout>
          <c:overlay val="0"/>
          <c:txPr>
            <a:bodyPr/>
            <a:lstStyle/>
            <a:p>
              <a:pPr>
                <a:defRPr sz="1400" b="0"/>
              </a:pPr>
              <a:endParaRPr lang="en-US"/>
            </a:p>
          </c:txPr>
        </c:title>
        <c:numFmt formatCode="#,##0.00_ ;\-#,##0.00\ " sourceLinked="1"/>
        <c:majorTickMark val="out"/>
        <c:minorTickMark val="none"/>
        <c:tickLblPos val="nextTo"/>
        <c:txPr>
          <a:bodyPr rot="0" vert="horz"/>
          <a:lstStyle/>
          <a:p>
            <a:pPr>
              <a:defRPr sz="1100"/>
            </a:pPr>
            <a:endParaRPr lang="en-US"/>
          </a:p>
        </c:txPr>
        <c:crossAx val="196299008"/>
        <c:crosses val="autoZero"/>
        <c:crossBetween val="between"/>
      </c:valAx>
    </c:plotArea>
    <c:legend>
      <c:legendPos val="r"/>
      <c:layout>
        <c:manualLayout>
          <c:xMode val="edge"/>
          <c:yMode val="edge"/>
          <c:x val="0.86801040632384296"/>
          <c:y val="0.82988046456535736"/>
          <c:w val="0.12831873891869705"/>
          <c:h val="0.13521156334331452"/>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999FF"/>
            </a:solidFill>
            <a:ln w="12700">
              <a:solidFill>
                <a:srgbClr val="000000"/>
              </a:solidFill>
              <a:prstDash val="solid"/>
            </a:ln>
          </c:spPr>
          <c:dPt>
            <c:idx val="0"/>
            <c:bubble3D val="0"/>
          </c:dPt>
          <c:dLbls>
            <c:numFmt formatCode="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val>
            <c:numLit>
              <c:formatCode>General</c:formatCode>
              <c:ptCount val="1"/>
              <c:pt idx="0">
                <c:v>0</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984501045287334E-2"/>
          <c:y val="7.0270363004596451E-2"/>
          <c:w val="0.68584811024381775"/>
          <c:h val="0.8081091745528591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poly"/>
            <c:order val="4"/>
            <c:dispRSqr val="0"/>
            <c:dispEq val="1"/>
            <c:trendlineLbl>
              <c:layout>
                <c:manualLayout>
                  <c:x val="-7.349952311597488E-2"/>
                  <c:y val="-3.2613331889478937E-2"/>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'Cp calculationsHTcurrent'!$C$100:$C$120</c:f>
              <c:numCache>
                <c:formatCode>General</c:formatCode>
                <c:ptCount val="21"/>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numCache>
            </c:numRef>
          </c:xVal>
          <c:yVal>
            <c:numRef>
              <c:f>'Cp calculationsHTcurrent'!$D$100:$D$120</c:f>
              <c:numCache>
                <c:formatCode>General</c:formatCode>
                <c:ptCount val="21"/>
                <c:pt idx="0">
                  <c:v>0.44849749926931831</c:v>
                </c:pt>
                <c:pt idx="1">
                  <c:v>0.4568555110758058</c:v>
                </c:pt>
                <c:pt idx="2">
                  <c:v>0.46691154736767221</c:v>
                </c:pt>
                <c:pt idx="3">
                  <c:v>0.47770902558998685</c:v>
                </c:pt>
                <c:pt idx="4">
                  <c:v>0.4887218716036339</c:v>
                </c:pt>
                <c:pt idx="5">
                  <c:v>0.49965618240463744</c:v>
                </c:pt>
                <c:pt idx="6">
                  <c:v>0.51034835931309575</c:v>
                </c:pt>
                <c:pt idx="7">
                  <c:v>0.52071012289177676</c:v>
                </c:pt>
                <c:pt idx="8">
                  <c:v>0.53069762522047681</c:v>
                </c:pt>
                <c:pt idx="9">
                  <c:v>0.54029353238851208</c:v>
                </c:pt>
                <c:pt idx="10">
                  <c:v>0.5494963606596206</c:v>
                </c:pt>
                <c:pt idx="11">
                  <c:v>0.55831400144861698</c:v>
                </c:pt>
                <c:pt idx="12">
                  <c:v>0.56675973118800127</c:v>
                </c:pt>
                <c:pt idx="13">
                  <c:v>0.57484972884655883</c:v>
                </c:pt>
                <c:pt idx="14">
                  <c:v>0.58260152540560861</c:v>
                </c:pt>
                <c:pt idx="15">
                  <c:v>0.59003303820739295</c:v>
                </c:pt>
                <c:pt idx="16">
                  <c:v>0.59716197669583815</c:v>
                </c:pt>
                <c:pt idx="17">
                  <c:v>0.60400548597295078</c:v>
                </c:pt>
                <c:pt idx="18">
                  <c:v>0.6105799433609298</c:v>
                </c:pt>
                <c:pt idx="19">
                  <c:v>0.6169008534618301</c:v>
                </c:pt>
                <c:pt idx="20">
                  <c:v>0.62298280633425707</c:v>
                </c:pt>
              </c:numCache>
            </c:numRef>
          </c:yVal>
          <c:smooth val="0"/>
        </c:ser>
        <c:dLbls>
          <c:showLegendKey val="0"/>
          <c:showVal val="0"/>
          <c:showCatName val="0"/>
          <c:showSerName val="0"/>
          <c:showPercent val="0"/>
          <c:showBubbleSize val="0"/>
        </c:dLbls>
        <c:axId val="204835840"/>
        <c:axId val="205345536"/>
      </c:scatterChart>
      <c:valAx>
        <c:axId val="204835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345536"/>
        <c:crosses val="autoZero"/>
        <c:crossBetween val="midCat"/>
      </c:valAx>
      <c:valAx>
        <c:axId val="20534553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835840"/>
        <c:crosses val="autoZero"/>
        <c:crossBetween val="midCat"/>
      </c:valAx>
      <c:spPr>
        <a:noFill/>
        <a:ln w="25400">
          <a:noFill/>
        </a:ln>
      </c:spPr>
    </c:plotArea>
    <c:legend>
      <c:legendPos val="r"/>
      <c:layout>
        <c:manualLayout>
          <c:xMode val="edge"/>
          <c:yMode val="edge"/>
          <c:x val="0.79626814921851718"/>
          <c:y val="0.43783840533446833"/>
          <c:w val="0.19129098753791074"/>
          <c:h val="0.11891920266723416"/>
        </c:manualLayout>
      </c:layout>
      <c:overlay val="0"/>
      <c:spPr>
        <a:solidFill>
          <a:srgbClr val="FFFFFF"/>
        </a:solidFill>
        <a:ln w="3175">
          <a:solidFill>
            <a:srgbClr val="000000"/>
          </a:solidFill>
          <a:prstDash val="solid"/>
        </a:ln>
      </c:spPr>
      <c:txPr>
        <a:bodyPr/>
        <a:lstStyle/>
        <a:p>
          <a:pPr>
            <a:defRPr sz="6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99"/>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 r="0.750000000000002"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984501045287334E-2"/>
          <c:y val="7.0270363004596451E-2"/>
          <c:w val="0.68584811024381809"/>
          <c:h val="0.80810917455285913"/>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poly"/>
            <c:order val="4"/>
            <c:dispRSqr val="0"/>
            <c:dispEq val="1"/>
            <c:trendlineLbl>
              <c:layout>
                <c:manualLayout>
                  <c:x val="-7.349952311597488E-2"/>
                  <c:y val="-3.2613331889478958E-2"/>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'Cp calculationsHTmod'!$C$100:$C$120</c:f>
              <c:numCache>
                <c:formatCode>General</c:formatCode>
                <c:ptCount val="21"/>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numCache>
            </c:numRef>
          </c:xVal>
          <c:yVal>
            <c:numRef>
              <c:f>'Cp calculationsHTmod'!$D$100:$D$120</c:f>
              <c:numCache>
                <c:formatCode>General</c:formatCode>
                <c:ptCount val="21"/>
                <c:pt idx="0">
                  <c:v>0.44849749926931831</c:v>
                </c:pt>
                <c:pt idx="1">
                  <c:v>0.4568555110758058</c:v>
                </c:pt>
                <c:pt idx="2">
                  <c:v>0.46691154736767221</c:v>
                </c:pt>
                <c:pt idx="3">
                  <c:v>0.47770902558998685</c:v>
                </c:pt>
                <c:pt idx="4">
                  <c:v>0.4887218716036339</c:v>
                </c:pt>
                <c:pt idx="5">
                  <c:v>0.49965618240463744</c:v>
                </c:pt>
                <c:pt idx="6">
                  <c:v>0.51034835931309575</c:v>
                </c:pt>
                <c:pt idx="7">
                  <c:v>0.52071012289177676</c:v>
                </c:pt>
                <c:pt idx="8">
                  <c:v>0.53069762522047681</c:v>
                </c:pt>
                <c:pt idx="9">
                  <c:v>0.54029353238851208</c:v>
                </c:pt>
                <c:pt idx="10">
                  <c:v>0.5494963606596206</c:v>
                </c:pt>
                <c:pt idx="11">
                  <c:v>0.55831400144861698</c:v>
                </c:pt>
                <c:pt idx="12">
                  <c:v>0.56675973118800127</c:v>
                </c:pt>
                <c:pt idx="13">
                  <c:v>0.57484972884655883</c:v>
                </c:pt>
                <c:pt idx="14">
                  <c:v>0.58260152540560861</c:v>
                </c:pt>
                <c:pt idx="15">
                  <c:v>0.59003303820739295</c:v>
                </c:pt>
                <c:pt idx="16">
                  <c:v>0.59716197669583815</c:v>
                </c:pt>
                <c:pt idx="17">
                  <c:v>0.60400548597295078</c:v>
                </c:pt>
                <c:pt idx="18">
                  <c:v>0.6105799433609298</c:v>
                </c:pt>
                <c:pt idx="19">
                  <c:v>0.6169008534618301</c:v>
                </c:pt>
                <c:pt idx="20">
                  <c:v>0.62298280633425707</c:v>
                </c:pt>
              </c:numCache>
            </c:numRef>
          </c:yVal>
          <c:smooth val="0"/>
        </c:ser>
        <c:dLbls>
          <c:showLegendKey val="0"/>
          <c:showVal val="0"/>
          <c:showCatName val="0"/>
          <c:showSerName val="0"/>
          <c:showPercent val="0"/>
          <c:showBubbleSize val="0"/>
        </c:dLbls>
        <c:axId val="205387648"/>
        <c:axId val="205389184"/>
      </c:scatterChart>
      <c:valAx>
        <c:axId val="20538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389184"/>
        <c:crosses val="autoZero"/>
        <c:crossBetween val="midCat"/>
      </c:valAx>
      <c:valAx>
        <c:axId val="20538918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5387648"/>
        <c:crosses val="autoZero"/>
        <c:crossBetween val="midCat"/>
      </c:valAx>
      <c:spPr>
        <a:noFill/>
        <a:ln w="25400">
          <a:noFill/>
        </a:ln>
      </c:spPr>
    </c:plotArea>
    <c:legend>
      <c:legendPos val="r"/>
      <c:layout>
        <c:manualLayout>
          <c:xMode val="edge"/>
          <c:yMode val="edge"/>
          <c:x val="0.79626814921851718"/>
          <c:y val="0.43783840533446833"/>
          <c:w val="0.19129098753791074"/>
          <c:h val="0.11891920266723416"/>
        </c:manualLayout>
      </c:layout>
      <c:overlay val="0"/>
      <c:spPr>
        <a:solidFill>
          <a:srgbClr val="FFFFFF"/>
        </a:solidFill>
        <a:ln w="3175">
          <a:solidFill>
            <a:srgbClr val="000000"/>
          </a:solidFill>
          <a:prstDash val="solid"/>
        </a:ln>
      </c:spPr>
      <c:txPr>
        <a:bodyPr/>
        <a:lstStyle/>
        <a:p>
          <a:pPr>
            <a:defRPr sz="6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99"/>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22" r="0.750000000000002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'Cp calculations  (2)'!$O$64</c:f>
              <c:strCache>
                <c:ptCount val="1"/>
                <c:pt idx="0">
                  <c:v>Temp - R</c:v>
                </c:pt>
              </c:strCache>
            </c:strRef>
          </c:tx>
          <c:xVal>
            <c:numRef>
              <c:f>'Cp calculations  (2)'!$N$65:$N$80</c:f>
              <c:numCache>
                <c:formatCode>General</c:formatCode>
                <c:ptCount val="16"/>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numCache>
            </c:numRef>
          </c:xVal>
          <c:yVal>
            <c:numRef>
              <c:f>'Cp calculations  (2)'!$O$65:$O$80</c:f>
            </c:numRef>
          </c:yVal>
          <c:smooth val="0"/>
        </c:ser>
        <c:ser>
          <c:idx val="1"/>
          <c:order val="1"/>
          <c:tx>
            <c:strRef>
              <c:f>'Cp calculations  (2)'!$P$64</c:f>
              <c:strCache>
                <c:ptCount val="1"/>
                <c:pt idx="0">
                  <c:v>Cpo2</c:v>
                </c:pt>
              </c:strCache>
            </c:strRef>
          </c:tx>
          <c:xVal>
            <c:numRef>
              <c:f>'Cp calculations  (2)'!$N$65:$N$80</c:f>
              <c:numCache>
                <c:formatCode>General</c:formatCode>
                <c:ptCount val="16"/>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numCache>
            </c:numRef>
          </c:xVal>
          <c:yVal>
            <c:numRef>
              <c:f>'Cp calculations  (2)'!$P$65:$P$80</c:f>
            </c:numRef>
          </c:yVal>
          <c:smooth val="0"/>
        </c:ser>
        <c:ser>
          <c:idx val="2"/>
          <c:order val="2"/>
          <c:tx>
            <c:strRef>
              <c:f>'Cp calculations  (2)'!$Q$64</c:f>
              <c:strCache>
                <c:ptCount val="1"/>
                <c:pt idx="0">
                  <c:v>Cpn2</c:v>
                </c:pt>
              </c:strCache>
            </c:strRef>
          </c:tx>
          <c:xVal>
            <c:numRef>
              <c:f>'Cp calculations  (2)'!$N$65:$N$80</c:f>
              <c:numCache>
                <c:formatCode>General</c:formatCode>
                <c:ptCount val="16"/>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numCache>
            </c:numRef>
          </c:xVal>
          <c:yVal>
            <c:numRef>
              <c:f>'Cp calculations  (2)'!$Q$65:$Q$80</c:f>
            </c:numRef>
          </c:yVal>
          <c:smooth val="0"/>
        </c:ser>
        <c:ser>
          <c:idx val="3"/>
          <c:order val="3"/>
          <c:tx>
            <c:strRef>
              <c:f>'Cp calculations  (2)'!$R$64</c:f>
              <c:strCache>
                <c:ptCount val="1"/>
                <c:pt idx="0">
                  <c:v>Cpair</c:v>
                </c:pt>
              </c:strCache>
            </c:strRef>
          </c:tx>
          <c:spPr>
            <a:ln w="28575">
              <a:noFill/>
            </a:ln>
          </c:spPr>
          <c:trendline>
            <c:trendlineType val="poly"/>
            <c:order val="3"/>
            <c:dispRSqr val="1"/>
            <c:dispEq val="1"/>
            <c:trendlineLbl>
              <c:layout>
                <c:manualLayout>
                  <c:x val="0.40178477690288716"/>
                  <c:y val="0.42640638670166231"/>
                </c:manualLayout>
              </c:layout>
              <c:numFmt formatCode="General" sourceLinked="0"/>
              <c:txPr>
                <a:bodyPr/>
                <a:lstStyle/>
                <a:p>
                  <a:pPr>
                    <a:defRPr sz="1000" b="0" i="0" u="none" strike="noStrike" baseline="0">
                      <a:solidFill>
                        <a:srgbClr val="000000"/>
                      </a:solidFill>
                      <a:latin typeface="Calibri"/>
                      <a:ea typeface="Calibri"/>
                      <a:cs typeface="Calibri"/>
                    </a:defRPr>
                  </a:pPr>
                  <a:endParaRPr lang="en-US"/>
                </a:p>
              </c:txPr>
            </c:trendlineLbl>
          </c:trendline>
          <c:xVal>
            <c:numRef>
              <c:f>'Cp calculations  (2)'!$N$65:$N$80</c:f>
              <c:numCache>
                <c:formatCode>General</c:formatCode>
                <c:ptCount val="16"/>
                <c:pt idx="0">
                  <c:v>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numCache>
            </c:numRef>
          </c:xVal>
          <c:yVal>
            <c:numRef>
              <c:f>'Cp calculations  (2)'!$R$65:$R$80</c:f>
              <c:numCache>
                <c:formatCode>0.0000</c:formatCode>
                <c:ptCount val="16"/>
                <c:pt idx="0">
                  <c:v>0.24103252531948829</c:v>
                </c:pt>
                <c:pt idx="1">
                  <c:v>0.23399249355337293</c:v>
                </c:pt>
                <c:pt idx="2">
                  <c:v>0.23468209373836346</c:v>
                </c:pt>
                <c:pt idx="3">
                  <c:v>0.23818595553806363</c:v>
                </c:pt>
                <c:pt idx="4">
                  <c:v>0.24263244149860591</c:v>
                </c:pt>
                <c:pt idx="5">
                  <c:v>0.24725705406074186</c:v>
                </c:pt>
                <c:pt idx="6">
                  <c:v>0.25174146326191793</c:v>
                </c:pt>
                <c:pt idx="7">
                  <c:v>0.25595968191155555</c:v>
                </c:pt>
                <c:pt idx="8">
                  <c:v>0.25987191935497689</c:v>
                </c:pt>
                <c:pt idx="9">
                  <c:v>0.26347736784410369</c:v>
                </c:pt>
                <c:pt idx="10">
                  <c:v>0.26679228570160685</c:v>
                </c:pt>
                <c:pt idx="11">
                  <c:v>0.26983956444637336</c:v>
                </c:pt>
                <c:pt idx="12">
                  <c:v>0.27264373443740214</c:v>
                </c:pt>
                <c:pt idx="13">
                  <c:v>0.27522862489878591</c:v>
                </c:pt>
                <c:pt idx="14">
                  <c:v>0.27761634316319023</c:v>
                </c:pt>
                <c:pt idx="15">
                  <c:v>0.27982691241919871</c:v>
                </c:pt>
              </c:numCache>
            </c:numRef>
          </c:yVal>
          <c:smooth val="0"/>
        </c:ser>
        <c:dLbls>
          <c:showLegendKey val="0"/>
          <c:showVal val="0"/>
          <c:showCatName val="0"/>
          <c:showSerName val="0"/>
          <c:showPercent val="0"/>
          <c:showBubbleSize val="0"/>
        </c:dLbls>
        <c:axId val="208216064"/>
        <c:axId val="208217600"/>
      </c:scatterChart>
      <c:valAx>
        <c:axId val="20821606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217600"/>
        <c:crosses val="autoZero"/>
        <c:crossBetween val="midCat"/>
      </c:valAx>
      <c:valAx>
        <c:axId val="208217600"/>
        <c:scaling>
          <c:orientation val="minMax"/>
        </c:scaling>
        <c:delete val="0"/>
        <c:axPos val="l"/>
        <c:majorGridlines/>
        <c:numFmt formatCode="0.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216064"/>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8.wmf"/><Relationship Id="rId2" Type="http://schemas.openxmlformats.org/officeDocument/2006/relationships/image" Target="../media/image17.jpeg"/><Relationship Id="rId1" Type="http://schemas.openxmlformats.org/officeDocument/2006/relationships/image" Target="../media/image16.jpeg"/><Relationship Id="rId5" Type="http://schemas.openxmlformats.org/officeDocument/2006/relationships/image" Target="../media/image20.png"/><Relationship Id="rId4"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32.jpe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47.emf"/></Relationships>
</file>

<file path=xl/drawings/_rels/drawing20.xml.rels><?xml version="1.0" encoding="UTF-8" standalone="yes"?>
<Relationships xmlns="http://schemas.openxmlformats.org/package/2006/relationships"><Relationship Id="rId1" Type="http://schemas.openxmlformats.org/officeDocument/2006/relationships/image" Target="../media/image147.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6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64.jpeg"/></Relationships>
</file>

<file path=xl/drawings/_rels/drawing2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26.xml.rels><?xml version="1.0" encoding="UTF-8" standalone="yes"?>
<Relationships xmlns="http://schemas.openxmlformats.org/package/2006/relationships"><Relationship Id="rId2" Type="http://schemas.openxmlformats.org/officeDocument/2006/relationships/image" Target="../media/image167.jpeg"/><Relationship Id="rId1" Type="http://schemas.openxmlformats.org/officeDocument/2006/relationships/image" Target="../media/image166.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81.png"/><Relationship Id="rId2" Type="http://schemas.openxmlformats.org/officeDocument/2006/relationships/image" Target="../media/image180.png"/><Relationship Id="rId1" Type="http://schemas.openxmlformats.org/officeDocument/2006/relationships/image" Target="../media/image179.png"/><Relationship Id="rId5" Type="http://schemas.openxmlformats.org/officeDocument/2006/relationships/image" Target="../media/image183.png"/><Relationship Id="rId4"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3.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5.emf"/><Relationship Id="rId10" Type="http://schemas.openxmlformats.org/officeDocument/2006/relationships/image" Target="../media/image11.emf"/><Relationship Id="rId4" Type="http://schemas.openxmlformats.org/officeDocument/2006/relationships/image" Target="../media/image4.emf"/><Relationship Id="rId9" Type="http://schemas.openxmlformats.org/officeDocument/2006/relationships/image" Target="../media/image10.emf"/><Relationship Id="rId14"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4"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4.emf"/><Relationship Id="rId1" Type="http://schemas.openxmlformats.org/officeDocument/2006/relationships/image" Target="../media/image33.emf"/><Relationship Id="rId4"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56.emf"/><Relationship Id="rId18" Type="http://schemas.openxmlformats.org/officeDocument/2006/relationships/image" Target="../media/image61.emf"/><Relationship Id="rId3" Type="http://schemas.openxmlformats.org/officeDocument/2006/relationships/image" Target="../media/image46.emf"/><Relationship Id="rId7" Type="http://schemas.openxmlformats.org/officeDocument/2006/relationships/image" Target="../media/image50.emf"/><Relationship Id="rId12" Type="http://schemas.openxmlformats.org/officeDocument/2006/relationships/image" Target="../media/image55.emf"/><Relationship Id="rId17" Type="http://schemas.openxmlformats.org/officeDocument/2006/relationships/image" Target="../media/image60.emf"/><Relationship Id="rId2" Type="http://schemas.openxmlformats.org/officeDocument/2006/relationships/image" Target="../media/image45.emf"/><Relationship Id="rId16" Type="http://schemas.openxmlformats.org/officeDocument/2006/relationships/image" Target="../media/image59.emf"/><Relationship Id="rId1" Type="http://schemas.openxmlformats.org/officeDocument/2006/relationships/image" Target="../media/image44.emf"/><Relationship Id="rId6" Type="http://schemas.openxmlformats.org/officeDocument/2006/relationships/image" Target="../media/image49.emf"/><Relationship Id="rId11" Type="http://schemas.openxmlformats.org/officeDocument/2006/relationships/image" Target="../media/image54.emf"/><Relationship Id="rId5" Type="http://schemas.openxmlformats.org/officeDocument/2006/relationships/image" Target="../media/image48.emf"/><Relationship Id="rId15" Type="http://schemas.openxmlformats.org/officeDocument/2006/relationships/image" Target="../media/image58.emf"/><Relationship Id="rId10" Type="http://schemas.openxmlformats.org/officeDocument/2006/relationships/image" Target="../media/image53.emf"/><Relationship Id="rId19" Type="http://schemas.openxmlformats.org/officeDocument/2006/relationships/image" Target="../media/image43.emf"/><Relationship Id="rId4" Type="http://schemas.openxmlformats.org/officeDocument/2006/relationships/image" Target="../media/image47.emf"/><Relationship Id="rId9" Type="http://schemas.openxmlformats.org/officeDocument/2006/relationships/image" Target="../media/image52.emf"/><Relationship Id="rId14"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image" Target="../media/image74.emf"/><Relationship Id="rId18" Type="http://schemas.openxmlformats.org/officeDocument/2006/relationships/image" Target="../media/image79.emf"/><Relationship Id="rId3" Type="http://schemas.openxmlformats.org/officeDocument/2006/relationships/image" Target="../media/image64.emf"/><Relationship Id="rId7" Type="http://schemas.openxmlformats.org/officeDocument/2006/relationships/image" Target="../media/image68.emf"/><Relationship Id="rId12" Type="http://schemas.openxmlformats.org/officeDocument/2006/relationships/image" Target="../media/image73.emf"/><Relationship Id="rId17" Type="http://schemas.openxmlformats.org/officeDocument/2006/relationships/image" Target="../media/image78.emf"/><Relationship Id="rId2" Type="http://schemas.openxmlformats.org/officeDocument/2006/relationships/image" Target="../media/image63.emf"/><Relationship Id="rId16" Type="http://schemas.openxmlformats.org/officeDocument/2006/relationships/image" Target="../media/image77.emf"/><Relationship Id="rId1" Type="http://schemas.openxmlformats.org/officeDocument/2006/relationships/image" Target="../media/image62.emf"/><Relationship Id="rId6" Type="http://schemas.openxmlformats.org/officeDocument/2006/relationships/image" Target="../media/image67.emf"/><Relationship Id="rId11" Type="http://schemas.openxmlformats.org/officeDocument/2006/relationships/image" Target="../media/image72.emf"/><Relationship Id="rId5" Type="http://schemas.openxmlformats.org/officeDocument/2006/relationships/image" Target="../media/image66.emf"/><Relationship Id="rId15" Type="http://schemas.openxmlformats.org/officeDocument/2006/relationships/image" Target="../media/image76.emf"/><Relationship Id="rId10" Type="http://schemas.openxmlformats.org/officeDocument/2006/relationships/image" Target="../media/image71.emf"/><Relationship Id="rId19" Type="http://schemas.openxmlformats.org/officeDocument/2006/relationships/image" Target="../media/image80.emf"/><Relationship Id="rId4" Type="http://schemas.openxmlformats.org/officeDocument/2006/relationships/image" Target="../media/image65.emf"/><Relationship Id="rId9" Type="http://schemas.openxmlformats.org/officeDocument/2006/relationships/image" Target="../media/image70.emf"/><Relationship Id="rId14" Type="http://schemas.openxmlformats.org/officeDocument/2006/relationships/image" Target="../media/image75.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88.emf"/><Relationship Id="rId3" Type="http://schemas.openxmlformats.org/officeDocument/2006/relationships/image" Target="../media/image83.emf"/><Relationship Id="rId7" Type="http://schemas.openxmlformats.org/officeDocument/2006/relationships/image" Target="../media/image87.emf"/><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emf"/><Relationship Id="rId5" Type="http://schemas.openxmlformats.org/officeDocument/2006/relationships/image" Target="../media/image85.emf"/><Relationship Id="rId10" Type="http://schemas.openxmlformats.org/officeDocument/2006/relationships/image" Target="../media/image90.emf"/><Relationship Id="rId4" Type="http://schemas.openxmlformats.org/officeDocument/2006/relationships/image" Target="../media/image84.emf"/><Relationship Id="rId9" Type="http://schemas.openxmlformats.org/officeDocument/2006/relationships/image" Target="../media/image89.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image" Target="../media/image104.emf"/><Relationship Id="rId18" Type="http://schemas.openxmlformats.org/officeDocument/2006/relationships/image" Target="../media/image109.emf"/><Relationship Id="rId26" Type="http://schemas.openxmlformats.org/officeDocument/2006/relationships/image" Target="../media/image117.emf"/><Relationship Id="rId3" Type="http://schemas.openxmlformats.org/officeDocument/2006/relationships/image" Target="../media/image94.emf"/><Relationship Id="rId21" Type="http://schemas.openxmlformats.org/officeDocument/2006/relationships/image" Target="../media/image112.emf"/><Relationship Id="rId7" Type="http://schemas.openxmlformats.org/officeDocument/2006/relationships/image" Target="../media/image98.emf"/><Relationship Id="rId12" Type="http://schemas.openxmlformats.org/officeDocument/2006/relationships/image" Target="../media/image103.emf"/><Relationship Id="rId17" Type="http://schemas.openxmlformats.org/officeDocument/2006/relationships/image" Target="../media/image108.emf"/><Relationship Id="rId25" Type="http://schemas.openxmlformats.org/officeDocument/2006/relationships/image" Target="../media/image116.emf"/><Relationship Id="rId2" Type="http://schemas.openxmlformats.org/officeDocument/2006/relationships/image" Target="../media/image93.emf"/><Relationship Id="rId16" Type="http://schemas.openxmlformats.org/officeDocument/2006/relationships/image" Target="../media/image107.emf"/><Relationship Id="rId20" Type="http://schemas.openxmlformats.org/officeDocument/2006/relationships/image" Target="../media/image111.emf"/><Relationship Id="rId1" Type="http://schemas.openxmlformats.org/officeDocument/2006/relationships/image" Target="../media/image92.emf"/><Relationship Id="rId6" Type="http://schemas.openxmlformats.org/officeDocument/2006/relationships/image" Target="../media/image97.emf"/><Relationship Id="rId11" Type="http://schemas.openxmlformats.org/officeDocument/2006/relationships/image" Target="../media/image102.emf"/><Relationship Id="rId24" Type="http://schemas.openxmlformats.org/officeDocument/2006/relationships/image" Target="../media/image115.emf"/><Relationship Id="rId5" Type="http://schemas.openxmlformats.org/officeDocument/2006/relationships/image" Target="../media/image96.emf"/><Relationship Id="rId15" Type="http://schemas.openxmlformats.org/officeDocument/2006/relationships/image" Target="../media/image106.emf"/><Relationship Id="rId23" Type="http://schemas.openxmlformats.org/officeDocument/2006/relationships/image" Target="../media/image114.emf"/><Relationship Id="rId28" Type="http://schemas.openxmlformats.org/officeDocument/2006/relationships/image" Target="../media/image91.emf"/><Relationship Id="rId10" Type="http://schemas.openxmlformats.org/officeDocument/2006/relationships/image" Target="../media/image101.emf"/><Relationship Id="rId19" Type="http://schemas.openxmlformats.org/officeDocument/2006/relationships/image" Target="../media/image110.emf"/><Relationship Id="rId4" Type="http://schemas.openxmlformats.org/officeDocument/2006/relationships/image" Target="../media/image95.emf"/><Relationship Id="rId9" Type="http://schemas.openxmlformats.org/officeDocument/2006/relationships/image" Target="../media/image100.emf"/><Relationship Id="rId14" Type="http://schemas.openxmlformats.org/officeDocument/2006/relationships/image" Target="../media/image105.emf"/><Relationship Id="rId22" Type="http://schemas.openxmlformats.org/officeDocument/2006/relationships/image" Target="../media/image113.emf"/><Relationship Id="rId27" Type="http://schemas.openxmlformats.org/officeDocument/2006/relationships/image" Target="../media/image118.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 Id="rId4" Type="http://schemas.openxmlformats.org/officeDocument/2006/relationships/image" Target="../media/image122.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125.emf"/><Relationship Id="rId2" Type="http://schemas.openxmlformats.org/officeDocument/2006/relationships/image" Target="../media/image124.emf"/><Relationship Id="rId1" Type="http://schemas.openxmlformats.org/officeDocument/2006/relationships/image" Target="../media/image123.emf"/><Relationship Id="rId4" Type="http://schemas.openxmlformats.org/officeDocument/2006/relationships/image" Target="../media/image126.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134.emf"/><Relationship Id="rId3" Type="http://schemas.openxmlformats.org/officeDocument/2006/relationships/image" Target="../media/image129.emf"/><Relationship Id="rId7" Type="http://schemas.openxmlformats.org/officeDocument/2006/relationships/image" Target="../media/image133.emf"/><Relationship Id="rId12" Type="http://schemas.openxmlformats.org/officeDocument/2006/relationships/image" Target="../media/image138.emf"/><Relationship Id="rId2" Type="http://schemas.openxmlformats.org/officeDocument/2006/relationships/image" Target="../media/image128.emf"/><Relationship Id="rId1" Type="http://schemas.openxmlformats.org/officeDocument/2006/relationships/image" Target="../media/image127.emf"/><Relationship Id="rId6" Type="http://schemas.openxmlformats.org/officeDocument/2006/relationships/image" Target="../media/image132.emf"/><Relationship Id="rId11" Type="http://schemas.openxmlformats.org/officeDocument/2006/relationships/image" Target="../media/image137.emf"/><Relationship Id="rId5" Type="http://schemas.openxmlformats.org/officeDocument/2006/relationships/image" Target="../media/image131.emf"/><Relationship Id="rId10" Type="http://schemas.openxmlformats.org/officeDocument/2006/relationships/image" Target="../media/image136.emf"/><Relationship Id="rId4" Type="http://schemas.openxmlformats.org/officeDocument/2006/relationships/image" Target="../media/image130.emf"/><Relationship Id="rId9" Type="http://schemas.openxmlformats.org/officeDocument/2006/relationships/image" Target="../media/image13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41.emf"/><Relationship Id="rId2" Type="http://schemas.openxmlformats.org/officeDocument/2006/relationships/image" Target="../media/image140.emf"/><Relationship Id="rId1" Type="http://schemas.openxmlformats.org/officeDocument/2006/relationships/image" Target="../media/image139.emf"/><Relationship Id="rId4" Type="http://schemas.openxmlformats.org/officeDocument/2006/relationships/image" Target="../media/image142.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145.emf"/><Relationship Id="rId2" Type="http://schemas.openxmlformats.org/officeDocument/2006/relationships/image" Target="../media/image144.emf"/><Relationship Id="rId1" Type="http://schemas.openxmlformats.org/officeDocument/2006/relationships/image" Target="../media/image143.emf"/><Relationship Id="rId4" Type="http://schemas.openxmlformats.org/officeDocument/2006/relationships/image" Target="../media/image146.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49.emf"/><Relationship Id="rId1" Type="http://schemas.openxmlformats.org/officeDocument/2006/relationships/image" Target="../media/image148.emf"/><Relationship Id="rId4" Type="http://schemas.openxmlformats.org/officeDocument/2006/relationships/image" Target="../media/image151.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153.emf"/><Relationship Id="rId3" Type="http://schemas.openxmlformats.org/officeDocument/2006/relationships/image" Target="../media/image156.emf"/><Relationship Id="rId7" Type="http://schemas.openxmlformats.org/officeDocument/2006/relationships/image" Target="../media/image160.emf"/><Relationship Id="rId2" Type="http://schemas.openxmlformats.org/officeDocument/2006/relationships/image" Target="../media/image155.emf"/><Relationship Id="rId1" Type="http://schemas.openxmlformats.org/officeDocument/2006/relationships/image" Target="../media/image154.emf"/><Relationship Id="rId6" Type="http://schemas.openxmlformats.org/officeDocument/2006/relationships/image" Target="../media/image159.emf"/><Relationship Id="rId11" Type="http://schemas.openxmlformats.org/officeDocument/2006/relationships/image" Target="../media/image162.emf"/><Relationship Id="rId5" Type="http://schemas.openxmlformats.org/officeDocument/2006/relationships/image" Target="../media/image158.emf"/><Relationship Id="rId10" Type="http://schemas.openxmlformats.org/officeDocument/2006/relationships/image" Target="../media/image161.emf"/><Relationship Id="rId4" Type="http://schemas.openxmlformats.org/officeDocument/2006/relationships/image" Target="../media/image157.emf"/><Relationship Id="rId9" Type="http://schemas.openxmlformats.org/officeDocument/2006/relationships/image" Target="../media/image15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65.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68.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69.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70.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71.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7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73.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74.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7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7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77.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78.emf"/></Relationships>
</file>

<file path=xl/drawings/drawing1.xml><?xml version="1.0" encoding="utf-8"?>
<xdr:wsDr xmlns:xdr="http://schemas.openxmlformats.org/drawingml/2006/spreadsheetDrawing" xmlns:a="http://schemas.openxmlformats.org/drawingml/2006/main">
  <xdr:twoCellAnchor>
    <xdr:from>
      <xdr:col>1</xdr:col>
      <xdr:colOff>152400</xdr:colOff>
      <xdr:row>24</xdr:row>
      <xdr:rowOff>180975</xdr:rowOff>
    </xdr:from>
    <xdr:to>
      <xdr:col>3</xdr:col>
      <xdr:colOff>676276</xdr:colOff>
      <xdr:row>1048576</xdr:row>
      <xdr:rowOff>161510</xdr:rowOff>
    </xdr:to>
    <xdr:pic>
      <xdr:nvPicPr>
        <xdr:cNvPr id="13680867" name="Picture 545" descr="Fig1" hidden="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6610350"/>
          <a:ext cx="5314950" cy="36671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114300</xdr:colOff>
      <xdr:row>46</xdr:row>
      <xdr:rowOff>114300</xdr:rowOff>
    </xdr:from>
    <xdr:to>
      <xdr:col>3</xdr:col>
      <xdr:colOff>752476</xdr:colOff>
      <xdr:row>1048576</xdr:row>
      <xdr:rowOff>161925</xdr:rowOff>
    </xdr:to>
    <xdr:pic>
      <xdr:nvPicPr>
        <xdr:cNvPr id="13680868" name="Picture 546" descr="Fig2"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1475" y="10448925"/>
          <a:ext cx="5429250" cy="465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21</xdr:row>
      <xdr:rowOff>0</xdr:rowOff>
    </xdr:from>
    <xdr:to>
      <xdr:col>16384</xdr:col>
      <xdr:colOff>341658</xdr:colOff>
      <xdr:row>25</xdr:row>
      <xdr:rowOff>62120</xdr:rowOff>
    </xdr:to>
    <xdr:pic>
      <xdr:nvPicPr>
        <xdr:cNvPr id="13680869" name="Picture 1896" descr="Revised_Draft_Schematic_from_CBMA_Chinese" hidden="1"/>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57175" y="5391150"/>
          <a:ext cx="8943975" cy="662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57150</xdr:colOff>
          <xdr:row>21</xdr:row>
          <xdr:rowOff>38100</xdr:rowOff>
        </xdr:from>
        <xdr:to>
          <xdr:col>5</xdr:col>
          <xdr:colOff>714375</xdr:colOff>
          <xdr:row>21</xdr:row>
          <xdr:rowOff>390525</xdr:rowOff>
        </xdr:to>
        <xdr:sp macro="" textlink="">
          <xdr:nvSpPr>
            <xdr:cNvPr id="365322" name="CommandButtonReport" hidden="1">
              <a:extLst>
                <a:ext uri="{63B3BB69-23CF-44E3-9099-C40C66FF867C}">
                  <a14:compatExt spid="_x0000_s365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xdr:row>
          <xdr:rowOff>19050</xdr:rowOff>
        </xdr:from>
        <xdr:to>
          <xdr:col>5</xdr:col>
          <xdr:colOff>714375</xdr:colOff>
          <xdr:row>22</xdr:row>
          <xdr:rowOff>371475</xdr:rowOff>
        </xdr:to>
        <xdr:sp macro="" textlink="">
          <xdr:nvSpPr>
            <xdr:cNvPr id="365323" name="CommandButtonEnergyUse" hidden="1">
              <a:extLst>
                <a:ext uri="{63B3BB69-23CF-44E3-9099-C40C66FF867C}">
                  <a14:compatExt spid="_x0000_s365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10</xdr:row>
          <xdr:rowOff>9525</xdr:rowOff>
        </xdr:from>
        <xdr:to>
          <xdr:col>5</xdr:col>
          <xdr:colOff>666750</xdr:colOff>
          <xdr:row>11</xdr:row>
          <xdr:rowOff>9525</xdr:rowOff>
        </xdr:to>
        <xdr:sp macro="" textlink="">
          <xdr:nvSpPr>
            <xdr:cNvPr id="365307" name="CommandButtonChgMatl" hidden="1">
              <a:extLst>
                <a:ext uri="{63B3BB69-23CF-44E3-9099-C40C66FF867C}">
                  <a14:compatExt spid="_x0000_s36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17</xdr:row>
          <xdr:rowOff>238125</xdr:rowOff>
        </xdr:from>
        <xdr:to>
          <xdr:col>5</xdr:col>
          <xdr:colOff>666750</xdr:colOff>
          <xdr:row>18</xdr:row>
          <xdr:rowOff>238125</xdr:rowOff>
        </xdr:to>
        <xdr:sp macro="" textlink="">
          <xdr:nvSpPr>
            <xdr:cNvPr id="365311" name="CommandButtonRadLoss" hidden="1">
              <a:extLst>
                <a:ext uri="{63B3BB69-23CF-44E3-9099-C40C66FF867C}">
                  <a14:compatExt spid="_x0000_s36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11</xdr:row>
          <xdr:rowOff>9525</xdr:rowOff>
        </xdr:from>
        <xdr:to>
          <xdr:col>5</xdr:col>
          <xdr:colOff>666750</xdr:colOff>
          <xdr:row>12</xdr:row>
          <xdr:rowOff>19050</xdr:rowOff>
        </xdr:to>
        <xdr:sp macro="" textlink="">
          <xdr:nvSpPr>
            <xdr:cNvPr id="365312" name="CommandButtonChgMatlLiquid" hidden="1">
              <a:extLst>
                <a:ext uri="{63B3BB69-23CF-44E3-9099-C40C66FF867C}">
                  <a14:compatExt spid="_x0000_s36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17</xdr:row>
          <xdr:rowOff>0</xdr:rowOff>
        </xdr:from>
        <xdr:to>
          <xdr:col>5</xdr:col>
          <xdr:colOff>666750</xdr:colOff>
          <xdr:row>18</xdr:row>
          <xdr:rowOff>9525</xdr:rowOff>
        </xdr:to>
        <xdr:sp macro="" textlink="">
          <xdr:nvSpPr>
            <xdr:cNvPr id="365314" name="CommandButtonFlueGases" hidden="1">
              <a:extLst>
                <a:ext uri="{63B3BB69-23CF-44E3-9099-C40C66FF867C}">
                  <a14:compatExt spid="_x0000_s36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18</xdr:row>
          <xdr:rowOff>238125</xdr:rowOff>
        </xdr:from>
        <xdr:to>
          <xdr:col>5</xdr:col>
          <xdr:colOff>666750</xdr:colOff>
          <xdr:row>20</xdr:row>
          <xdr:rowOff>9525</xdr:rowOff>
        </xdr:to>
        <xdr:sp macro="" textlink="">
          <xdr:nvSpPr>
            <xdr:cNvPr id="365315" name="CommandButtonPower" hidden="1">
              <a:extLst>
                <a:ext uri="{63B3BB69-23CF-44E3-9099-C40C66FF867C}">
                  <a14:compatExt spid="_x0000_s36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20</xdr:row>
          <xdr:rowOff>19050</xdr:rowOff>
        </xdr:from>
        <xdr:to>
          <xdr:col>5</xdr:col>
          <xdr:colOff>666750</xdr:colOff>
          <xdr:row>21</xdr:row>
          <xdr:rowOff>19050</xdr:rowOff>
        </xdr:to>
        <xdr:sp macro="" textlink="">
          <xdr:nvSpPr>
            <xdr:cNvPr id="365320" name="CommandButtonOtherlosses" hidden="1">
              <a:extLst>
                <a:ext uri="{63B3BB69-23CF-44E3-9099-C40C66FF867C}">
                  <a14:compatExt spid="_x0000_s365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13</xdr:row>
          <xdr:rowOff>19050</xdr:rowOff>
        </xdr:from>
        <xdr:to>
          <xdr:col>5</xdr:col>
          <xdr:colOff>666750</xdr:colOff>
          <xdr:row>14</xdr:row>
          <xdr:rowOff>28575</xdr:rowOff>
        </xdr:to>
        <xdr:sp macro="" textlink="">
          <xdr:nvSpPr>
            <xdr:cNvPr id="365438" name="CommandButtonFixtureLosses" hidden="1">
              <a:extLst>
                <a:ext uri="{63B3BB69-23CF-44E3-9099-C40C66FF867C}">
                  <a14:compatExt spid="_x0000_s365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8</xdr:row>
          <xdr:rowOff>9525</xdr:rowOff>
        </xdr:from>
        <xdr:to>
          <xdr:col>5</xdr:col>
          <xdr:colOff>666750</xdr:colOff>
          <xdr:row>9</xdr:row>
          <xdr:rowOff>19050</xdr:rowOff>
        </xdr:to>
        <xdr:sp macro="" textlink="">
          <xdr:nvSpPr>
            <xdr:cNvPr id="4601903" name="CommandButtonPlantInfo" hidden="1">
              <a:extLst>
                <a:ext uri="{63B3BB69-23CF-44E3-9099-C40C66FF867C}">
                  <a14:compatExt spid="_x0000_s460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9</xdr:row>
          <xdr:rowOff>19050</xdr:rowOff>
        </xdr:from>
        <xdr:to>
          <xdr:col>5</xdr:col>
          <xdr:colOff>666750</xdr:colOff>
          <xdr:row>10</xdr:row>
          <xdr:rowOff>19050</xdr:rowOff>
        </xdr:to>
        <xdr:sp macro="" textlink="">
          <xdr:nvSpPr>
            <xdr:cNvPr id="4602195" name="CommandButtonProcessHeat" hidden="1">
              <a:extLst>
                <a:ext uri="{63B3BB69-23CF-44E3-9099-C40C66FF867C}">
                  <a14:compatExt spid="_x0000_s4602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16</xdr:row>
          <xdr:rowOff>9525</xdr:rowOff>
        </xdr:from>
        <xdr:to>
          <xdr:col>5</xdr:col>
          <xdr:colOff>666750</xdr:colOff>
          <xdr:row>17</xdr:row>
          <xdr:rowOff>19050</xdr:rowOff>
        </xdr:to>
        <xdr:sp macro="" textlink="">
          <xdr:nvSpPr>
            <xdr:cNvPr id="365310" name="CommandButtonAtm" hidden="1">
              <a:extLst>
                <a:ext uri="{63B3BB69-23CF-44E3-9099-C40C66FF867C}">
                  <a14:compatExt spid="_x0000_s36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15</xdr:row>
          <xdr:rowOff>19050</xdr:rowOff>
        </xdr:from>
        <xdr:to>
          <xdr:col>5</xdr:col>
          <xdr:colOff>666750</xdr:colOff>
          <xdr:row>16</xdr:row>
          <xdr:rowOff>28575</xdr:rowOff>
        </xdr:to>
        <xdr:sp macro="" textlink="">
          <xdr:nvSpPr>
            <xdr:cNvPr id="365536" name="CommandButtonWaterCool" hidden="1">
              <a:extLst>
                <a:ext uri="{63B3BB69-23CF-44E3-9099-C40C66FF867C}">
                  <a14:compatExt spid="_x0000_s365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14</xdr:row>
          <xdr:rowOff>28575</xdr:rowOff>
        </xdr:from>
        <xdr:to>
          <xdr:col>5</xdr:col>
          <xdr:colOff>666750</xdr:colOff>
          <xdr:row>15</xdr:row>
          <xdr:rowOff>19050</xdr:rowOff>
        </xdr:to>
        <xdr:sp macro="" textlink="">
          <xdr:nvSpPr>
            <xdr:cNvPr id="365303" name="CommandButtonWallosses" hidden="1">
              <a:extLst>
                <a:ext uri="{63B3BB69-23CF-44E3-9099-C40C66FF867C}">
                  <a14:compatExt spid="_x0000_s36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123825</xdr:colOff>
          <xdr:row>12</xdr:row>
          <xdr:rowOff>19050</xdr:rowOff>
        </xdr:from>
        <xdr:to>
          <xdr:col>5</xdr:col>
          <xdr:colOff>666750</xdr:colOff>
          <xdr:row>13</xdr:row>
          <xdr:rowOff>28575</xdr:rowOff>
        </xdr:to>
        <xdr:sp macro="" textlink="">
          <xdr:nvSpPr>
            <xdr:cNvPr id="365317" name="CommandButtonChgMatlGas" hidden="1">
              <a:extLst>
                <a:ext uri="{63B3BB69-23CF-44E3-9099-C40C66FF867C}">
                  <a14:compatExt spid="_x0000_s365317"/>
                </a:ext>
              </a:extLst>
            </xdr:cNvPr>
            <xdr:cNvSpPr/>
          </xdr:nvSpPr>
          <xdr:spPr>
            <a:xfrm>
              <a:off x="0" y="0"/>
              <a:ext cx="0" cy="0"/>
            </a:xfrm>
            <a:prstGeom prst="rect">
              <a:avLst/>
            </a:prstGeom>
          </xdr:spPr>
        </xdr:sp>
        <xdr:clientData/>
      </xdr:twoCellAnchor>
    </mc:Choice>
    <mc:Fallback/>
  </mc:AlternateContent>
  <xdr:twoCellAnchor editAs="oneCell">
    <xdr:from>
      <xdr:col>3</xdr:col>
      <xdr:colOff>342900</xdr:colOff>
      <xdr:row>1</xdr:row>
      <xdr:rowOff>28575</xdr:rowOff>
    </xdr:from>
    <xdr:to>
      <xdr:col>5</xdr:col>
      <xdr:colOff>695325</xdr:colOff>
      <xdr:row>1</xdr:row>
      <xdr:rowOff>841655</xdr:rowOff>
    </xdr:to>
    <xdr:pic>
      <xdr:nvPicPr>
        <xdr:cNvPr id="21" name="Picture 20" descr="https://upload.wikimedia.org/wikipedia/commons/thumb/c/ce/Oak_Ridge_National_Laboratory_logo.svg/2000px-Oak_Ridge_National_Laboratory_logo.svg.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48325" y="342900"/>
          <a:ext cx="1400175" cy="813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1</xdr:row>
      <xdr:rowOff>28575</xdr:rowOff>
    </xdr:from>
    <xdr:to>
      <xdr:col>2</xdr:col>
      <xdr:colOff>228600</xdr:colOff>
      <xdr:row>1</xdr:row>
      <xdr:rowOff>866775</xdr:rowOff>
    </xdr:to>
    <xdr:pic>
      <xdr:nvPicPr>
        <xdr:cNvPr id="3" name="Picture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0075" y="342900"/>
          <a:ext cx="838200" cy="838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133350</xdr:colOff>
          <xdr:row>10</xdr:row>
          <xdr:rowOff>47625</xdr:rowOff>
        </xdr:from>
        <xdr:to>
          <xdr:col>8</xdr:col>
          <xdr:colOff>95250</xdr:colOff>
          <xdr:row>12</xdr:row>
          <xdr:rowOff>57150</xdr:rowOff>
        </xdr:to>
        <xdr:sp macro="" textlink="">
          <xdr:nvSpPr>
            <xdr:cNvPr id="5270530" name="CommandButtonDataDone" hidden="1">
              <a:extLst>
                <a:ext uri="{63B3BB69-23CF-44E3-9099-C40C66FF867C}">
                  <a14:compatExt spid="_x0000_s527053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13</xdr:row>
          <xdr:rowOff>133350</xdr:rowOff>
        </xdr:from>
        <xdr:to>
          <xdr:col>8</xdr:col>
          <xdr:colOff>76200</xdr:colOff>
          <xdr:row>15</xdr:row>
          <xdr:rowOff>142875</xdr:rowOff>
        </xdr:to>
        <xdr:sp macro="" textlink="">
          <xdr:nvSpPr>
            <xdr:cNvPr id="5270562" name="CommandButton1" hidden="1">
              <a:extLst>
                <a:ext uri="{63B3BB69-23CF-44E3-9099-C40C66FF867C}">
                  <a14:compatExt spid="_x0000_s527056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3</xdr:row>
          <xdr:rowOff>0</xdr:rowOff>
        </xdr:from>
        <xdr:to>
          <xdr:col>10</xdr:col>
          <xdr:colOff>361950</xdr:colOff>
          <xdr:row>5</xdr:row>
          <xdr:rowOff>133350</xdr:rowOff>
        </xdr:to>
        <xdr:sp macro="" textlink="">
          <xdr:nvSpPr>
            <xdr:cNvPr id="5271554" name="CommandButtonProcessDataDone" hidden="1">
              <a:extLst>
                <a:ext uri="{63B3BB69-23CF-44E3-9099-C40C66FF867C}">
                  <a14:compatExt spid="_x0000_s52715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238125</xdr:rowOff>
        </xdr:from>
        <xdr:to>
          <xdr:col>10</xdr:col>
          <xdr:colOff>361950</xdr:colOff>
          <xdr:row>9</xdr:row>
          <xdr:rowOff>0</xdr:rowOff>
        </xdr:to>
        <xdr:sp macro="" textlink="">
          <xdr:nvSpPr>
            <xdr:cNvPr id="5271555" name="CommandButton1" hidden="1">
              <a:extLst>
                <a:ext uri="{63B3BB69-23CF-44E3-9099-C40C66FF867C}">
                  <a14:compatExt spid="_x0000_s527155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22</xdr:row>
          <xdr:rowOff>238125</xdr:rowOff>
        </xdr:from>
        <xdr:to>
          <xdr:col>12</xdr:col>
          <xdr:colOff>85725</xdr:colOff>
          <xdr:row>25</xdr:row>
          <xdr:rowOff>0</xdr:rowOff>
        </xdr:to>
        <xdr:sp macro="" textlink="">
          <xdr:nvSpPr>
            <xdr:cNvPr id="5275405" name="CommandButton1" hidden="1">
              <a:extLst>
                <a:ext uri="{63B3BB69-23CF-44E3-9099-C40C66FF867C}">
                  <a14:compatExt spid="_x0000_s52754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15</xdr:row>
          <xdr:rowOff>190500</xdr:rowOff>
        </xdr:from>
        <xdr:to>
          <xdr:col>12</xdr:col>
          <xdr:colOff>114300</xdr:colOff>
          <xdr:row>17</xdr:row>
          <xdr:rowOff>200025</xdr:rowOff>
        </xdr:to>
        <xdr:sp macro="" textlink="">
          <xdr:nvSpPr>
            <xdr:cNvPr id="5275088" name="CommandButtonNextPage" hidden="1">
              <a:extLst>
                <a:ext uri="{63B3BB69-23CF-44E3-9099-C40C66FF867C}">
                  <a14:compatExt spid="_x0000_s52750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19</xdr:row>
          <xdr:rowOff>19050</xdr:rowOff>
        </xdr:from>
        <xdr:to>
          <xdr:col>12</xdr:col>
          <xdr:colOff>104775</xdr:colOff>
          <xdr:row>21</xdr:row>
          <xdr:rowOff>28575</xdr:rowOff>
        </xdr:to>
        <xdr:sp macro="" textlink="">
          <xdr:nvSpPr>
            <xdr:cNvPr id="5275087" name="CommandButtonReturn" hidden="1">
              <a:extLst>
                <a:ext uri="{63B3BB69-23CF-44E3-9099-C40C66FF867C}">
                  <a14:compatExt spid="_x0000_s5275087"/>
                </a:ext>
              </a:extLst>
            </xdr:cNvPr>
            <xdr:cNvSpPr/>
          </xdr:nvSpPr>
          <xdr:spPr>
            <a:xfrm>
              <a:off x="0" y="0"/>
              <a:ext cx="0" cy="0"/>
            </a:xfrm>
            <a:prstGeom prst="rect">
              <a:avLst/>
            </a:prstGeom>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161925</xdr:colOff>
      <xdr:row>8</xdr:row>
      <xdr:rowOff>95250</xdr:rowOff>
    </xdr:from>
    <xdr:to>
      <xdr:col>16</xdr:col>
      <xdr:colOff>381000</xdr:colOff>
      <xdr:row>35</xdr:row>
      <xdr:rowOff>95250</xdr:rowOff>
    </xdr:to>
    <xdr:pic>
      <xdr:nvPicPr>
        <xdr:cNvPr id="14250075" name="Picture 1" descr="Sankey diagram Blank.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685925"/>
          <a:ext cx="9363075" cy="4705350"/>
        </a:xfrm>
        <a:prstGeom prst="rect">
          <a:avLst/>
        </a:prstGeom>
        <a:noFill/>
        <a:ln w="19050">
          <a:solidFill>
            <a:srgbClr val="984807"/>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5</xdr:col>
      <xdr:colOff>9526</xdr:colOff>
      <xdr:row>8</xdr:row>
      <xdr:rowOff>125095</xdr:rowOff>
    </xdr:from>
    <xdr:ext cx="1000124" cy="253240"/>
    <xdr:sp macro="" textlink="$V$18">
      <xdr:nvSpPr>
        <xdr:cNvPr id="3" name="TextBox 2"/>
        <xdr:cNvSpPr txBox="1"/>
      </xdr:nvSpPr>
      <xdr:spPr>
        <a:xfrm>
          <a:off x="2781301" y="1209675"/>
          <a:ext cx="1000124" cy="264560"/>
        </a:xfrm>
        <a:prstGeom prst="rect">
          <a:avLst/>
        </a:prstGeom>
        <a:solidFill>
          <a:schemeClr val="lt1"/>
        </a:solidFill>
        <a:ln w="9525" cmpd="sng">
          <a:solidFill>
            <a:schemeClr val="lt1">
              <a:shade val="50000"/>
            </a:schemeClr>
          </a:solidFill>
        </a:ln>
        <a:effectLst/>
      </xdr:spPr>
      <xdr:style>
        <a:lnRef idx="0">
          <a:scrgbClr r="0" g="0" b="0"/>
        </a:lnRef>
        <a:fillRef idx="0">
          <a:scrgbClr r="0" g="0" b="0"/>
        </a:fillRef>
        <a:effectRef idx="0">
          <a:scrgbClr r="0" g="0" b="0"/>
        </a:effectRef>
        <a:fontRef idx="minor">
          <a:schemeClr val="dk1"/>
        </a:fontRef>
      </xdr:style>
      <xdr:txBody>
        <a:bodyPr wrap="square" rtlCol="0" anchor="ctr">
          <a:noAutofit/>
        </a:bodyPr>
        <a:lstStyle/>
        <a:p>
          <a:pPr algn="ctr" rtl="0">
            <a:defRPr sz="1000"/>
          </a:pPr>
          <a:fld id="{453EB45D-EC3A-4A19-A97B-3561CC6396C3}" type="TxLink">
            <a:rPr lang="en-US" sz="1000" b="0" i="0" u="none" strike="noStrike" baseline="0">
              <a:solidFill>
                <a:srgbClr val="000000"/>
              </a:solidFill>
              <a:latin typeface="Calibri"/>
              <a:cs typeface="Arial"/>
            </a:rPr>
            <a:pPr algn="ctr" rtl="0">
              <a:defRPr sz="1000"/>
            </a:pPr>
            <a:t>0.00 </a:t>
          </a:fld>
          <a:endParaRPr lang="en-US" sz="800"/>
        </a:p>
      </xdr:txBody>
    </xdr:sp>
    <xdr:clientData/>
  </xdr:oneCellAnchor>
  <xdr:twoCellAnchor>
    <xdr:from>
      <xdr:col>10</xdr:col>
      <xdr:colOff>133350</xdr:colOff>
      <xdr:row>11</xdr:row>
      <xdr:rowOff>5080</xdr:rowOff>
    </xdr:from>
    <xdr:to>
      <xdr:col>11</xdr:col>
      <xdr:colOff>523875</xdr:colOff>
      <xdr:row>12</xdr:row>
      <xdr:rowOff>109474</xdr:rowOff>
    </xdr:to>
    <xdr:sp macro="" textlink="$V$15">
      <xdr:nvSpPr>
        <xdr:cNvPr id="7197920" name="TextBox 3"/>
        <xdr:cNvSpPr txBox="1">
          <a:spLocks noChangeArrowheads="1"/>
        </xdr:cNvSpPr>
      </xdr:nvSpPr>
      <xdr:spPr bwMode="auto">
        <a:xfrm>
          <a:off x="5953125" y="2143125"/>
          <a:ext cx="1000125" cy="266700"/>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77ED9D8E-2674-4DE7-83F7-507588368B97}" type="TxLink">
            <a:rPr lang="en-US" sz="1000" b="0" i="0" u="none" strike="noStrike" baseline="0">
              <a:solidFill>
                <a:srgbClr val="000000"/>
              </a:solidFill>
              <a:latin typeface="Calibri"/>
              <a:cs typeface="Arial"/>
            </a:rPr>
            <a:pPr algn="ctr" rtl="0">
              <a:defRPr sz="1000"/>
            </a:pPr>
            <a:t>0.00 </a:t>
          </a:fld>
          <a:endParaRPr lang="en-US" sz="1050"/>
        </a:p>
      </xdr:txBody>
    </xdr:sp>
    <xdr:clientData/>
  </xdr:twoCellAnchor>
  <xdr:twoCellAnchor>
    <xdr:from>
      <xdr:col>13</xdr:col>
      <xdr:colOff>457200</xdr:colOff>
      <xdr:row>12</xdr:row>
      <xdr:rowOff>117475</xdr:rowOff>
    </xdr:from>
    <xdr:to>
      <xdr:col>15</xdr:col>
      <xdr:colOff>238125</xdr:colOff>
      <xdr:row>14</xdr:row>
      <xdr:rowOff>41275</xdr:rowOff>
    </xdr:to>
    <xdr:sp macro="" textlink="$V$11">
      <xdr:nvSpPr>
        <xdr:cNvPr id="7197921" name="TextBox 4"/>
        <xdr:cNvSpPr txBox="1">
          <a:spLocks noChangeArrowheads="1"/>
        </xdr:cNvSpPr>
      </xdr:nvSpPr>
      <xdr:spPr bwMode="auto">
        <a:xfrm>
          <a:off x="8105775" y="2428875"/>
          <a:ext cx="1000125" cy="285750"/>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40745793-7710-4480-922D-A1DC75205CDD}" type="TxLink">
            <a:rPr lang="en-US" sz="1000" b="0" i="0" u="none" strike="noStrike" baseline="0">
              <a:solidFill>
                <a:srgbClr val="000000"/>
              </a:solidFill>
              <a:latin typeface="Calibri"/>
              <a:cs typeface="Arial"/>
            </a:rPr>
            <a:pPr algn="ctr" rtl="0">
              <a:defRPr sz="1000"/>
            </a:pPr>
            <a:t>0.00 </a:t>
          </a:fld>
          <a:endParaRPr lang="en-US" sz="1050"/>
        </a:p>
      </xdr:txBody>
    </xdr:sp>
    <xdr:clientData/>
  </xdr:twoCellAnchor>
  <xdr:twoCellAnchor>
    <xdr:from>
      <xdr:col>14</xdr:col>
      <xdr:colOff>476250</xdr:colOff>
      <xdr:row>16</xdr:row>
      <xdr:rowOff>125095</xdr:rowOff>
    </xdr:from>
    <xdr:to>
      <xdr:col>16</xdr:col>
      <xdr:colOff>219075</xdr:colOff>
      <xdr:row>18</xdr:row>
      <xdr:rowOff>82131</xdr:rowOff>
    </xdr:to>
    <xdr:sp macro="" textlink="$V$14">
      <xdr:nvSpPr>
        <xdr:cNvPr id="7197922" name="TextBox 5"/>
        <xdr:cNvSpPr txBox="1">
          <a:spLocks noChangeArrowheads="1"/>
        </xdr:cNvSpPr>
      </xdr:nvSpPr>
      <xdr:spPr bwMode="auto">
        <a:xfrm>
          <a:off x="8734425" y="3171825"/>
          <a:ext cx="962025" cy="314325"/>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E89DD487-2D50-47BF-AF75-D1DD8E626410}"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14</xdr:col>
      <xdr:colOff>533400</xdr:colOff>
      <xdr:row>24</xdr:row>
      <xdr:rowOff>0</xdr:rowOff>
    </xdr:from>
    <xdr:to>
      <xdr:col>16</xdr:col>
      <xdr:colOff>314325</xdr:colOff>
      <xdr:row>26</xdr:row>
      <xdr:rowOff>6123</xdr:rowOff>
    </xdr:to>
    <xdr:sp macro="" textlink="$V$9">
      <xdr:nvSpPr>
        <xdr:cNvPr id="7197923" name="TextBox 6"/>
        <xdr:cNvSpPr txBox="1">
          <a:spLocks noChangeArrowheads="1"/>
        </xdr:cNvSpPr>
      </xdr:nvSpPr>
      <xdr:spPr bwMode="auto">
        <a:xfrm>
          <a:off x="8791575" y="4410075"/>
          <a:ext cx="1000125" cy="314325"/>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9E9C25F4-C935-4801-B373-74BD1B42BA75}" type="TxLink">
            <a:rPr lang="en-US" sz="1100" b="0" i="0" u="none" strike="noStrike" baseline="0">
              <a:solidFill>
                <a:srgbClr val="000000"/>
              </a:solidFill>
              <a:latin typeface="Calibri"/>
              <a:cs typeface="Arial"/>
            </a:rPr>
            <a:pPr algn="ctr" rtl="0">
              <a:defRPr sz="1000"/>
            </a:pPr>
            <a:t>0.00 </a:t>
          </a:fld>
          <a:endParaRPr lang="en-US" sz="1000"/>
        </a:p>
      </xdr:txBody>
    </xdr:sp>
    <xdr:clientData/>
  </xdr:twoCellAnchor>
  <xdr:twoCellAnchor>
    <xdr:from>
      <xdr:col>13</xdr:col>
      <xdr:colOff>561975</xdr:colOff>
      <xdr:row>32</xdr:row>
      <xdr:rowOff>98425</xdr:rowOff>
    </xdr:from>
    <xdr:to>
      <xdr:col>15</xdr:col>
      <xdr:colOff>342900</xdr:colOff>
      <xdr:row>34</xdr:row>
      <xdr:rowOff>95315</xdr:rowOff>
    </xdr:to>
    <xdr:sp macro="" textlink="$V$10">
      <xdr:nvSpPr>
        <xdr:cNvPr id="7197924" name="TextBox 7"/>
        <xdr:cNvSpPr txBox="1">
          <a:spLocks noChangeArrowheads="1"/>
        </xdr:cNvSpPr>
      </xdr:nvSpPr>
      <xdr:spPr bwMode="auto">
        <a:xfrm>
          <a:off x="8210550" y="5810250"/>
          <a:ext cx="1000125" cy="314325"/>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E4AD3BFD-47FA-4CD7-BD70-3D7BF31E7FC3}" type="TxLink">
            <a:rPr lang="en-US" sz="1000" b="0" i="0" u="none" strike="noStrike" baseline="0">
              <a:solidFill>
                <a:srgbClr val="000000"/>
              </a:solidFill>
              <a:latin typeface="Calibri"/>
              <a:cs typeface="Arial"/>
            </a:rPr>
            <a:pPr algn="ctr" rtl="0">
              <a:defRPr sz="1000"/>
            </a:pPr>
            <a:t>0.00 </a:t>
          </a:fld>
          <a:endParaRPr lang="en-US" sz="1050"/>
        </a:p>
      </xdr:txBody>
    </xdr:sp>
    <xdr:clientData/>
  </xdr:twoCellAnchor>
  <xdr:twoCellAnchor>
    <xdr:from>
      <xdr:col>11</xdr:col>
      <xdr:colOff>247650</xdr:colOff>
      <xdr:row>33</xdr:row>
      <xdr:rowOff>108585</xdr:rowOff>
    </xdr:from>
    <xdr:to>
      <xdr:col>13</xdr:col>
      <xdr:colOff>28575</xdr:colOff>
      <xdr:row>35</xdr:row>
      <xdr:rowOff>95763</xdr:rowOff>
    </xdr:to>
    <xdr:sp macro="" textlink="$V$12">
      <xdr:nvSpPr>
        <xdr:cNvPr id="7197925" name="TextBox 8"/>
        <xdr:cNvSpPr txBox="1">
          <a:spLocks noChangeArrowheads="1"/>
        </xdr:cNvSpPr>
      </xdr:nvSpPr>
      <xdr:spPr bwMode="auto">
        <a:xfrm>
          <a:off x="6677025" y="5981700"/>
          <a:ext cx="1000125" cy="304800"/>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986986EF-D096-432E-91E1-B6E539DA7937}"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6</xdr:col>
      <xdr:colOff>190500</xdr:colOff>
      <xdr:row>34</xdr:row>
      <xdr:rowOff>19050</xdr:rowOff>
    </xdr:from>
    <xdr:to>
      <xdr:col>7</xdr:col>
      <xdr:colOff>581025</xdr:colOff>
      <xdr:row>36</xdr:row>
      <xdr:rowOff>6550</xdr:rowOff>
    </xdr:to>
    <xdr:sp macro="" textlink="$V$13">
      <xdr:nvSpPr>
        <xdr:cNvPr id="7197926" name="TextBox 9"/>
        <xdr:cNvSpPr txBox="1">
          <a:spLocks noChangeArrowheads="1"/>
        </xdr:cNvSpPr>
      </xdr:nvSpPr>
      <xdr:spPr bwMode="auto">
        <a:xfrm>
          <a:off x="3571875" y="6048375"/>
          <a:ext cx="1000125" cy="295275"/>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6F1C6651-42CA-433D-8735-7E746DDE376B}"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5</xdr:col>
      <xdr:colOff>247650</xdr:colOff>
      <xdr:row>21</xdr:row>
      <xdr:rowOff>117475</xdr:rowOff>
    </xdr:from>
    <xdr:to>
      <xdr:col>7</xdr:col>
      <xdr:colOff>28575</xdr:colOff>
      <xdr:row>23</xdr:row>
      <xdr:rowOff>114643</xdr:rowOff>
    </xdr:to>
    <xdr:sp macro="" textlink="$V$16">
      <xdr:nvSpPr>
        <xdr:cNvPr id="7197927" name="TextBox 11"/>
        <xdr:cNvSpPr txBox="1">
          <a:spLocks noChangeArrowheads="1"/>
        </xdr:cNvSpPr>
      </xdr:nvSpPr>
      <xdr:spPr bwMode="auto">
        <a:xfrm>
          <a:off x="3019425" y="4048125"/>
          <a:ext cx="1000125" cy="314325"/>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29ADE9CF-443A-4FB7-8022-4BBBC97FC914}" type="TxLink">
            <a:rPr lang="en-US" sz="1100" b="0" i="0" u="none" strike="noStrike" baseline="0">
              <a:solidFill>
                <a:srgbClr val="000000"/>
              </a:solidFill>
              <a:latin typeface="Calibri"/>
              <a:cs typeface="Arial"/>
            </a:rPr>
            <a:pPr algn="ctr" rtl="0">
              <a:defRPr sz="1000"/>
            </a:pPr>
            <a:t>0.00 </a:t>
          </a:fld>
          <a:endParaRPr lang="en-US"/>
        </a:p>
      </xdr:txBody>
    </xdr:sp>
    <xdr:clientData/>
  </xdr:twoCellAnchor>
  <xdr:twoCellAnchor>
    <xdr:from>
      <xdr:col>2</xdr:col>
      <xdr:colOff>600075</xdr:colOff>
      <xdr:row>22</xdr:row>
      <xdr:rowOff>57150</xdr:rowOff>
    </xdr:from>
    <xdr:to>
      <xdr:col>4</xdr:col>
      <xdr:colOff>381000</xdr:colOff>
      <xdr:row>24</xdr:row>
      <xdr:rowOff>76200</xdr:rowOff>
    </xdr:to>
    <xdr:sp macro="" textlink="$V$20">
      <xdr:nvSpPr>
        <xdr:cNvPr id="7197928" name="TextBox 12"/>
        <xdr:cNvSpPr txBox="1">
          <a:spLocks noChangeArrowheads="1"/>
        </xdr:cNvSpPr>
      </xdr:nvSpPr>
      <xdr:spPr bwMode="auto">
        <a:xfrm>
          <a:off x="1543050" y="4143375"/>
          <a:ext cx="1000125" cy="342900"/>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06CB7126-520A-4793-B6BF-1E299B3E6848}" type="TxLink">
            <a:rPr lang="en-US" sz="1100" b="0" i="0" u="none" strike="noStrike" baseline="0">
              <a:solidFill>
                <a:srgbClr val="000000"/>
              </a:solidFill>
              <a:latin typeface="Calibri"/>
              <a:cs typeface="Arial"/>
            </a:rPr>
            <a:pPr algn="ctr" rtl="0">
              <a:defRPr sz="1000"/>
            </a:pPr>
            <a:t>0.00 </a:t>
          </a:fld>
          <a:endParaRPr lang="en-US"/>
        </a:p>
      </xdr:txBody>
    </xdr:sp>
    <xdr:clientData/>
  </xdr:twoCellAnchor>
  <xdr:twoCellAnchor>
    <xdr:from>
      <xdr:col>5</xdr:col>
      <xdr:colOff>9525</xdr:colOff>
      <xdr:row>10</xdr:row>
      <xdr:rowOff>43180</xdr:rowOff>
    </xdr:from>
    <xdr:to>
      <xdr:col>6</xdr:col>
      <xdr:colOff>400050</xdr:colOff>
      <xdr:row>11</xdr:row>
      <xdr:rowOff>157480</xdr:rowOff>
    </xdr:to>
    <xdr:sp macro="" textlink="$V$49">
      <xdr:nvSpPr>
        <xdr:cNvPr id="7197929" name="TextBox 14"/>
        <xdr:cNvSpPr txBox="1">
          <a:spLocks noChangeArrowheads="1"/>
        </xdr:cNvSpPr>
      </xdr:nvSpPr>
      <xdr:spPr bwMode="auto">
        <a:xfrm>
          <a:off x="2781300" y="2000250"/>
          <a:ext cx="1000125" cy="295275"/>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C38B0051-E3AE-4579-A5B7-62D160020104}" type="TxLink">
            <a:rPr lang="en-US" sz="1000" b="0" i="0" u="none" strike="noStrike" baseline="0">
              <a:solidFill>
                <a:srgbClr val="000000"/>
              </a:solidFill>
              <a:latin typeface="Calibri"/>
              <a:cs typeface="Arial"/>
            </a:rPr>
            <a:pPr algn="ctr" rtl="0">
              <a:defRPr sz="1000"/>
            </a:pPr>
            <a:t>0.00 </a:t>
          </a:fld>
          <a:endParaRPr lang="en-US" sz="1050"/>
        </a:p>
      </xdr:txBody>
    </xdr:sp>
    <xdr:clientData/>
  </xdr:twoCellAnchor>
  <xdr:twoCellAnchor>
    <xdr:from>
      <xdr:col>10</xdr:col>
      <xdr:colOff>123825</xdr:colOff>
      <xdr:row>12</xdr:row>
      <xdr:rowOff>119380</xdr:rowOff>
    </xdr:from>
    <xdr:to>
      <xdr:col>11</xdr:col>
      <xdr:colOff>514350</xdr:colOff>
      <xdr:row>14</xdr:row>
      <xdr:rowOff>38248</xdr:rowOff>
    </xdr:to>
    <xdr:sp macro="" textlink="$V$46">
      <xdr:nvSpPr>
        <xdr:cNvPr id="7197930" name="TextBox 15"/>
        <xdr:cNvSpPr txBox="1">
          <a:spLocks noChangeArrowheads="1"/>
        </xdr:cNvSpPr>
      </xdr:nvSpPr>
      <xdr:spPr bwMode="auto">
        <a:xfrm>
          <a:off x="5943600" y="2438400"/>
          <a:ext cx="1000125" cy="266700"/>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A0087E1C-A229-4869-ACA0-63F0E1E727BE}"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13</xdr:col>
      <xdr:colOff>466725</xdr:colOff>
      <xdr:row>14</xdr:row>
      <xdr:rowOff>79375</xdr:rowOff>
    </xdr:from>
    <xdr:to>
      <xdr:col>15</xdr:col>
      <xdr:colOff>247650</xdr:colOff>
      <xdr:row>16</xdr:row>
      <xdr:rowOff>76</xdr:rowOff>
    </xdr:to>
    <xdr:sp macro="" textlink="$V$42">
      <xdr:nvSpPr>
        <xdr:cNvPr id="7197931" name="TextBox 16"/>
        <xdr:cNvSpPr txBox="1">
          <a:spLocks noChangeArrowheads="1"/>
        </xdr:cNvSpPr>
      </xdr:nvSpPr>
      <xdr:spPr bwMode="auto">
        <a:xfrm>
          <a:off x="8115300" y="2752725"/>
          <a:ext cx="1000125" cy="276225"/>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A9C7AF9B-0819-4E9B-ACFD-460183972033}" type="TxLink">
            <a:rPr lang="en-US" sz="1000" b="0" i="0" u="none" strike="noStrike" baseline="0">
              <a:solidFill>
                <a:srgbClr val="000000"/>
              </a:solidFill>
              <a:latin typeface="Calibri"/>
              <a:cs typeface="Arial"/>
            </a:rPr>
            <a:pPr algn="ctr" rtl="0">
              <a:defRPr sz="1000"/>
            </a:pPr>
            <a:t>0.00 </a:t>
          </a:fld>
          <a:endParaRPr lang="en-US" sz="1050"/>
        </a:p>
      </xdr:txBody>
    </xdr:sp>
    <xdr:clientData/>
  </xdr:twoCellAnchor>
  <xdr:twoCellAnchor>
    <xdr:from>
      <xdr:col>14</xdr:col>
      <xdr:colOff>438150</xdr:colOff>
      <xdr:row>18</xdr:row>
      <xdr:rowOff>117475</xdr:rowOff>
    </xdr:from>
    <xdr:to>
      <xdr:col>16</xdr:col>
      <xdr:colOff>219075</xdr:colOff>
      <xdr:row>20</xdr:row>
      <xdr:rowOff>60325</xdr:rowOff>
    </xdr:to>
    <xdr:sp macro="" textlink="$V$45">
      <xdr:nvSpPr>
        <xdr:cNvPr id="7197932" name="TextBox 17"/>
        <xdr:cNvSpPr txBox="1">
          <a:spLocks noChangeArrowheads="1"/>
        </xdr:cNvSpPr>
      </xdr:nvSpPr>
      <xdr:spPr bwMode="auto">
        <a:xfrm>
          <a:off x="8696325" y="3514725"/>
          <a:ext cx="1000125" cy="314325"/>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F732EECB-FA20-4D16-87A4-84F456EE99FA}"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14</xdr:col>
      <xdr:colOff>523875</xdr:colOff>
      <xdr:row>26</xdr:row>
      <xdr:rowOff>38100</xdr:rowOff>
    </xdr:from>
    <xdr:to>
      <xdr:col>16</xdr:col>
      <xdr:colOff>304800</xdr:colOff>
      <xdr:row>28</xdr:row>
      <xdr:rowOff>3244</xdr:rowOff>
    </xdr:to>
    <xdr:sp macro="" textlink="$V$40">
      <xdr:nvSpPr>
        <xdr:cNvPr id="7197933" name="TextBox 18"/>
        <xdr:cNvSpPr txBox="1">
          <a:spLocks noChangeArrowheads="1"/>
        </xdr:cNvSpPr>
      </xdr:nvSpPr>
      <xdr:spPr bwMode="auto">
        <a:xfrm>
          <a:off x="8782050" y="4772025"/>
          <a:ext cx="1000125" cy="295275"/>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0B5222E7-5799-4BD8-8895-001631204E46}" type="TxLink">
            <a:rPr lang="en-US" sz="1100" b="0" i="0" u="none" strike="noStrike" baseline="0">
              <a:solidFill>
                <a:srgbClr val="000000"/>
              </a:solidFill>
              <a:latin typeface="Calibri"/>
              <a:cs typeface="Arial"/>
            </a:rPr>
            <a:pPr algn="ctr" rtl="0">
              <a:defRPr sz="1000"/>
            </a:pPr>
            <a:t>0.00 </a:t>
          </a:fld>
          <a:endParaRPr lang="en-US" sz="1000"/>
        </a:p>
      </xdr:txBody>
    </xdr:sp>
    <xdr:clientData/>
  </xdr:twoCellAnchor>
  <xdr:twoCellAnchor>
    <xdr:from>
      <xdr:col>13</xdr:col>
      <xdr:colOff>571500</xdr:colOff>
      <xdr:row>34</xdr:row>
      <xdr:rowOff>117475</xdr:rowOff>
    </xdr:from>
    <xdr:to>
      <xdr:col>15</xdr:col>
      <xdr:colOff>352425</xdr:colOff>
      <xdr:row>36</xdr:row>
      <xdr:rowOff>96153</xdr:rowOff>
    </xdr:to>
    <xdr:sp macro="" textlink="$V$41">
      <xdr:nvSpPr>
        <xdr:cNvPr id="7197934" name="TextBox 19"/>
        <xdr:cNvSpPr txBox="1">
          <a:spLocks noChangeArrowheads="1"/>
        </xdr:cNvSpPr>
      </xdr:nvSpPr>
      <xdr:spPr bwMode="auto">
        <a:xfrm>
          <a:off x="8220075" y="6153150"/>
          <a:ext cx="1000125" cy="295275"/>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EC20A470-68AE-4003-A27F-47435C73B934}" type="TxLink">
            <a:rPr lang="en-US" sz="1000" b="0" i="0" u="none" strike="noStrike" baseline="0">
              <a:solidFill>
                <a:srgbClr val="000000"/>
              </a:solidFill>
              <a:latin typeface="Calibri"/>
              <a:cs typeface="Arial"/>
            </a:rPr>
            <a:pPr algn="ctr" rtl="0">
              <a:defRPr sz="1000"/>
            </a:pPr>
            <a:t>0.00 </a:t>
          </a:fld>
          <a:endParaRPr lang="en-US" sz="1050"/>
        </a:p>
      </xdr:txBody>
    </xdr:sp>
    <xdr:clientData/>
  </xdr:twoCellAnchor>
  <xdr:twoCellAnchor>
    <xdr:from>
      <xdr:col>11</xdr:col>
      <xdr:colOff>257175</xdr:colOff>
      <xdr:row>35</xdr:row>
      <xdr:rowOff>136525</xdr:rowOff>
    </xdr:from>
    <xdr:to>
      <xdr:col>13</xdr:col>
      <xdr:colOff>38100</xdr:colOff>
      <xdr:row>37</xdr:row>
      <xdr:rowOff>118058</xdr:rowOff>
    </xdr:to>
    <xdr:sp macro="" textlink="$V$43">
      <xdr:nvSpPr>
        <xdr:cNvPr id="7197935" name="TextBox 20"/>
        <xdr:cNvSpPr txBox="1">
          <a:spLocks noChangeArrowheads="1"/>
        </xdr:cNvSpPr>
      </xdr:nvSpPr>
      <xdr:spPr bwMode="auto">
        <a:xfrm>
          <a:off x="6686550" y="6334125"/>
          <a:ext cx="1000125" cy="304800"/>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25ED2C31-B698-45AC-A077-15CE97F6C631}"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6</xdr:col>
      <xdr:colOff>200025</xdr:colOff>
      <xdr:row>36</xdr:row>
      <xdr:rowOff>57150</xdr:rowOff>
    </xdr:from>
    <xdr:to>
      <xdr:col>7</xdr:col>
      <xdr:colOff>590550</xdr:colOff>
      <xdr:row>37</xdr:row>
      <xdr:rowOff>212738</xdr:rowOff>
    </xdr:to>
    <xdr:sp macro="" textlink="$V$44">
      <xdr:nvSpPr>
        <xdr:cNvPr id="7197936" name="TextBox 21"/>
        <xdr:cNvSpPr txBox="1">
          <a:spLocks noChangeArrowheads="1"/>
        </xdr:cNvSpPr>
      </xdr:nvSpPr>
      <xdr:spPr bwMode="auto">
        <a:xfrm>
          <a:off x="3581400" y="6410325"/>
          <a:ext cx="1000125" cy="323850"/>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EA9F6488-675A-4662-B301-3A62BD7F26FB}" type="TxLink">
            <a:rPr lang="en-US" sz="1000" b="0" i="0" u="none" strike="noStrike" baseline="0">
              <a:solidFill>
                <a:srgbClr val="000000"/>
              </a:solidFill>
              <a:latin typeface="Calibri"/>
              <a:cs typeface="Arial"/>
            </a:rPr>
            <a:pPr algn="ctr" rtl="0">
              <a:defRPr sz="1000"/>
            </a:pPr>
            <a:t>0.00 </a:t>
          </a:fld>
          <a:endParaRPr lang="en-US" sz="800"/>
        </a:p>
      </xdr:txBody>
    </xdr:sp>
    <xdr:clientData/>
  </xdr:twoCellAnchor>
  <xdr:twoCellAnchor>
    <xdr:from>
      <xdr:col>5</xdr:col>
      <xdr:colOff>238125</xdr:colOff>
      <xdr:row>24</xdr:row>
      <xdr:rowOff>5715</xdr:rowOff>
    </xdr:from>
    <xdr:to>
      <xdr:col>7</xdr:col>
      <xdr:colOff>19050</xdr:colOff>
      <xdr:row>25</xdr:row>
      <xdr:rowOff>134094</xdr:rowOff>
    </xdr:to>
    <xdr:sp macro="" textlink="$V$47">
      <xdr:nvSpPr>
        <xdr:cNvPr id="7197937" name="TextBox 22"/>
        <xdr:cNvSpPr txBox="1">
          <a:spLocks noChangeArrowheads="1"/>
        </xdr:cNvSpPr>
      </xdr:nvSpPr>
      <xdr:spPr bwMode="auto">
        <a:xfrm>
          <a:off x="3009900" y="4400550"/>
          <a:ext cx="1000125" cy="304800"/>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D93C3600-11AC-495E-9CE4-477BA4A5BC76}" type="TxLink">
            <a:rPr lang="en-US" sz="1100" b="0" i="0" u="none" strike="noStrike" baseline="0">
              <a:solidFill>
                <a:srgbClr val="000000"/>
              </a:solidFill>
              <a:latin typeface="Calibri"/>
              <a:cs typeface="Arial"/>
            </a:rPr>
            <a:pPr algn="ctr" rtl="0">
              <a:defRPr sz="1000"/>
            </a:pPr>
            <a:t>0.00 </a:t>
          </a:fld>
          <a:endParaRPr lang="en-US"/>
        </a:p>
      </xdr:txBody>
    </xdr:sp>
    <xdr:clientData/>
  </xdr:twoCellAnchor>
  <xdr:twoCellAnchor>
    <xdr:from>
      <xdr:col>2</xdr:col>
      <xdr:colOff>590550</xdr:colOff>
      <xdr:row>24</xdr:row>
      <xdr:rowOff>95250</xdr:rowOff>
    </xdr:from>
    <xdr:to>
      <xdr:col>4</xdr:col>
      <xdr:colOff>371475</xdr:colOff>
      <xdr:row>26</xdr:row>
      <xdr:rowOff>98486</xdr:rowOff>
    </xdr:to>
    <xdr:sp macro="" textlink="$V$51">
      <xdr:nvSpPr>
        <xdr:cNvPr id="7197938" name="TextBox 23"/>
        <xdr:cNvSpPr txBox="1">
          <a:spLocks noChangeArrowheads="1"/>
        </xdr:cNvSpPr>
      </xdr:nvSpPr>
      <xdr:spPr bwMode="auto">
        <a:xfrm>
          <a:off x="1533525" y="4505325"/>
          <a:ext cx="1000125" cy="333375"/>
        </a:xfrm>
        <a:prstGeom prst="rect">
          <a:avLst/>
        </a:prstGeom>
        <a:solidFill>
          <a:srgbClr val="FFC000"/>
        </a:solidFill>
        <a:ln w="9525">
          <a:solidFill>
            <a:srgbClr val="BCBCBC"/>
          </a:solidFill>
          <a:miter lim="800000"/>
          <a:headEnd/>
          <a:tailEnd/>
        </a:ln>
      </xdr:spPr>
      <xdr:txBody>
        <a:bodyPr vertOverflow="clip" wrap="square" lIns="91440" tIns="45720" rIns="91440" bIns="45720" anchor="ctr" upright="1"/>
        <a:lstStyle/>
        <a:p>
          <a:pPr algn="ctr" rtl="0">
            <a:defRPr sz="1000"/>
          </a:pPr>
          <a:fld id="{BAB75CAF-93B6-40AC-8E78-B0AFDCBE0281}" type="TxLink">
            <a:rPr lang="en-US" sz="1100" b="0" i="0" u="none" strike="noStrike" baseline="0">
              <a:solidFill>
                <a:srgbClr val="000000"/>
              </a:solidFill>
              <a:latin typeface="Calibri"/>
              <a:cs typeface="Arial"/>
            </a:rPr>
            <a:pPr algn="ctr" rtl="0">
              <a:defRPr sz="1000"/>
            </a:pPr>
            <a:t>0.00 </a:t>
          </a:fld>
          <a:endParaRPr lang="en-US"/>
        </a:p>
      </xdr:txBody>
    </xdr:sp>
    <xdr:clientData/>
  </xdr:twoCellAnchor>
  <xdr:twoCellAnchor>
    <xdr:from>
      <xdr:col>14</xdr:col>
      <xdr:colOff>133350</xdr:colOff>
      <xdr:row>9</xdr:row>
      <xdr:rowOff>24130</xdr:rowOff>
    </xdr:from>
    <xdr:to>
      <xdr:col>16</xdr:col>
      <xdr:colOff>161925</xdr:colOff>
      <xdr:row>11</xdr:row>
      <xdr:rowOff>24368</xdr:rowOff>
    </xdr:to>
    <xdr:sp macro="" textlink="$U$7">
      <xdr:nvSpPr>
        <xdr:cNvPr id="7197939" name="TextBox 24"/>
        <xdr:cNvSpPr txBox="1">
          <a:spLocks noChangeArrowheads="1"/>
        </xdr:cNvSpPr>
      </xdr:nvSpPr>
      <xdr:spPr bwMode="auto">
        <a:xfrm>
          <a:off x="8391525" y="1805305"/>
          <a:ext cx="1247775" cy="362188"/>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736939FC-4ABE-4965-8D54-7CF8AD96115D}" type="TxLink">
            <a:rPr lang="en-US" sz="1100" b="1" i="0" u="none" strike="noStrike" baseline="0">
              <a:solidFill>
                <a:srgbClr val="000000"/>
              </a:solidFill>
              <a:latin typeface="Calibri"/>
              <a:cs typeface="Arial"/>
            </a:rPr>
            <a:pPr algn="ctr" rtl="0">
              <a:defRPr sz="1000"/>
            </a:pPr>
            <a:t>0</a:t>
          </a:fld>
          <a:endParaRPr lang="en-US" sz="1100" b="1" i="0" u="none" strike="noStrike" baseline="0">
            <a:solidFill>
              <a:srgbClr val="000000"/>
            </a:solidFill>
            <a:latin typeface="Calibri"/>
          </a:endParaRPr>
        </a:p>
      </xdr:txBody>
    </xdr:sp>
    <xdr:clientData/>
  </xdr:twoCellAnchor>
  <xdr:twoCellAnchor>
    <xdr:from>
      <xdr:col>1</xdr:col>
      <xdr:colOff>219075</xdr:colOff>
      <xdr:row>33</xdr:row>
      <xdr:rowOff>5715</xdr:rowOff>
    </xdr:from>
    <xdr:to>
      <xdr:col>5</xdr:col>
      <xdr:colOff>9525</xdr:colOff>
      <xdr:row>35</xdr:row>
      <xdr:rowOff>38420</xdr:rowOff>
    </xdr:to>
    <xdr:sp macro="" textlink="$Z$10">
      <xdr:nvSpPr>
        <xdr:cNvPr id="7197940" name="TextBox 26"/>
        <xdr:cNvSpPr txBox="1">
          <a:spLocks noChangeArrowheads="1"/>
        </xdr:cNvSpPr>
      </xdr:nvSpPr>
      <xdr:spPr bwMode="auto">
        <a:xfrm>
          <a:off x="552450" y="6044565"/>
          <a:ext cx="2228850" cy="356555"/>
        </a:xfrm>
        <a:prstGeom prst="rect">
          <a:avLst/>
        </a:prstGeom>
        <a:solidFill>
          <a:srgbClr val="FFFFFF"/>
        </a:solidFill>
        <a:ln w="9525">
          <a:solidFill>
            <a:srgbClr val="BCBCBC"/>
          </a:solidFill>
          <a:miter lim="800000"/>
          <a:headEnd/>
          <a:tailEnd/>
        </a:ln>
      </xdr:spPr>
      <xdr:txBody>
        <a:bodyPr vertOverflow="clip" wrap="square" lIns="91440" tIns="45720" rIns="91440" bIns="45720" anchor="ctr" upright="1"/>
        <a:lstStyle/>
        <a:p>
          <a:pPr algn="ctr" rtl="0">
            <a:defRPr sz="1000"/>
          </a:pPr>
          <a:fld id="{3A49C6CF-8D24-44C9-BC4C-44B0347C3A18}" type="TxLink">
            <a:rPr lang="en-US" sz="1000" b="0" i="0" u="none" strike="noStrike" baseline="0">
              <a:solidFill>
                <a:srgbClr val="000000"/>
              </a:solidFill>
              <a:latin typeface="Arial"/>
              <a:cs typeface="Arial"/>
            </a:rPr>
            <a:pPr algn="ctr" rtl="0">
              <a:defRPr sz="1000"/>
            </a:pPr>
            <a:t>All quantities are in units of kgce/Hr.</a:t>
          </a:fld>
          <a:endParaRPr lang="en-US"/>
        </a:p>
      </xdr:txBody>
    </xdr:sp>
    <xdr:clientData/>
  </xdr:twoCellAnchor>
  <xdr:twoCellAnchor>
    <xdr:from>
      <xdr:col>1</xdr:col>
      <xdr:colOff>238125</xdr:colOff>
      <xdr:row>10</xdr:row>
      <xdr:rowOff>41275</xdr:rowOff>
    </xdr:from>
    <xdr:to>
      <xdr:col>3</xdr:col>
      <xdr:colOff>485775</xdr:colOff>
      <xdr:row>11</xdr:row>
      <xdr:rowOff>114384</xdr:rowOff>
    </xdr:to>
    <xdr:sp macro="" textlink="">
      <xdr:nvSpPr>
        <xdr:cNvPr id="28" name="TextBox 27"/>
        <xdr:cNvSpPr txBox="1"/>
      </xdr:nvSpPr>
      <xdr:spPr>
        <a:xfrm>
          <a:off x="571500" y="1476375"/>
          <a:ext cx="146685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Current Condition</a:t>
          </a:r>
        </a:p>
        <a:p>
          <a:endParaRPr lang="en-US" sz="1100"/>
        </a:p>
      </xdr:txBody>
    </xdr:sp>
    <xdr:clientData/>
  </xdr:twoCellAnchor>
  <xdr:twoCellAnchor>
    <xdr:from>
      <xdr:col>1</xdr:col>
      <xdr:colOff>238125</xdr:colOff>
      <xdr:row>11</xdr:row>
      <xdr:rowOff>119380</xdr:rowOff>
    </xdr:from>
    <xdr:to>
      <xdr:col>3</xdr:col>
      <xdr:colOff>495300</xdr:colOff>
      <xdr:row>13</xdr:row>
      <xdr:rowOff>5080</xdr:rowOff>
    </xdr:to>
    <xdr:sp macro="" textlink="">
      <xdr:nvSpPr>
        <xdr:cNvPr id="30" name="TextBox 29"/>
        <xdr:cNvSpPr txBox="1"/>
      </xdr:nvSpPr>
      <xdr:spPr>
        <a:xfrm>
          <a:off x="571500" y="1743075"/>
          <a:ext cx="1476375" cy="2476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Modified Condition</a:t>
          </a:r>
        </a:p>
      </xdr:txBody>
    </xdr:sp>
    <xdr:clientData/>
  </xdr:twoCellAnchor>
  <xdr:twoCellAnchor>
    <xdr:from>
      <xdr:col>1</xdr:col>
      <xdr:colOff>228600</xdr:colOff>
      <xdr:row>35</xdr:row>
      <xdr:rowOff>60325</xdr:rowOff>
    </xdr:from>
    <xdr:to>
      <xdr:col>5</xdr:col>
      <xdr:colOff>9525</xdr:colOff>
      <xdr:row>37</xdr:row>
      <xdr:rowOff>95309</xdr:rowOff>
    </xdr:to>
    <xdr:sp macro="" textlink="$Z$10">
      <xdr:nvSpPr>
        <xdr:cNvPr id="29" name="TextBox 28"/>
        <xdr:cNvSpPr txBox="1"/>
      </xdr:nvSpPr>
      <xdr:spPr>
        <a:xfrm>
          <a:off x="561975" y="6423025"/>
          <a:ext cx="2219325" cy="35883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B5BD9012-9F20-4CE0-B11B-E5D4D769391D}" type="TxLink">
            <a:rPr lang="en-US" altLang="en-US" sz="1000" b="0" i="0" u="none" strike="noStrike">
              <a:solidFill>
                <a:srgbClr val="000000"/>
              </a:solidFill>
              <a:latin typeface="Arial"/>
              <a:cs typeface="Arial"/>
            </a:rPr>
            <a:pPr algn="ctr"/>
            <a:t>All quantities are in units of kgce/Hr.</a:t>
          </a:fld>
          <a:endParaRPr lang="en-US" sz="1100"/>
        </a:p>
      </xdr:txBody>
    </xdr:sp>
    <xdr:clientData/>
  </xdr:twoCellAnchor>
  <mc:AlternateContent xmlns:mc="http://schemas.openxmlformats.org/markup-compatibility/2006">
    <mc:Choice xmlns:a14="http://schemas.microsoft.com/office/drawing/2010/main" Requires="a14">
      <xdr:twoCellAnchor editAs="oneCell">
        <xdr:from>
          <xdr:col>17</xdr:col>
          <xdr:colOff>342900</xdr:colOff>
          <xdr:row>19</xdr:row>
          <xdr:rowOff>161925</xdr:rowOff>
        </xdr:from>
        <xdr:to>
          <xdr:col>18</xdr:col>
          <xdr:colOff>609600</xdr:colOff>
          <xdr:row>22</xdr:row>
          <xdr:rowOff>152400</xdr:rowOff>
        </xdr:to>
        <xdr:sp macro="" textlink="">
          <xdr:nvSpPr>
            <xdr:cNvPr id="6962225" name="CommandButtonReturn" hidden="1">
              <a:extLst>
                <a:ext uri="{63B3BB69-23CF-44E3-9099-C40C66FF867C}">
                  <a14:compatExt spid="_x0000_s69622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15</xdr:row>
          <xdr:rowOff>171450</xdr:rowOff>
        </xdr:from>
        <xdr:to>
          <xdr:col>18</xdr:col>
          <xdr:colOff>609600</xdr:colOff>
          <xdr:row>18</xdr:row>
          <xdr:rowOff>133350</xdr:rowOff>
        </xdr:to>
        <xdr:sp macro="" textlink="">
          <xdr:nvSpPr>
            <xdr:cNvPr id="6962226" name="CommandButtonNextPage" hidden="1">
              <a:extLst>
                <a:ext uri="{63B3BB69-23CF-44E3-9099-C40C66FF867C}">
                  <a14:compatExt spid="_x0000_s696222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323850</xdr:colOff>
          <xdr:row>12</xdr:row>
          <xdr:rowOff>38100</xdr:rowOff>
        </xdr:from>
        <xdr:to>
          <xdr:col>18</xdr:col>
          <xdr:colOff>590550</xdr:colOff>
          <xdr:row>15</xdr:row>
          <xdr:rowOff>0</xdr:rowOff>
        </xdr:to>
        <xdr:sp macro="" textlink="">
          <xdr:nvSpPr>
            <xdr:cNvPr id="6962227" name="CommandButtonPrevPage" hidden="1">
              <a:extLst>
                <a:ext uri="{63B3BB69-23CF-44E3-9099-C40C66FF867C}">
                  <a14:compatExt spid="_x0000_s696222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323850</xdr:colOff>
          <xdr:row>24</xdr:row>
          <xdr:rowOff>142875</xdr:rowOff>
        </xdr:from>
        <xdr:to>
          <xdr:col>18</xdr:col>
          <xdr:colOff>590550</xdr:colOff>
          <xdr:row>28</xdr:row>
          <xdr:rowOff>0</xdr:rowOff>
        </xdr:to>
        <xdr:sp macro="" textlink="">
          <xdr:nvSpPr>
            <xdr:cNvPr id="7197945" name="CommandButton1" hidden="1">
              <a:extLst>
                <a:ext uri="{63B3BB69-23CF-44E3-9099-C40C66FF867C}">
                  <a14:compatExt spid="_x0000_s719794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428624</xdr:colOff>
      <xdr:row>7</xdr:row>
      <xdr:rowOff>19050</xdr:rowOff>
    </xdr:from>
    <xdr:to>
      <xdr:col>7</xdr:col>
      <xdr:colOff>333375</xdr:colOff>
      <xdr:row>41</xdr:row>
      <xdr:rowOff>85724</xdr:rowOff>
    </xdr:to>
    <xdr:graphicFrame macro="">
      <xdr:nvGraphicFramePr>
        <xdr:cNvPr id="1317825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7</xdr:col>
      <xdr:colOff>390525</xdr:colOff>
      <xdr:row>7</xdr:row>
      <xdr:rowOff>19050</xdr:rowOff>
    </xdr:from>
    <xdr:to>
      <xdr:col>15</xdr:col>
      <xdr:colOff>57150</xdr:colOff>
      <xdr:row>31</xdr:row>
      <xdr:rowOff>19050</xdr:rowOff>
    </xdr:to>
    <xdr:graphicFrame macro="">
      <xdr:nvGraphicFramePr>
        <xdr:cNvPr id="13178258"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435823</xdr:colOff>
      <xdr:row>41</xdr:row>
      <xdr:rowOff>79800</xdr:rowOff>
    </xdr:from>
    <xdr:to>
      <xdr:col>7</xdr:col>
      <xdr:colOff>485775</xdr:colOff>
      <xdr:row>44</xdr:row>
      <xdr:rowOff>104775</xdr:rowOff>
    </xdr:to>
    <xdr:sp macro="" textlink="">
      <xdr:nvSpPr>
        <xdr:cNvPr id="2" name="TextBox 1"/>
        <xdr:cNvSpPr txBox="1"/>
      </xdr:nvSpPr>
      <xdr:spPr>
        <a:xfrm>
          <a:off x="435823" y="8557050"/>
          <a:ext cx="5812577" cy="596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ysClr val="windowText" lastClr="000000"/>
              </a:solidFill>
            </a:rPr>
            <a:t>Note - If</a:t>
          </a:r>
          <a:r>
            <a:rPr lang="en-US" sz="1200" baseline="0">
              <a:solidFill>
                <a:sysClr val="windowText" lastClr="000000"/>
              </a:solidFill>
            </a:rPr>
            <a:t> the data labels are displaced or entangled, please adjust them manually. You could also change the overall layout of the chart using chart design tools.</a:t>
          </a:r>
          <a:endParaRPr lang="en-US" sz="12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666750</xdr:colOff>
          <xdr:row>45</xdr:row>
          <xdr:rowOff>9525</xdr:rowOff>
        </xdr:from>
        <xdr:to>
          <xdr:col>5</xdr:col>
          <xdr:colOff>771525</xdr:colOff>
          <xdr:row>47</xdr:row>
          <xdr:rowOff>133350</xdr:rowOff>
        </xdr:to>
        <xdr:sp macro="" textlink="">
          <xdr:nvSpPr>
            <xdr:cNvPr id="5654546" name="CommandButtonReturn" hidden="1">
              <a:extLst>
                <a:ext uri="{63B3BB69-23CF-44E3-9099-C40C66FF867C}">
                  <a14:compatExt spid="_x0000_s56545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45</xdr:row>
          <xdr:rowOff>19050</xdr:rowOff>
        </xdr:from>
        <xdr:to>
          <xdr:col>3</xdr:col>
          <xdr:colOff>152400</xdr:colOff>
          <xdr:row>47</xdr:row>
          <xdr:rowOff>142875</xdr:rowOff>
        </xdr:to>
        <xdr:sp macro="" textlink="">
          <xdr:nvSpPr>
            <xdr:cNvPr id="5654547" name="CommandButtonPrevPage" hidden="1">
              <a:extLst>
                <a:ext uri="{63B3BB69-23CF-44E3-9099-C40C66FF867C}">
                  <a14:compatExt spid="_x0000_s56545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45</xdr:row>
          <xdr:rowOff>28575</xdr:rowOff>
        </xdr:from>
        <xdr:to>
          <xdr:col>4</xdr:col>
          <xdr:colOff>495300</xdr:colOff>
          <xdr:row>47</xdr:row>
          <xdr:rowOff>152400</xdr:rowOff>
        </xdr:to>
        <xdr:sp macro="" textlink="">
          <xdr:nvSpPr>
            <xdr:cNvPr id="5654960" name="CommandButtonNextPage" hidden="1">
              <a:extLst>
                <a:ext uri="{63B3BB69-23CF-44E3-9099-C40C66FF867C}">
                  <a14:compatExt spid="_x0000_s565496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45</xdr:row>
          <xdr:rowOff>9525</xdr:rowOff>
        </xdr:from>
        <xdr:to>
          <xdr:col>7</xdr:col>
          <xdr:colOff>257175</xdr:colOff>
          <xdr:row>47</xdr:row>
          <xdr:rowOff>133350</xdr:rowOff>
        </xdr:to>
        <xdr:sp macro="" textlink="">
          <xdr:nvSpPr>
            <xdr:cNvPr id="5655227" name="CommandButton1" hidden="1">
              <a:extLst>
                <a:ext uri="{63B3BB69-23CF-44E3-9099-C40C66FF867C}">
                  <a14:compatExt spid="_x0000_s5655227"/>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438150</xdr:colOff>
      <xdr:row>7</xdr:row>
      <xdr:rowOff>19050</xdr:rowOff>
    </xdr:from>
    <xdr:to>
      <xdr:col>7</xdr:col>
      <xdr:colOff>498035</xdr:colOff>
      <xdr:row>41</xdr:row>
      <xdr:rowOff>171450</xdr:rowOff>
    </xdr:to>
    <xdr:graphicFrame macro="">
      <xdr:nvGraphicFramePr>
        <xdr:cNvPr id="1412818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7</xdr:col>
      <xdr:colOff>571500</xdr:colOff>
      <xdr:row>7</xdr:row>
      <xdr:rowOff>28575</xdr:rowOff>
    </xdr:from>
    <xdr:to>
      <xdr:col>15</xdr:col>
      <xdr:colOff>285751</xdr:colOff>
      <xdr:row>29</xdr:row>
      <xdr:rowOff>114298</xdr:rowOff>
    </xdr:to>
    <xdr:graphicFrame macro="">
      <xdr:nvGraphicFramePr>
        <xdr:cNvPr id="1412818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436510</xdr:colOff>
      <xdr:row>42</xdr:row>
      <xdr:rowOff>10017</xdr:rowOff>
    </xdr:from>
    <xdr:to>
      <xdr:col>9</xdr:col>
      <xdr:colOff>177536</xdr:colOff>
      <xdr:row>44</xdr:row>
      <xdr:rowOff>139066</xdr:rowOff>
    </xdr:to>
    <xdr:sp macro="" textlink="">
      <xdr:nvSpPr>
        <xdr:cNvPr id="4" name="TextBox 1"/>
        <xdr:cNvSpPr txBox="1"/>
      </xdr:nvSpPr>
      <xdr:spPr>
        <a:xfrm>
          <a:off x="436510" y="8677767"/>
          <a:ext cx="7275301" cy="51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a:solidFill>
                <a:sysClr val="windowText" lastClr="000000"/>
              </a:solidFill>
            </a:rPr>
            <a:t>Note - If</a:t>
          </a:r>
          <a:r>
            <a:rPr lang="en-US" sz="1200" baseline="0">
              <a:solidFill>
                <a:sysClr val="windowText" lastClr="000000"/>
              </a:solidFill>
            </a:rPr>
            <a:t> the data labels are displaced or entangled, please adjust them manually. You could also change the overall layout of the chart using chart design tools.</a:t>
          </a:r>
          <a:endParaRPr lang="en-US" sz="12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457200</xdr:colOff>
          <xdr:row>44</xdr:row>
          <xdr:rowOff>76200</xdr:rowOff>
        </xdr:from>
        <xdr:to>
          <xdr:col>6</xdr:col>
          <xdr:colOff>561975</xdr:colOff>
          <xdr:row>47</xdr:row>
          <xdr:rowOff>9525</xdr:rowOff>
        </xdr:to>
        <xdr:sp macro="" textlink="">
          <xdr:nvSpPr>
            <xdr:cNvPr id="6251522" name="CommandButtonReturn" hidden="1">
              <a:extLst>
                <a:ext uri="{63B3BB69-23CF-44E3-9099-C40C66FF867C}">
                  <a14:compatExt spid="_x0000_s625152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44</xdr:row>
          <xdr:rowOff>76200</xdr:rowOff>
        </xdr:from>
        <xdr:to>
          <xdr:col>3</xdr:col>
          <xdr:colOff>733425</xdr:colOff>
          <xdr:row>47</xdr:row>
          <xdr:rowOff>9525</xdr:rowOff>
        </xdr:to>
        <xdr:sp macro="" textlink="">
          <xdr:nvSpPr>
            <xdr:cNvPr id="6251523" name="CommandButtonPrevPage" hidden="1">
              <a:extLst>
                <a:ext uri="{63B3BB69-23CF-44E3-9099-C40C66FF867C}">
                  <a14:compatExt spid="_x0000_s625152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44</xdr:row>
          <xdr:rowOff>76200</xdr:rowOff>
        </xdr:from>
        <xdr:to>
          <xdr:col>5</xdr:col>
          <xdr:colOff>152400</xdr:colOff>
          <xdr:row>47</xdr:row>
          <xdr:rowOff>9525</xdr:rowOff>
        </xdr:to>
        <xdr:sp macro="" textlink="">
          <xdr:nvSpPr>
            <xdr:cNvPr id="6251704" name="CommandButtonNextPage" hidden="1">
              <a:extLst>
                <a:ext uri="{63B3BB69-23CF-44E3-9099-C40C66FF867C}">
                  <a14:compatExt spid="_x0000_s62517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44</xdr:row>
          <xdr:rowOff>66675</xdr:rowOff>
        </xdr:from>
        <xdr:to>
          <xdr:col>8</xdr:col>
          <xdr:colOff>266700</xdr:colOff>
          <xdr:row>47</xdr:row>
          <xdr:rowOff>0</xdr:rowOff>
        </xdr:to>
        <xdr:sp macro="" textlink="">
          <xdr:nvSpPr>
            <xdr:cNvPr id="6251879" name="CommandButton1" hidden="1">
              <a:extLst>
                <a:ext uri="{63B3BB69-23CF-44E3-9099-C40C66FF867C}">
                  <a14:compatExt spid="_x0000_s6251879"/>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1781175</xdr:colOff>
          <xdr:row>68</xdr:row>
          <xdr:rowOff>19050</xdr:rowOff>
        </xdr:from>
        <xdr:to>
          <xdr:col>2</xdr:col>
          <xdr:colOff>2733675</xdr:colOff>
          <xdr:row>70</xdr:row>
          <xdr:rowOff>161925</xdr:rowOff>
        </xdr:to>
        <xdr:sp macro="" textlink="">
          <xdr:nvSpPr>
            <xdr:cNvPr id="6289409" name="CommandButtonPrevPage" hidden="1">
              <a:extLst>
                <a:ext uri="{63B3BB69-23CF-44E3-9099-C40C66FF867C}">
                  <a14:compatExt spid="_x0000_s62894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3438525</xdr:colOff>
          <xdr:row>68</xdr:row>
          <xdr:rowOff>0</xdr:rowOff>
        </xdr:from>
        <xdr:to>
          <xdr:col>2</xdr:col>
          <xdr:colOff>4391025</xdr:colOff>
          <xdr:row>70</xdr:row>
          <xdr:rowOff>142875</xdr:rowOff>
        </xdr:to>
        <xdr:sp macro="" textlink="">
          <xdr:nvSpPr>
            <xdr:cNvPr id="6289410" name="CommandButtonReturn" hidden="1">
              <a:extLst>
                <a:ext uri="{63B3BB69-23CF-44E3-9099-C40C66FF867C}">
                  <a14:compatExt spid="_x0000_s6289410"/>
                </a:ext>
              </a:extLst>
            </xdr:cNvPr>
            <xdr:cNvSpPr/>
          </xdr:nvSpPr>
          <xdr:spPr>
            <a:xfrm>
              <a:off x="0" y="0"/>
              <a:ext cx="0" cy="0"/>
            </a:xfrm>
            <a:prstGeom prst="rect">
              <a:avLst/>
            </a:prstGeom>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361950</xdr:colOff>
          <xdr:row>5</xdr:row>
          <xdr:rowOff>9525</xdr:rowOff>
        </xdr:from>
        <xdr:to>
          <xdr:col>7</xdr:col>
          <xdr:colOff>600075</xdr:colOff>
          <xdr:row>6</xdr:row>
          <xdr:rowOff>133350</xdr:rowOff>
        </xdr:to>
        <xdr:sp macro="" textlink="">
          <xdr:nvSpPr>
            <xdr:cNvPr id="2573600" name="CommandButtonChgSolidData" hidden="1">
              <a:extLst>
                <a:ext uri="{63B3BB69-23CF-44E3-9099-C40C66FF867C}">
                  <a14:compatExt spid="_x0000_s257360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3</xdr:row>
          <xdr:rowOff>0</xdr:rowOff>
        </xdr:from>
        <xdr:to>
          <xdr:col>7</xdr:col>
          <xdr:colOff>609600</xdr:colOff>
          <xdr:row>3</xdr:row>
          <xdr:rowOff>504825</xdr:rowOff>
        </xdr:to>
        <xdr:sp macro="" textlink="">
          <xdr:nvSpPr>
            <xdr:cNvPr id="2573609" name="CommandButtonMatlSolidCopy" hidden="1">
              <a:extLst>
                <a:ext uri="{63B3BB69-23CF-44E3-9099-C40C66FF867C}">
                  <a14:compatExt spid="_x0000_s25736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2573860" name="TextBox1" hidden="1">
              <a:extLst>
                <a:ext uri="{63B3BB69-23CF-44E3-9099-C40C66FF867C}">
                  <a14:compatExt spid="_x0000_s25738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xdr:row>
          <xdr:rowOff>0</xdr:rowOff>
        </xdr:from>
        <xdr:to>
          <xdr:col>5</xdr:col>
          <xdr:colOff>0</xdr:colOff>
          <xdr:row>9</xdr:row>
          <xdr:rowOff>0</xdr:rowOff>
        </xdr:to>
        <xdr:sp macro="" textlink="">
          <xdr:nvSpPr>
            <xdr:cNvPr id="2573864" name="TextBox2" hidden="1">
              <a:extLst>
                <a:ext uri="{63B3BB69-23CF-44E3-9099-C40C66FF867C}">
                  <a14:compatExt spid="_x0000_s25738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5</xdr:col>
          <xdr:colOff>0</xdr:colOff>
          <xdr:row>10</xdr:row>
          <xdr:rowOff>0</xdr:rowOff>
        </xdr:to>
        <xdr:sp macro="" textlink="">
          <xdr:nvSpPr>
            <xdr:cNvPr id="2573865" name="TextBox3" hidden="1">
              <a:extLst>
                <a:ext uri="{63B3BB69-23CF-44E3-9099-C40C66FF867C}">
                  <a14:compatExt spid="_x0000_s25738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2573867" name="TextBox4" hidden="1">
              <a:extLst>
                <a:ext uri="{63B3BB69-23CF-44E3-9099-C40C66FF867C}">
                  <a14:compatExt spid="_x0000_s25738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5</xdr:col>
          <xdr:colOff>0</xdr:colOff>
          <xdr:row>7</xdr:row>
          <xdr:rowOff>0</xdr:rowOff>
        </xdr:to>
        <xdr:sp macro="" textlink="">
          <xdr:nvSpPr>
            <xdr:cNvPr id="2573869" name="TextBox5" hidden="1">
              <a:extLst>
                <a:ext uri="{63B3BB69-23CF-44E3-9099-C40C66FF867C}">
                  <a14:compatExt spid="_x0000_s25738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58</xdr:row>
          <xdr:rowOff>0</xdr:rowOff>
        </xdr:from>
        <xdr:to>
          <xdr:col>5</xdr:col>
          <xdr:colOff>0</xdr:colOff>
          <xdr:row>59</xdr:row>
          <xdr:rowOff>0</xdr:rowOff>
        </xdr:to>
        <xdr:sp macro="" textlink="">
          <xdr:nvSpPr>
            <xdr:cNvPr id="2573892" name="TextBox6" hidden="1">
              <a:extLst>
                <a:ext uri="{63B3BB69-23CF-44E3-9099-C40C66FF867C}">
                  <a14:compatExt spid="_x0000_s25738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59</xdr:row>
          <xdr:rowOff>0</xdr:rowOff>
        </xdr:from>
        <xdr:to>
          <xdr:col>5</xdr:col>
          <xdr:colOff>0</xdr:colOff>
          <xdr:row>60</xdr:row>
          <xdr:rowOff>0</xdr:rowOff>
        </xdr:to>
        <xdr:sp macro="" textlink="">
          <xdr:nvSpPr>
            <xdr:cNvPr id="2573893" name="TextBox7" hidden="1">
              <a:extLst>
                <a:ext uri="{63B3BB69-23CF-44E3-9099-C40C66FF867C}">
                  <a14:compatExt spid="_x0000_s25738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60</xdr:row>
          <xdr:rowOff>0</xdr:rowOff>
        </xdr:from>
        <xdr:to>
          <xdr:col>5</xdr:col>
          <xdr:colOff>0</xdr:colOff>
          <xdr:row>61</xdr:row>
          <xdr:rowOff>0</xdr:rowOff>
        </xdr:to>
        <xdr:sp macro="" textlink="">
          <xdr:nvSpPr>
            <xdr:cNvPr id="2573894" name="TextBox8" hidden="1">
              <a:extLst>
                <a:ext uri="{63B3BB69-23CF-44E3-9099-C40C66FF867C}">
                  <a14:compatExt spid="_x0000_s25738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61</xdr:row>
          <xdr:rowOff>0</xdr:rowOff>
        </xdr:from>
        <xdr:to>
          <xdr:col>5</xdr:col>
          <xdr:colOff>0</xdr:colOff>
          <xdr:row>62</xdr:row>
          <xdr:rowOff>0</xdr:rowOff>
        </xdr:to>
        <xdr:sp macro="" textlink="">
          <xdr:nvSpPr>
            <xdr:cNvPr id="2573895" name="TextBox9" hidden="1">
              <a:extLst>
                <a:ext uri="{63B3BB69-23CF-44E3-9099-C40C66FF867C}">
                  <a14:compatExt spid="_x0000_s25738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57</xdr:row>
          <xdr:rowOff>0</xdr:rowOff>
        </xdr:from>
        <xdr:to>
          <xdr:col>5</xdr:col>
          <xdr:colOff>0</xdr:colOff>
          <xdr:row>58</xdr:row>
          <xdr:rowOff>0</xdr:rowOff>
        </xdr:to>
        <xdr:sp macro="" textlink="">
          <xdr:nvSpPr>
            <xdr:cNvPr id="2573896" name="TextBox10" hidden="1">
              <a:extLst>
                <a:ext uri="{63B3BB69-23CF-44E3-9099-C40C66FF867C}">
                  <a14:compatExt spid="_x0000_s25738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109</xdr:row>
          <xdr:rowOff>0</xdr:rowOff>
        </xdr:from>
        <xdr:to>
          <xdr:col>5</xdr:col>
          <xdr:colOff>0</xdr:colOff>
          <xdr:row>110</xdr:row>
          <xdr:rowOff>0</xdr:rowOff>
        </xdr:to>
        <xdr:sp macro="" textlink="">
          <xdr:nvSpPr>
            <xdr:cNvPr id="2573900" name="TextBox11" hidden="1">
              <a:extLst>
                <a:ext uri="{63B3BB69-23CF-44E3-9099-C40C66FF867C}">
                  <a14:compatExt spid="_x0000_s25739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110</xdr:row>
          <xdr:rowOff>0</xdr:rowOff>
        </xdr:from>
        <xdr:to>
          <xdr:col>5</xdr:col>
          <xdr:colOff>0</xdr:colOff>
          <xdr:row>111</xdr:row>
          <xdr:rowOff>0</xdr:rowOff>
        </xdr:to>
        <xdr:sp macro="" textlink="">
          <xdr:nvSpPr>
            <xdr:cNvPr id="2573901" name="TextBox12" hidden="1">
              <a:extLst>
                <a:ext uri="{63B3BB69-23CF-44E3-9099-C40C66FF867C}">
                  <a14:compatExt spid="_x0000_s25739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111</xdr:row>
          <xdr:rowOff>0</xdr:rowOff>
        </xdr:from>
        <xdr:to>
          <xdr:col>5</xdr:col>
          <xdr:colOff>0</xdr:colOff>
          <xdr:row>112</xdr:row>
          <xdr:rowOff>0</xdr:rowOff>
        </xdr:to>
        <xdr:sp macro="" textlink="">
          <xdr:nvSpPr>
            <xdr:cNvPr id="2573902" name="TextBox13" hidden="1">
              <a:extLst>
                <a:ext uri="{63B3BB69-23CF-44E3-9099-C40C66FF867C}">
                  <a14:compatExt spid="_x0000_s25739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108</xdr:row>
          <xdr:rowOff>0</xdr:rowOff>
        </xdr:from>
        <xdr:to>
          <xdr:col>5</xdr:col>
          <xdr:colOff>0</xdr:colOff>
          <xdr:row>109</xdr:row>
          <xdr:rowOff>0</xdr:rowOff>
        </xdr:to>
        <xdr:sp macro="" textlink="">
          <xdr:nvSpPr>
            <xdr:cNvPr id="2573904" name="TextBox15" hidden="1">
              <a:extLst>
                <a:ext uri="{63B3BB69-23CF-44E3-9099-C40C66FF867C}">
                  <a14:compatExt spid="_x0000_s25739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152400</xdr:rowOff>
        </xdr:from>
        <xdr:to>
          <xdr:col>1</xdr:col>
          <xdr:colOff>304800</xdr:colOff>
          <xdr:row>20</xdr:row>
          <xdr:rowOff>104775</xdr:rowOff>
        </xdr:to>
        <xdr:sp macro="" textlink="">
          <xdr:nvSpPr>
            <xdr:cNvPr id="2573923" name="CommandButtonHelp" hidden="1">
              <a:extLst>
                <a:ext uri="{63B3BB69-23CF-44E3-9099-C40C66FF867C}">
                  <a14:compatExt spid="_x0000_s2573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8</xdr:row>
          <xdr:rowOff>114300</xdr:rowOff>
        </xdr:from>
        <xdr:to>
          <xdr:col>7</xdr:col>
          <xdr:colOff>619125</xdr:colOff>
          <xdr:row>10</xdr:row>
          <xdr:rowOff>123825</xdr:rowOff>
        </xdr:to>
        <xdr:sp macro="" textlink="">
          <xdr:nvSpPr>
            <xdr:cNvPr id="2573937" name="CommandButton1" hidden="1">
              <a:extLst>
                <a:ext uri="{63B3BB69-23CF-44E3-9099-C40C66FF867C}">
                  <a14:compatExt spid="_x0000_s2573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112</xdr:row>
          <xdr:rowOff>0</xdr:rowOff>
        </xdr:from>
        <xdr:to>
          <xdr:col>5</xdr:col>
          <xdr:colOff>0</xdr:colOff>
          <xdr:row>113</xdr:row>
          <xdr:rowOff>0</xdr:rowOff>
        </xdr:to>
        <xdr:sp macro="" textlink="">
          <xdr:nvSpPr>
            <xdr:cNvPr id="2573939" name="TextBox14" hidden="1">
              <a:extLst>
                <a:ext uri="{63B3BB69-23CF-44E3-9099-C40C66FF867C}">
                  <a14:compatExt spid="_x0000_s257393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361950</xdr:colOff>
          <xdr:row>3</xdr:row>
          <xdr:rowOff>9525</xdr:rowOff>
        </xdr:from>
        <xdr:to>
          <xdr:col>7</xdr:col>
          <xdr:colOff>781050</xdr:colOff>
          <xdr:row>3</xdr:row>
          <xdr:rowOff>514350</xdr:rowOff>
        </xdr:to>
        <xdr:sp macro="" textlink="">
          <xdr:nvSpPr>
            <xdr:cNvPr id="2063010" name="CommandButtonMatlLiquidCopy" hidden="1">
              <a:extLst>
                <a:ext uri="{63B3BB69-23CF-44E3-9099-C40C66FF867C}">
                  <a14:compatExt spid="_x0000_s206301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4</xdr:row>
          <xdr:rowOff>238125</xdr:rowOff>
        </xdr:from>
        <xdr:to>
          <xdr:col>7</xdr:col>
          <xdr:colOff>790575</xdr:colOff>
          <xdr:row>6</xdr:row>
          <xdr:rowOff>123825</xdr:rowOff>
        </xdr:to>
        <xdr:sp macro="" textlink="">
          <xdr:nvSpPr>
            <xdr:cNvPr id="2063011" name="CommandButtonChgLiquidData" hidden="1">
              <a:extLst>
                <a:ext uri="{63B3BB69-23CF-44E3-9099-C40C66FF867C}">
                  <a14:compatExt spid="_x0000_s206301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2063303" name="TextBox1" hidden="1">
              <a:extLst>
                <a:ext uri="{63B3BB69-23CF-44E3-9099-C40C66FF867C}">
                  <a14:compatExt spid="_x0000_s20633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xdr:row>
          <xdr:rowOff>0</xdr:rowOff>
        </xdr:from>
        <xdr:to>
          <xdr:col>5</xdr:col>
          <xdr:colOff>0</xdr:colOff>
          <xdr:row>9</xdr:row>
          <xdr:rowOff>0</xdr:rowOff>
        </xdr:to>
        <xdr:sp macro="" textlink="">
          <xdr:nvSpPr>
            <xdr:cNvPr id="2063304" name="TextBox2" hidden="1">
              <a:extLst>
                <a:ext uri="{63B3BB69-23CF-44E3-9099-C40C66FF867C}">
                  <a14:compatExt spid="_x0000_s20633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5</xdr:col>
          <xdr:colOff>0</xdr:colOff>
          <xdr:row>10</xdr:row>
          <xdr:rowOff>0</xdr:rowOff>
        </xdr:to>
        <xdr:sp macro="" textlink="">
          <xdr:nvSpPr>
            <xdr:cNvPr id="2063305" name="TextBox3" hidden="1">
              <a:extLst>
                <a:ext uri="{63B3BB69-23CF-44E3-9099-C40C66FF867C}">
                  <a14:compatExt spid="_x0000_s2063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5</xdr:col>
          <xdr:colOff>0</xdr:colOff>
          <xdr:row>7</xdr:row>
          <xdr:rowOff>0</xdr:rowOff>
        </xdr:to>
        <xdr:sp macro="" textlink="">
          <xdr:nvSpPr>
            <xdr:cNvPr id="2063307" name="TextBox5" hidden="1">
              <a:extLst>
                <a:ext uri="{63B3BB69-23CF-44E3-9099-C40C66FF867C}">
                  <a14:compatExt spid="_x0000_s2063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2063309" name="TextBox4" hidden="1">
              <a:extLst>
                <a:ext uri="{63B3BB69-23CF-44E3-9099-C40C66FF867C}">
                  <a14:compatExt spid="_x0000_s2063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46</xdr:row>
          <xdr:rowOff>0</xdr:rowOff>
        </xdr:from>
        <xdr:to>
          <xdr:col>5</xdr:col>
          <xdr:colOff>0</xdr:colOff>
          <xdr:row>47</xdr:row>
          <xdr:rowOff>0</xdr:rowOff>
        </xdr:to>
        <xdr:sp macro="" textlink="">
          <xdr:nvSpPr>
            <xdr:cNvPr id="2063310" name="TextBox6" hidden="1">
              <a:extLst>
                <a:ext uri="{63B3BB69-23CF-44E3-9099-C40C66FF867C}">
                  <a14:compatExt spid="_x0000_s20633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47</xdr:row>
          <xdr:rowOff>0</xdr:rowOff>
        </xdr:from>
        <xdr:to>
          <xdr:col>5</xdr:col>
          <xdr:colOff>0</xdr:colOff>
          <xdr:row>48</xdr:row>
          <xdr:rowOff>0</xdr:rowOff>
        </xdr:to>
        <xdr:sp macro="" textlink="">
          <xdr:nvSpPr>
            <xdr:cNvPr id="2063311" name="TextBox7" hidden="1">
              <a:extLst>
                <a:ext uri="{63B3BB69-23CF-44E3-9099-C40C66FF867C}">
                  <a14:compatExt spid="_x0000_s2063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48</xdr:row>
          <xdr:rowOff>0</xdr:rowOff>
        </xdr:from>
        <xdr:to>
          <xdr:col>5</xdr:col>
          <xdr:colOff>0</xdr:colOff>
          <xdr:row>49</xdr:row>
          <xdr:rowOff>0</xdr:rowOff>
        </xdr:to>
        <xdr:sp macro="" textlink="">
          <xdr:nvSpPr>
            <xdr:cNvPr id="2063312" name="TextBox8" hidden="1">
              <a:extLst>
                <a:ext uri="{63B3BB69-23CF-44E3-9099-C40C66FF867C}">
                  <a14:compatExt spid="_x0000_s2063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49</xdr:row>
          <xdr:rowOff>0</xdr:rowOff>
        </xdr:from>
        <xdr:to>
          <xdr:col>5</xdr:col>
          <xdr:colOff>0</xdr:colOff>
          <xdr:row>50</xdr:row>
          <xdr:rowOff>0</xdr:rowOff>
        </xdr:to>
        <xdr:sp macro="" textlink="">
          <xdr:nvSpPr>
            <xdr:cNvPr id="2063313" name="TextBox9" hidden="1">
              <a:extLst>
                <a:ext uri="{63B3BB69-23CF-44E3-9099-C40C66FF867C}">
                  <a14:compatExt spid="_x0000_s2063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0</xdr:rowOff>
        </xdr:from>
        <xdr:to>
          <xdr:col>5</xdr:col>
          <xdr:colOff>0</xdr:colOff>
          <xdr:row>46</xdr:row>
          <xdr:rowOff>0</xdr:rowOff>
        </xdr:to>
        <xdr:sp macro="" textlink="">
          <xdr:nvSpPr>
            <xdr:cNvPr id="2063314" name="TextBox10" hidden="1">
              <a:extLst>
                <a:ext uri="{63B3BB69-23CF-44E3-9099-C40C66FF867C}">
                  <a14:compatExt spid="_x0000_s2063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85</xdr:row>
          <xdr:rowOff>0</xdr:rowOff>
        </xdr:from>
        <xdr:to>
          <xdr:col>5</xdr:col>
          <xdr:colOff>0</xdr:colOff>
          <xdr:row>86</xdr:row>
          <xdr:rowOff>0</xdr:rowOff>
        </xdr:to>
        <xdr:sp macro="" textlink="">
          <xdr:nvSpPr>
            <xdr:cNvPr id="2063318" name="TextBox11" hidden="1">
              <a:extLst>
                <a:ext uri="{63B3BB69-23CF-44E3-9099-C40C66FF867C}">
                  <a14:compatExt spid="_x0000_s2063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86</xdr:row>
          <xdr:rowOff>0</xdr:rowOff>
        </xdr:from>
        <xdr:to>
          <xdr:col>5</xdr:col>
          <xdr:colOff>0</xdr:colOff>
          <xdr:row>87</xdr:row>
          <xdr:rowOff>0</xdr:rowOff>
        </xdr:to>
        <xdr:sp macro="" textlink="">
          <xdr:nvSpPr>
            <xdr:cNvPr id="2063319" name="TextBox12" hidden="1">
              <a:extLst>
                <a:ext uri="{63B3BB69-23CF-44E3-9099-C40C66FF867C}">
                  <a14:compatExt spid="_x0000_s2063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87</xdr:row>
          <xdr:rowOff>0</xdr:rowOff>
        </xdr:from>
        <xdr:to>
          <xdr:col>5</xdr:col>
          <xdr:colOff>0</xdr:colOff>
          <xdr:row>88</xdr:row>
          <xdr:rowOff>0</xdr:rowOff>
        </xdr:to>
        <xdr:sp macro="" textlink="">
          <xdr:nvSpPr>
            <xdr:cNvPr id="2063320" name="TextBox13" hidden="1">
              <a:extLst>
                <a:ext uri="{63B3BB69-23CF-44E3-9099-C40C66FF867C}">
                  <a14:compatExt spid="_x0000_s2063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88</xdr:row>
          <xdr:rowOff>0</xdr:rowOff>
        </xdr:from>
        <xdr:to>
          <xdr:col>5</xdr:col>
          <xdr:colOff>0</xdr:colOff>
          <xdr:row>89</xdr:row>
          <xdr:rowOff>0</xdr:rowOff>
        </xdr:to>
        <xdr:sp macro="" textlink="">
          <xdr:nvSpPr>
            <xdr:cNvPr id="2063321" name="TextBox14" hidden="1">
              <a:extLst>
                <a:ext uri="{63B3BB69-23CF-44E3-9099-C40C66FF867C}">
                  <a14:compatExt spid="_x0000_s2063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84</xdr:row>
          <xdr:rowOff>0</xdr:rowOff>
        </xdr:from>
        <xdr:to>
          <xdr:col>5</xdr:col>
          <xdr:colOff>0</xdr:colOff>
          <xdr:row>85</xdr:row>
          <xdr:rowOff>0</xdr:rowOff>
        </xdr:to>
        <xdr:sp macro="" textlink="">
          <xdr:nvSpPr>
            <xdr:cNvPr id="2063322" name="TextBox15" hidden="1">
              <a:extLst>
                <a:ext uri="{63B3BB69-23CF-44E3-9099-C40C66FF867C}">
                  <a14:compatExt spid="_x0000_s2063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xdr:row>
          <xdr:rowOff>523875</xdr:rowOff>
        </xdr:from>
        <xdr:to>
          <xdr:col>1</xdr:col>
          <xdr:colOff>304800</xdr:colOff>
          <xdr:row>19</xdr:row>
          <xdr:rowOff>19050</xdr:rowOff>
        </xdr:to>
        <xdr:sp macro="" textlink="">
          <xdr:nvSpPr>
            <xdr:cNvPr id="2063336" name="CommandButtonHelp" hidden="1">
              <a:extLst>
                <a:ext uri="{63B3BB69-23CF-44E3-9099-C40C66FF867C}">
                  <a14:compatExt spid="_x0000_s2063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8</xdr:row>
          <xdr:rowOff>133350</xdr:rowOff>
        </xdr:from>
        <xdr:to>
          <xdr:col>7</xdr:col>
          <xdr:colOff>781050</xdr:colOff>
          <xdr:row>10</xdr:row>
          <xdr:rowOff>152400</xdr:rowOff>
        </xdr:to>
        <xdr:sp macro="" textlink="">
          <xdr:nvSpPr>
            <xdr:cNvPr id="2063352" name="CommandButton1" hidden="1">
              <a:extLst>
                <a:ext uri="{63B3BB69-23CF-44E3-9099-C40C66FF867C}">
                  <a14:compatExt spid="_x0000_s2063352"/>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371475</xdr:colOff>
          <xdr:row>3</xdr:row>
          <xdr:rowOff>0</xdr:rowOff>
        </xdr:from>
        <xdr:to>
          <xdr:col>7</xdr:col>
          <xdr:colOff>781050</xdr:colOff>
          <xdr:row>3</xdr:row>
          <xdr:rowOff>504825</xdr:rowOff>
        </xdr:to>
        <xdr:sp macro="" textlink="">
          <xdr:nvSpPr>
            <xdr:cNvPr id="2066324" name="CommandButtonMatlGasCopy" hidden="1">
              <a:extLst>
                <a:ext uri="{63B3BB69-23CF-44E3-9099-C40C66FF867C}">
                  <a14:compatExt spid="_x0000_s206632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5</xdr:row>
          <xdr:rowOff>19050</xdr:rowOff>
        </xdr:from>
        <xdr:to>
          <xdr:col>7</xdr:col>
          <xdr:colOff>781050</xdr:colOff>
          <xdr:row>6</xdr:row>
          <xdr:rowOff>133350</xdr:rowOff>
        </xdr:to>
        <xdr:sp macro="" textlink="">
          <xdr:nvSpPr>
            <xdr:cNvPr id="2066325" name="CommandButtonChgGasData" hidden="1">
              <a:extLst>
                <a:ext uri="{63B3BB69-23CF-44E3-9099-C40C66FF867C}">
                  <a14:compatExt spid="_x0000_s20663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3636582" name="TextBox1" hidden="1">
              <a:extLst>
                <a:ext uri="{63B3BB69-23CF-44E3-9099-C40C66FF867C}">
                  <a14:compatExt spid="_x0000_s36365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5</xdr:col>
          <xdr:colOff>0</xdr:colOff>
          <xdr:row>7</xdr:row>
          <xdr:rowOff>0</xdr:rowOff>
        </xdr:to>
        <xdr:sp macro="" textlink="">
          <xdr:nvSpPr>
            <xdr:cNvPr id="3636584" name="TextBox2" hidden="1">
              <a:extLst>
                <a:ext uri="{63B3BB69-23CF-44E3-9099-C40C66FF867C}">
                  <a14:compatExt spid="_x0000_s36365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41</xdr:row>
          <xdr:rowOff>0</xdr:rowOff>
        </xdr:from>
        <xdr:to>
          <xdr:col>5</xdr:col>
          <xdr:colOff>0</xdr:colOff>
          <xdr:row>42</xdr:row>
          <xdr:rowOff>0</xdr:rowOff>
        </xdr:to>
        <xdr:sp macro="" textlink="">
          <xdr:nvSpPr>
            <xdr:cNvPr id="3636585" name="TextBox3" hidden="1">
              <a:extLst>
                <a:ext uri="{63B3BB69-23CF-44E3-9099-C40C66FF867C}">
                  <a14:compatExt spid="_x0000_s36365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40</xdr:row>
          <xdr:rowOff>0</xdr:rowOff>
        </xdr:from>
        <xdr:to>
          <xdr:col>5</xdr:col>
          <xdr:colOff>0</xdr:colOff>
          <xdr:row>41</xdr:row>
          <xdr:rowOff>0</xdr:rowOff>
        </xdr:to>
        <xdr:sp macro="" textlink="">
          <xdr:nvSpPr>
            <xdr:cNvPr id="3636586" name="TextBox4" hidden="1">
              <a:extLst>
                <a:ext uri="{63B3BB69-23CF-44E3-9099-C40C66FF867C}">
                  <a14:compatExt spid="_x0000_s36365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75</xdr:row>
          <xdr:rowOff>0</xdr:rowOff>
        </xdr:from>
        <xdr:to>
          <xdr:col>5</xdr:col>
          <xdr:colOff>0</xdr:colOff>
          <xdr:row>76</xdr:row>
          <xdr:rowOff>0</xdr:rowOff>
        </xdr:to>
        <xdr:sp macro="" textlink="">
          <xdr:nvSpPr>
            <xdr:cNvPr id="3636587" name="TextBox5" hidden="1">
              <a:extLst>
                <a:ext uri="{63B3BB69-23CF-44E3-9099-C40C66FF867C}">
                  <a14:compatExt spid="_x0000_s36365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74</xdr:row>
          <xdr:rowOff>0</xdr:rowOff>
        </xdr:from>
        <xdr:to>
          <xdr:col>5</xdr:col>
          <xdr:colOff>0</xdr:colOff>
          <xdr:row>75</xdr:row>
          <xdr:rowOff>0</xdr:rowOff>
        </xdr:to>
        <xdr:sp macro="" textlink="">
          <xdr:nvSpPr>
            <xdr:cNvPr id="3636588" name="TextBox6" hidden="1">
              <a:extLst>
                <a:ext uri="{63B3BB69-23CF-44E3-9099-C40C66FF867C}">
                  <a14:compatExt spid="_x0000_s36365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190500</xdr:rowOff>
        </xdr:from>
        <xdr:to>
          <xdr:col>1</xdr:col>
          <xdr:colOff>304800</xdr:colOff>
          <xdr:row>16</xdr:row>
          <xdr:rowOff>133350</xdr:rowOff>
        </xdr:to>
        <xdr:sp macro="" textlink="">
          <xdr:nvSpPr>
            <xdr:cNvPr id="3636603" name="CommandButtonHelp" hidden="1">
              <a:extLst>
                <a:ext uri="{63B3BB69-23CF-44E3-9099-C40C66FF867C}">
                  <a14:compatExt spid="_x0000_s3636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8</xdr:row>
          <xdr:rowOff>209550</xdr:rowOff>
        </xdr:from>
        <xdr:to>
          <xdr:col>7</xdr:col>
          <xdr:colOff>781050</xdr:colOff>
          <xdr:row>10</xdr:row>
          <xdr:rowOff>219075</xdr:rowOff>
        </xdr:to>
        <xdr:sp macro="" textlink="">
          <xdr:nvSpPr>
            <xdr:cNvPr id="3636617" name="CommandButton1" hidden="1">
              <a:extLst>
                <a:ext uri="{63B3BB69-23CF-44E3-9099-C40C66FF867C}">
                  <a14:compatExt spid="_x0000_s3636617"/>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7</xdr:row>
          <xdr:rowOff>238125</xdr:rowOff>
        </xdr:from>
        <xdr:to>
          <xdr:col>6</xdr:col>
          <xdr:colOff>581025</xdr:colOff>
          <xdr:row>10</xdr:row>
          <xdr:rowOff>0</xdr:rowOff>
        </xdr:to>
        <xdr:sp macro="" textlink="">
          <xdr:nvSpPr>
            <xdr:cNvPr id="2295922" name="CommandButtonFixtureData" hidden="1">
              <a:extLst>
                <a:ext uri="{63B3BB69-23CF-44E3-9099-C40C66FF867C}">
                  <a14:compatExt spid="_x0000_s229592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xdr:row>
          <xdr:rowOff>123825</xdr:rowOff>
        </xdr:from>
        <xdr:to>
          <xdr:col>0</xdr:col>
          <xdr:colOff>657225</xdr:colOff>
          <xdr:row>15</xdr:row>
          <xdr:rowOff>285750</xdr:rowOff>
        </xdr:to>
        <xdr:sp macro="" textlink="">
          <xdr:nvSpPr>
            <xdr:cNvPr id="2295930" name="CommandButtonHelp" hidden="1">
              <a:extLst>
                <a:ext uri="{63B3BB69-23CF-44E3-9099-C40C66FF867C}">
                  <a14:compatExt spid="_x0000_s2295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4</xdr:col>
          <xdr:colOff>0</xdr:colOff>
          <xdr:row>7</xdr:row>
          <xdr:rowOff>0</xdr:rowOff>
        </xdr:to>
        <xdr:sp macro="" textlink="">
          <xdr:nvSpPr>
            <xdr:cNvPr id="2295939" name="TextBox1" hidden="1">
              <a:extLst>
                <a:ext uri="{63B3BB69-23CF-44E3-9099-C40C66FF867C}">
                  <a14:compatExt spid="_x0000_s2295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2295940" name="TextBox2" hidden="1">
              <a:extLst>
                <a:ext uri="{63B3BB69-23CF-44E3-9099-C40C66FF867C}">
                  <a14:compatExt spid="_x0000_s22959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2295941" name="TextBox3" hidden="1">
              <a:extLst>
                <a:ext uri="{63B3BB69-23CF-44E3-9099-C40C66FF867C}">
                  <a14:compatExt spid="_x0000_s2295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2295942" name="TextBox4" hidden="1">
              <a:extLst>
                <a:ext uri="{63B3BB69-23CF-44E3-9099-C40C66FF867C}">
                  <a14:compatExt spid="_x0000_s22959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4</xdr:col>
          <xdr:colOff>0</xdr:colOff>
          <xdr:row>27</xdr:row>
          <xdr:rowOff>0</xdr:rowOff>
        </xdr:to>
        <xdr:sp macro="" textlink="">
          <xdr:nvSpPr>
            <xdr:cNvPr id="2295944" name="TextBox5" hidden="1">
              <a:extLst>
                <a:ext uri="{63B3BB69-23CF-44E3-9099-C40C66FF867C}">
                  <a14:compatExt spid="_x0000_s2295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0</xdr:rowOff>
        </xdr:from>
        <xdr:to>
          <xdr:col>4</xdr:col>
          <xdr:colOff>0</xdr:colOff>
          <xdr:row>28</xdr:row>
          <xdr:rowOff>0</xdr:rowOff>
        </xdr:to>
        <xdr:sp macro="" textlink="">
          <xdr:nvSpPr>
            <xdr:cNvPr id="2295945" name="TextBox6" hidden="1">
              <a:extLst>
                <a:ext uri="{63B3BB69-23CF-44E3-9099-C40C66FF867C}">
                  <a14:compatExt spid="_x0000_s22959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36</xdr:row>
          <xdr:rowOff>0</xdr:rowOff>
        </xdr:from>
        <xdr:to>
          <xdr:col>4</xdr:col>
          <xdr:colOff>0</xdr:colOff>
          <xdr:row>37</xdr:row>
          <xdr:rowOff>0</xdr:rowOff>
        </xdr:to>
        <xdr:sp macro="" textlink="">
          <xdr:nvSpPr>
            <xdr:cNvPr id="2295949" name="TextBox7" hidden="1">
              <a:extLst>
                <a:ext uri="{63B3BB69-23CF-44E3-9099-C40C66FF867C}">
                  <a14:compatExt spid="_x0000_s2295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37</xdr:row>
          <xdr:rowOff>0</xdr:rowOff>
        </xdr:from>
        <xdr:to>
          <xdr:col>4</xdr:col>
          <xdr:colOff>0</xdr:colOff>
          <xdr:row>38</xdr:row>
          <xdr:rowOff>0</xdr:rowOff>
        </xdr:to>
        <xdr:sp macro="" textlink="">
          <xdr:nvSpPr>
            <xdr:cNvPr id="2295950" name="TextBox8" hidden="1">
              <a:extLst>
                <a:ext uri="{63B3BB69-23CF-44E3-9099-C40C66FF867C}">
                  <a14:compatExt spid="_x0000_s22959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46</xdr:row>
          <xdr:rowOff>0</xdr:rowOff>
        </xdr:from>
        <xdr:to>
          <xdr:col>4</xdr:col>
          <xdr:colOff>0</xdr:colOff>
          <xdr:row>47</xdr:row>
          <xdr:rowOff>0</xdr:rowOff>
        </xdr:to>
        <xdr:sp macro="" textlink="">
          <xdr:nvSpPr>
            <xdr:cNvPr id="2295951" name="TextBox9" hidden="1">
              <a:extLst>
                <a:ext uri="{63B3BB69-23CF-44E3-9099-C40C66FF867C}">
                  <a14:compatExt spid="_x0000_s2295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xdr:row>
          <xdr:rowOff>0</xdr:rowOff>
        </xdr:from>
        <xdr:to>
          <xdr:col>4</xdr:col>
          <xdr:colOff>0</xdr:colOff>
          <xdr:row>48</xdr:row>
          <xdr:rowOff>0</xdr:rowOff>
        </xdr:to>
        <xdr:sp macro="" textlink="">
          <xdr:nvSpPr>
            <xdr:cNvPr id="2295952" name="TextBox10" hidden="1">
              <a:extLst>
                <a:ext uri="{63B3BB69-23CF-44E3-9099-C40C66FF867C}">
                  <a14:compatExt spid="_x0000_s22959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57</xdr:row>
          <xdr:rowOff>0</xdr:rowOff>
        </xdr:from>
        <xdr:to>
          <xdr:col>4</xdr:col>
          <xdr:colOff>0</xdr:colOff>
          <xdr:row>58</xdr:row>
          <xdr:rowOff>0</xdr:rowOff>
        </xdr:to>
        <xdr:sp macro="" textlink="">
          <xdr:nvSpPr>
            <xdr:cNvPr id="2295954" name="TextBox12" hidden="1">
              <a:extLst>
                <a:ext uri="{63B3BB69-23CF-44E3-9099-C40C66FF867C}">
                  <a14:compatExt spid="_x0000_s22959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10</xdr:row>
          <xdr:rowOff>171450</xdr:rowOff>
        </xdr:from>
        <xdr:to>
          <xdr:col>6</xdr:col>
          <xdr:colOff>609600</xdr:colOff>
          <xdr:row>12</xdr:row>
          <xdr:rowOff>180975</xdr:rowOff>
        </xdr:to>
        <xdr:sp macro="" textlink="">
          <xdr:nvSpPr>
            <xdr:cNvPr id="2295970" name="CommandButton1" hidden="1">
              <a:extLst>
                <a:ext uri="{63B3BB69-23CF-44E3-9099-C40C66FF867C}">
                  <a14:compatExt spid="_x0000_s2295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xdr:row>
          <xdr:rowOff>0</xdr:rowOff>
        </xdr:from>
        <xdr:to>
          <xdr:col>4</xdr:col>
          <xdr:colOff>0</xdr:colOff>
          <xdr:row>57</xdr:row>
          <xdr:rowOff>0</xdr:rowOff>
        </xdr:to>
        <xdr:sp macro="" textlink="">
          <xdr:nvSpPr>
            <xdr:cNvPr id="2295974" name="TextBox11" hidden="1">
              <a:extLst>
                <a:ext uri="{63B3BB69-23CF-44E3-9099-C40C66FF867C}">
                  <a14:compatExt spid="_x0000_s2295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5</xdr:col>
          <xdr:colOff>0</xdr:colOff>
          <xdr:row>7</xdr:row>
          <xdr:rowOff>0</xdr:rowOff>
        </xdr:to>
        <xdr:sp macro="" textlink="">
          <xdr:nvSpPr>
            <xdr:cNvPr id="2295980" name="TextBox13" hidden="1">
              <a:extLst>
                <a:ext uri="{63B3BB69-23CF-44E3-9099-C40C66FF867C}">
                  <a14:compatExt spid="_x0000_s2295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2295981" name="TextBox14" hidden="1">
              <a:extLst>
                <a:ext uri="{63B3BB69-23CF-44E3-9099-C40C66FF867C}">
                  <a14:compatExt spid="_x0000_s22959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16</xdr:row>
          <xdr:rowOff>0</xdr:rowOff>
        </xdr:from>
        <xdr:to>
          <xdr:col>5</xdr:col>
          <xdr:colOff>0</xdr:colOff>
          <xdr:row>17</xdr:row>
          <xdr:rowOff>0</xdr:rowOff>
        </xdr:to>
        <xdr:sp macro="" textlink="">
          <xdr:nvSpPr>
            <xdr:cNvPr id="2295982" name="TextBox15" hidden="1">
              <a:extLst>
                <a:ext uri="{63B3BB69-23CF-44E3-9099-C40C66FF867C}">
                  <a14:compatExt spid="_x0000_s2295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17</xdr:row>
          <xdr:rowOff>0</xdr:rowOff>
        </xdr:from>
        <xdr:to>
          <xdr:col>5</xdr:col>
          <xdr:colOff>0</xdr:colOff>
          <xdr:row>18</xdr:row>
          <xdr:rowOff>0</xdr:rowOff>
        </xdr:to>
        <xdr:sp macro="" textlink="">
          <xdr:nvSpPr>
            <xdr:cNvPr id="2295983" name="TextBox16" hidden="1">
              <a:extLst>
                <a:ext uri="{63B3BB69-23CF-44E3-9099-C40C66FF867C}">
                  <a14:compatExt spid="_x0000_s22959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26</xdr:row>
          <xdr:rowOff>0</xdr:rowOff>
        </xdr:from>
        <xdr:to>
          <xdr:col>5</xdr:col>
          <xdr:colOff>0</xdr:colOff>
          <xdr:row>27</xdr:row>
          <xdr:rowOff>0</xdr:rowOff>
        </xdr:to>
        <xdr:sp macro="" textlink="">
          <xdr:nvSpPr>
            <xdr:cNvPr id="2295984" name="TextBox17" hidden="1">
              <a:extLst>
                <a:ext uri="{63B3BB69-23CF-44E3-9099-C40C66FF867C}">
                  <a14:compatExt spid="_x0000_s2295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27</xdr:row>
          <xdr:rowOff>0</xdr:rowOff>
        </xdr:from>
        <xdr:to>
          <xdr:col>5</xdr:col>
          <xdr:colOff>0</xdr:colOff>
          <xdr:row>28</xdr:row>
          <xdr:rowOff>0</xdr:rowOff>
        </xdr:to>
        <xdr:sp macro="" textlink="">
          <xdr:nvSpPr>
            <xdr:cNvPr id="2295985" name="TextBox18" hidden="1">
              <a:extLst>
                <a:ext uri="{63B3BB69-23CF-44E3-9099-C40C66FF867C}">
                  <a14:compatExt spid="_x0000_s22959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36</xdr:row>
          <xdr:rowOff>0</xdr:rowOff>
        </xdr:from>
        <xdr:to>
          <xdr:col>5</xdr:col>
          <xdr:colOff>0</xdr:colOff>
          <xdr:row>37</xdr:row>
          <xdr:rowOff>0</xdr:rowOff>
        </xdr:to>
        <xdr:sp macro="" textlink="">
          <xdr:nvSpPr>
            <xdr:cNvPr id="2295986" name="TextBox19" hidden="1">
              <a:extLst>
                <a:ext uri="{63B3BB69-23CF-44E3-9099-C40C66FF867C}">
                  <a14:compatExt spid="_x0000_s2295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37</xdr:row>
          <xdr:rowOff>0</xdr:rowOff>
        </xdr:from>
        <xdr:to>
          <xdr:col>5</xdr:col>
          <xdr:colOff>0</xdr:colOff>
          <xdr:row>38</xdr:row>
          <xdr:rowOff>0</xdr:rowOff>
        </xdr:to>
        <xdr:sp macro="" textlink="">
          <xdr:nvSpPr>
            <xdr:cNvPr id="2295987" name="TextBox20" hidden="1">
              <a:extLst>
                <a:ext uri="{63B3BB69-23CF-44E3-9099-C40C66FF867C}">
                  <a14:compatExt spid="_x0000_s22959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46</xdr:row>
          <xdr:rowOff>0</xdr:rowOff>
        </xdr:from>
        <xdr:to>
          <xdr:col>5</xdr:col>
          <xdr:colOff>0</xdr:colOff>
          <xdr:row>47</xdr:row>
          <xdr:rowOff>0</xdr:rowOff>
        </xdr:to>
        <xdr:sp macro="" textlink="">
          <xdr:nvSpPr>
            <xdr:cNvPr id="2295988" name="TextBox21" hidden="1">
              <a:extLst>
                <a:ext uri="{63B3BB69-23CF-44E3-9099-C40C66FF867C}">
                  <a14:compatExt spid="_x0000_s2295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47</xdr:row>
          <xdr:rowOff>0</xdr:rowOff>
        </xdr:from>
        <xdr:to>
          <xdr:col>5</xdr:col>
          <xdr:colOff>0</xdr:colOff>
          <xdr:row>48</xdr:row>
          <xdr:rowOff>0</xdr:rowOff>
        </xdr:to>
        <xdr:sp macro="" textlink="">
          <xdr:nvSpPr>
            <xdr:cNvPr id="2295989" name="TextBox22" hidden="1">
              <a:extLst>
                <a:ext uri="{63B3BB69-23CF-44E3-9099-C40C66FF867C}">
                  <a14:compatExt spid="_x0000_s22959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56</xdr:row>
          <xdr:rowOff>0</xdr:rowOff>
        </xdr:from>
        <xdr:to>
          <xdr:col>5</xdr:col>
          <xdr:colOff>0</xdr:colOff>
          <xdr:row>57</xdr:row>
          <xdr:rowOff>0</xdr:rowOff>
        </xdr:to>
        <xdr:sp macro="" textlink="">
          <xdr:nvSpPr>
            <xdr:cNvPr id="2295990" name="TextBox23" hidden="1">
              <a:extLst>
                <a:ext uri="{63B3BB69-23CF-44E3-9099-C40C66FF867C}">
                  <a14:compatExt spid="_x0000_s2295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57</xdr:row>
          <xdr:rowOff>0</xdr:rowOff>
        </xdr:from>
        <xdr:to>
          <xdr:col>5</xdr:col>
          <xdr:colOff>0</xdr:colOff>
          <xdr:row>58</xdr:row>
          <xdr:rowOff>0</xdr:rowOff>
        </xdr:to>
        <xdr:sp macro="" textlink="">
          <xdr:nvSpPr>
            <xdr:cNvPr id="2295991" name="TextBox24" hidden="1">
              <a:extLst>
                <a:ext uri="{63B3BB69-23CF-44E3-9099-C40C66FF867C}">
                  <a14:compatExt spid="_x0000_s22959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5</xdr:row>
          <xdr:rowOff>0</xdr:rowOff>
        </xdr:from>
        <xdr:to>
          <xdr:col>6</xdr:col>
          <xdr:colOff>581025</xdr:colOff>
          <xdr:row>6</xdr:row>
          <xdr:rowOff>180975</xdr:rowOff>
        </xdr:to>
        <xdr:sp macro="" textlink="">
          <xdr:nvSpPr>
            <xdr:cNvPr id="2295994" name="CommandButton2" hidden="1">
              <a:extLst>
                <a:ext uri="{63B3BB69-23CF-44E3-9099-C40C66FF867C}">
                  <a14:compatExt spid="_x0000_s229599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247650</xdr:colOff>
      <xdr:row>2</xdr:row>
      <xdr:rowOff>0</xdr:rowOff>
    </xdr:from>
    <xdr:to>
      <xdr:col>2</xdr:col>
      <xdr:colOff>247650</xdr:colOff>
      <xdr:row>2</xdr:row>
      <xdr:rowOff>0</xdr:rowOff>
    </xdr:to>
    <xdr:sp macro="" textlink="">
      <xdr:nvSpPr>
        <xdr:cNvPr id="11731820" name="Line 1"/>
        <xdr:cNvSpPr>
          <a:spLocks noChangeShapeType="1"/>
        </xdr:cNvSpPr>
      </xdr:nvSpPr>
      <xdr:spPr bwMode="auto">
        <a:xfrm>
          <a:off x="4276725" y="4667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352425</xdr:colOff>
      <xdr:row>2</xdr:row>
      <xdr:rowOff>0</xdr:rowOff>
    </xdr:from>
    <xdr:to>
      <xdr:col>10</xdr:col>
      <xdr:colOff>0</xdr:colOff>
      <xdr:row>2</xdr:row>
      <xdr:rowOff>0</xdr:rowOff>
    </xdr:to>
    <xdr:graphicFrame macro="">
      <xdr:nvGraphicFramePr>
        <xdr:cNvPr id="11731821"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419100</xdr:colOff>
          <xdr:row>1</xdr:row>
          <xdr:rowOff>285750</xdr:rowOff>
        </xdr:from>
        <xdr:to>
          <xdr:col>5</xdr:col>
          <xdr:colOff>1409700</xdr:colOff>
          <xdr:row>4</xdr:row>
          <xdr:rowOff>209550</xdr:rowOff>
        </xdr:to>
        <xdr:sp macro="" textlink="">
          <xdr:nvSpPr>
            <xdr:cNvPr id="28680" name="CommandButton2" hidden="1">
              <a:extLst>
                <a:ext uri="{63B3BB69-23CF-44E3-9099-C40C66FF867C}">
                  <a14:compatExt spid="_x0000_s2868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5</xdr:row>
          <xdr:rowOff>228600</xdr:rowOff>
        </xdr:from>
        <xdr:to>
          <xdr:col>5</xdr:col>
          <xdr:colOff>1409700</xdr:colOff>
          <xdr:row>7</xdr:row>
          <xdr:rowOff>209550</xdr:rowOff>
        </xdr:to>
        <xdr:sp macro="" textlink="">
          <xdr:nvSpPr>
            <xdr:cNvPr id="28681" name="CommandButton11" hidden="1">
              <a:extLst>
                <a:ext uri="{63B3BB69-23CF-44E3-9099-C40C66FF867C}">
                  <a14:compatExt spid="_x0000_s2868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xdr:row>
          <xdr:rowOff>28575</xdr:rowOff>
        </xdr:from>
        <xdr:to>
          <xdr:col>0</xdr:col>
          <xdr:colOff>666750</xdr:colOff>
          <xdr:row>16</xdr:row>
          <xdr:rowOff>123825</xdr:rowOff>
        </xdr:to>
        <xdr:sp macro="" textlink="">
          <xdr:nvSpPr>
            <xdr:cNvPr id="4978129" name="CommandButtonHelp" hidden="1">
              <a:extLst>
                <a:ext uri="{63B3BB69-23CF-44E3-9099-C40C66FF867C}">
                  <a14:compatExt spid="_x0000_s4978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8</xdr:row>
          <xdr:rowOff>219075</xdr:rowOff>
        </xdr:from>
        <xdr:to>
          <xdr:col>5</xdr:col>
          <xdr:colOff>1390650</xdr:colOff>
          <xdr:row>10</xdr:row>
          <xdr:rowOff>190500</xdr:rowOff>
        </xdr:to>
        <xdr:sp macro="" textlink="">
          <xdr:nvSpPr>
            <xdr:cNvPr id="4978467" name="CommandButton1" hidden="1">
              <a:extLst>
                <a:ext uri="{63B3BB69-23CF-44E3-9099-C40C66FF867C}">
                  <a14:compatExt spid="_x0000_s4978467"/>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342900</xdr:colOff>
          <xdr:row>9</xdr:row>
          <xdr:rowOff>38100</xdr:rowOff>
        </xdr:from>
        <xdr:to>
          <xdr:col>6</xdr:col>
          <xdr:colOff>466725</xdr:colOff>
          <xdr:row>11</xdr:row>
          <xdr:rowOff>19050</xdr:rowOff>
        </xdr:to>
        <xdr:sp macro="" textlink="">
          <xdr:nvSpPr>
            <xdr:cNvPr id="2323461" name="CommandButtonCoolData" hidden="1">
              <a:extLst>
                <a:ext uri="{63B3BB69-23CF-44E3-9099-C40C66FF867C}">
                  <a14:compatExt spid="_x0000_s23234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4</xdr:row>
          <xdr:rowOff>57150</xdr:rowOff>
        </xdr:from>
        <xdr:to>
          <xdr:col>6</xdr:col>
          <xdr:colOff>438150</xdr:colOff>
          <xdr:row>6</xdr:row>
          <xdr:rowOff>38100</xdr:rowOff>
        </xdr:to>
        <xdr:sp macro="" textlink="">
          <xdr:nvSpPr>
            <xdr:cNvPr id="2323463" name="CommandButtonCopyCool" hidden="1">
              <a:extLst>
                <a:ext uri="{63B3BB69-23CF-44E3-9099-C40C66FF867C}">
                  <a14:compatExt spid="_x0000_s232346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xdr:row>
          <xdr:rowOff>0</xdr:rowOff>
        </xdr:from>
        <xdr:to>
          <xdr:col>0</xdr:col>
          <xdr:colOff>657225</xdr:colOff>
          <xdr:row>44</xdr:row>
          <xdr:rowOff>85725</xdr:rowOff>
        </xdr:to>
        <xdr:sp macro="" textlink="">
          <xdr:nvSpPr>
            <xdr:cNvPr id="2323465" name="CommandButtonHelp" hidden="1">
              <a:extLst>
                <a:ext uri="{63B3BB69-23CF-44E3-9099-C40C66FF867C}">
                  <a14:compatExt spid="_x0000_s23234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11</xdr:row>
          <xdr:rowOff>238125</xdr:rowOff>
        </xdr:from>
        <xdr:to>
          <xdr:col>6</xdr:col>
          <xdr:colOff>466725</xdr:colOff>
          <xdr:row>13</xdr:row>
          <xdr:rowOff>219075</xdr:rowOff>
        </xdr:to>
        <xdr:sp macro="" textlink="">
          <xdr:nvSpPr>
            <xdr:cNvPr id="2323488" name="CommandButton1" hidden="1">
              <a:extLst>
                <a:ext uri="{63B3BB69-23CF-44E3-9099-C40C66FF867C}">
                  <a14:compatExt spid="_x0000_s2323488"/>
                </a:ext>
              </a:extLst>
            </xdr:cNvPr>
            <xdr:cNvSpPr/>
          </xdr:nvSpPr>
          <xdr:spPr>
            <a:xfrm>
              <a:off x="0" y="0"/>
              <a:ext cx="0" cy="0"/>
            </a:xfrm>
            <a:prstGeom prst="rect">
              <a:avLst/>
            </a:prstGeom>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228600</xdr:colOff>
          <xdr:row>3</xdr:row>
          <xdr:rowOff>9525</xdr:rowOff>
        </xdr:from>
        <xdr:to>
          <xdr:col>5</xdr:col>
          <xdr:colOff>1200150</xdr:colOff>
          <xdr:row>3</xdr:row>
          <xdr:rowOff>514350</xdr:rowOff>
        </xdr:to>
        <xdr:sp macro="" textlink="">
          <xdr:nvSpPr>
            <xdr:cNvPr id="2351108" name="CommandButtonCopyAtmLoss" hidden="1">
              <a:extLst>
                <a:ext uri="{63B3BB69-23CF-44E3-9099-C40C66FF867C}">
                  <a14:compatExt spid="_x0000_s23511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4</xdr:row>
          <xdr:rowOff>123825</xdr:rowOff>
        </xdr:from>
        <xdr:to>
          <xdr:col>5</xdr:col>
          <xdr:colOff>1200150</xdr:colOff>
          <xdr:row>6</xdr:row>
          <xdr:rowOff>123825</xdr:rowOff>
        </xdr:to>
        <xdr:sp macro="" textlink="">
          <xdr:nvSpPr>
            <xdr:cNvPr id="2351109" name="CommandButtonAtmLossData" hidden="1">
              <a:extLst>
                <a:ext uri="{63B3BB69-23CF-44E3-9099-C40C66FF867C}">
                  <a14:compatExt spid="_x0000_s23511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xdr:row>
          <xdr:rowOff>66675</xdr:rowOff>
        </xdr:from>
        <xdr:to>
          <xdr:col>0</xdr:col>
          <xdr:colOff>666750</xdr:colOff>
          <xdr:row>17</xdr:row>
          <xdr:rowOff>152400</xdr:rowOff>
        </xdr:to>
        <xdr:sp macro="" textlink="">
          <xdr:nvSpPr>
            <xdr:cNvPr id="2351113" name="CommandButtonHelp" hidden="1">
              <a:extLst>
                <a:ext uri="{63B3BB69-23CF-44E3-9099-C40C66FF867C}">
                  <a14:compatExt spid="_x0000_s235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4</xdr:col>
          <xdr:colOff>0</xdr:colOff>
          <xdr:row>7</xdr:row>
          <xdr:rowOff>0</xdr:rowOff>
        </xdr:to>
        <xdr:sp macro="" textlink="">
          <xdr:nvSpPr>
            <xdr:cNvPr id="2351119" name="TextBox1" hidden="1">
              <a:extLst>
                <a:ext uri="{63B3BB69-23CF-44E3-9099-C40C66FF867C}">
                  <a14:compatExt spid="_x0000_s2351119"/>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0</xdr:rowOff>
        </xdr:from>
        <xdr:to>
          <xdr:col>4</xdr:col>
          <xdr:colOff>0</xdr:colOff>
          <xdr:row>8</xdr:row>
          <xdr:rowOff>0</xdr:rowOff>
        </xdr:to>
        <xdr:sp macro="" textlink="">
          <xdr:nvSpPr>
            <xdr:cNvPr id="2351120" name="TextBox2" hidden="1">
              <a:extLst>
                <a:ext uri="{63B3BB69-23CF-44E3-9099-C40C66FF867C}">
                  <a14:compatExt spid="_x0000_s2351120"/>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2351121" name="TextBox3" hidden="1">
              <a:extLst>
                <a:ext uri="{63B3BB69-23CF-44E3-9099-C40C66FF867C}">
                  <a14:compatExt spid="_x0000_s2351121"/>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2351122" name="TextBox4" hidden="1">
              <a:extLst>
                <a:ext uri="{63B3BB69-23CF-44E3-9099-C40C66FF867C}">
                  <a14:compatExt spid="_x0000_s2351122"/>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0</xdr:rowOff>
        </xdr:from>
        <xdr:to>
          <xdr:col>4</xdr:col>
          <xdr:colOff>0</xdr:colOff>
          <xdr:row>30</xdr:row>
          <xdr:rowOff>0</xdr:rowOff>
        </xdr:to>
        <xdr:sp macro="" textlink="">
          <xdr:nvSpPr>
            <xdr:cNvPr id="2351123" name="TextBox5" hidden="1">
              <a:extLst>
                <a:ext uri="{63B3BB69-23CF-44E3-9099-C40C66FF867C}">
                  <a14:compatExt spid="_x0000_s2351123"/>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0</xdr:rowOff>
        </xdr:from>
        <xdr:to>
          <xdr:col>4</xdr:col>
          <xdr:colOff>0</xdr:colOff>
          <xdr:row>31</xdr:row>
          <xdr:rowOff>0</xdr:rowOff>
        </xdr:to>
        <xdr:sp macro="" textlink="">
          <xdr:nvSpPr>
            <xdr:cNvPr id="2351124" name="TextBox6" hidden="1">
              <a:extLst>
                <a:ext uri="{63B3BB69-23CF-44E3-9099-C40C66FF867C}">
                  <a14:compatExt spid="_x0000_s2351124"/>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40</xdr:row>
          <xdr:rowOff>0</xdr:rowOff>
        </xdr:from>
        <xdr:to>
          <xdr:col>4</xdr:col>
          <xdr:colOff>0</xdr:colOff>
          <xdr:row>41</xdr:row>
          <xdr:rowOff>0</xdr:rowOff>
        </xdr:to>
        <xdr:sp macro="" textlink="">
          <xdr:nvSpPr>
            <xdr:cNvPr id="2351125" name="TextBox7" hidden="1">
              <a:extLst>
                <a:ext uri="{63B3BB69-23CF-44E3-9099-C40C66FF867C}">
                  <a14:compatExt spid="_x0000_s2351125"/>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41</xdr:row>
          <xdr:rowOff>0</xdr:rowOff>
        </xdr:from>
        <xdr:to>
          <xdr:col>4</xdr:col>
          <xdr:colOff>0</xdr:colOff>
          <xdr:row>42</xdr:row>
          <xdr:rowOff>0</xdr:rowOff>
        </xdr:to>
        <xdr:sp macro="" textlink="">
          <xdr:nvSpPr>
            <xdr:cNvPr id="2351126" name="TextBox8" hidden="1">
              <a:extLst>
                <a:ext uri="{63B3BB69-23CF-44E3-9099-C40C66FF867C}">
                  <a14:compatExt spid="_x0000_s2351126"/>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7</xdr:row>
          <xdr:rowOff>133350</xdr:rowOff>
        </xdr:from>
        <xdr:to>
          <xdr:col>5</xdr:col>
          <xdr:colOff>1209675</xdr:colOff>
          <xdr:row>9</xdr:row>
          <xdr:rowOff>133350</xdr:rowOff>
        </xdr:to>
        <xdr:sp macro="" textlink="">
          <xdr:nvSpPr>
            <xdr:cNvPr id="2351134" name="CommandButton1" hidden="1">
              <a:extLst>
                <a:ext uri="{63B3BB69-23CF-44E3-9099-C40C66FF867C}">
                  <a14:compatExt spid="_x0000_s2351134"/>
                </a:ext>
              </a:extLst>
            </xdr:cNvPr>
            <xdr:cNvSpPr/>
          </xdr:nvSpPr>
          <xdr:spPr>
            <a:xfrm>
              <a:off x="0" y="0"/>
              <a:ext cx="0" cy="0"/>
            </a:xfrm>
            <a:prstGeom prst="rect">
              <a:avLst/>
            </a:prstGeom>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7</xdr:col>
      <xdr:colOff>542925</xdr:colOff>
      <xdr:row>97</xdr:row>
      <xdr:rowOff>66675</xdr:rowOff>
    </xdr:from>
    <xdr:to>
      <xdr:col>17</xdr:col>
      <xdr:colOff>266700</xdr:colOff>
      <xdr:row>119</xdr:row>
      <xdr:rowOff>28575</xdr:rowOff>
    </xdr:to>
    <xdr:graphicFrame macro="">
      <xdr:nvGraphicFramePr>
        <xdr:cNvPr id="721399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7</xdr:col>
      <xdr:colOff>542925</xdr:colOff>
      <xdr:row>97</xdr:row>
      <xdr:rowOff>66675</xdr:rowOff>
    </xdr:from>
    <xdr:to>
      <xdr:col>17</xdr:col>
      <xdr:colOff>266700</xdr:colOff>
      <xdr:row>119</xdr:row>
      <xdr:rowOff>28575</xdr:rowOff>
    </xdr:to>
    <xdr:graphicFrame macro="">
      <xdr:nvGraphicFramePr>
        <xdr:cNvPr id="721501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32</xdr:row>
          <xdr:rowOff>152400</xdr:rowOff>
        </xdr:from>
        <xdr:to>
          <xdr:col>7</xdr:col>
          <xdr:colOff>1047750</xdr:colOff>
          <xdr:row>33</xdr:row>
          <xdr:rowOff>104775</xdr:rowOff>
        </xdr:to>
        <xdr:sp macro="" textlink="">
          <xdr:nvSpPr>
            <xdr:cNvPr id="30725" name="CommandButtonCopy" hidden="1">
              <a:extLst>
                <a:ext uri="{63B3BB69-23CF-44E3-9099-C40C66FF867C}">
                  <a14:compatExt spid="_x0000_s307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34</xdr:row>
          <xdr:rowOff>28575</xdr:rowOff>
        </xdr:from>
        <xdr:to>
          <xdr:col>7</xdr:col>
          <xdr:colOff>1028700</xdr:colOff>
          <xdr:row>36</xdr:row>
          <xdr:rowOff>38100</xdr:rowOff>
        </xdr:to>
        <xdr:sp macro="" textlink="">
          <xdr:nvSpPr>
            <xdr:cNvPr id="30727" name="CommandButtonDataDone" hidden="1">
              <a:extLst>
                <a:ext uri="{63B3BB69-23CF-44E3-9099-C40C66FF867C}">
                  <a14:compatExt spid="_x0000_s3072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34</xdr:row>
          <xdr:rowOff>0</xdr:rowOff>
        </xdr:from>
        <xdr:to>
          <xdr:col>0</xdr:col>
          <xdr:colOff>666750</xdr:colOff>
          <xdr:row>45</xdr:row>
          <xdr:rowOff>19050</xdr:rowOff>
        </xdr:to>
        <xdr:sp macro="" textlink="">
          <xdr:nvSpPr>
            <xdr:cNvPr id="30832" name="CommandButtonHelp" hidden="1">
              <a:extLst>
                <a:ext uri="{63B3BB69-23CF-44E3-9099-C40C66FF867C}">
                  <a14:compatExt spid="_x0000_s30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37</xdr:row>
          <xdr:rowOff>66675</xdr:rowOff>
        </xdr:from>
        <xdr:to>
          <xdr:col>7</xdr:col>
          <xdr:colOff>1038225</xdr:colOff>
          <xdr:row>39</xdr:row>
          <xdr:rowOff>76200</xdr:rowOff>
        </xdr:to>
        <xdr:sp macro="" textlink="">
          <xdr:nvSpPr>
            <xdr:cNvPr id="30848" name="CommandButton1" hidden="1">
              <a:extLst>
                <a:ext uri="{63B3BB69-23CF-44E3-9099-C40C66FF867C}">
                  <a14:compatExt spid="_x0000_s30848"/>
                </a:ext>
              </a:extLst>
            </xdr:cNvPr>
            <xdr:cNvSpPr/>
          </xdr:nvSpPr>
          <xdr:spPr>
            <a:xfrm>
              <a:off x="0" y="0"/>
              <a:ext cx="0" cy="0"/>
            </a:xfrm>
            <a:prstGeom prst="rect">
              <a:avLst/>
            </a:prstGeom>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xdr:col>
      <xdr:colOff>247650</xdr:colOff>
      <xdr:row>5</xdr:row>
      <xdr:rowOff>0</xdr:rowOff>
    </xdr:from>
    <xdr:to>
      <xdr:col>2</xdr:col>
      <xdr:colOff>247650</xdr:colOff>
      <xdr:row>5</xdr:row>
      <xdr:rowOff>0</xdr:rowOff>
    </xdr:to>
    <xdr:sp macro="" textlink="">
      <xdr:nvSpPr>
        <xdr:cNvPr id="12994006" name="Line 1"/>
        <xdr:cNvSpPr>
          <a:spLocks noChangeShapeType="1"/>
        </xdr:cNvSpPr>
      </xdr:nvSpPr>
      <xdr:spPr bwMode="auto">
        <a:xfrm>
          <a:off x="4972050" y="819150"/>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5</xdr:row>
      <xdr:rowOff>0</xdr:rowOff>
    </xdr:from>
    <xdr:to>
      <xdr:col>4</xdr:col>
      <xdr:colOff>0</xdr:colOff>
      <xdr:row>5</xdr:row>
      <xdr:rowOff>0</xdr:rowOff>
    </xdr:to>
    <xdr:sp macro="" textlink="">
      <xdr:nvSpPr>
        <xdr:cNvPr id="12994007" name="AutoShape 15"/>
        <xdr:cNvSpPr>
          <a:spLocks/>
        </xdr:cNvSpPr>
      </xdr:nvSpPr>
      <xdr:spPr bwMode="auto">
        <a:xfrm>
          <a:off x="7048500" y="819150"/>
          <a:ext cx="0" cy="0"/>
        </a:xfrm>
        <a:prstGeom prst="rightBrace">
          <a:avLst>
            <a:gd name="adj1" fmla="val -2147483648"/>
            <a:gd name="adj2" fmla="val 50000"/>
          </a:avLst>
        </a:prstGeom>
        <a:noFill/>
        <a:ln w="381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0</xdr:colOff>
      <xdr:row>5</xdr:row>
      <xdr:rowOff>0</xdr:rowOff>
    </xdr:from>
    <xdr:to>
      <xdr:col>4</xdr:col>
      <xdr:colOff>0</xdr:colOff>
      <xdr:row>5</xdr:row>
      <xdr:rowOff>0</xdr:rowOff>
    </xdr:to>
    <xdr:pic>
      <xdr:nvPicPr>
        <xdr:cNvPr id="12994008" name="Picture 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0" y="8191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171450</xdr:colOff>
          <xdr:row>6</xdr:row>
          <xdr:rowOff>95250</xdr:rowOff>
        </xdr:from>
        <xdr:to>
          <xdr:col>6</xdr:col>
          <xdr:colOff>695325</xdr:colOff>
          <xdr:row>8</xdr:row>
          <xdr:rowOff>104775</xdr:rowOff>
        </xdr:to>
        <xdr:sp macro="" textlink="">
          <xdr:nvSpPr>
            <xdr:cNvPr id="7188" name="CommandButtonCopy" hidden="1">
              <a:extLst>
                <a:ext uri="{63B3BB69-23CF-44E3-9099-C40C66FF867C}">
                  <a14:compatExt spid="_x0000_s71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9</xdr:row>
          <xdr:rowOff>19050</xdr:rowOff>
        </xdr:from>
        <xdr:to>
          <xdr:col>6</xdr:col>
          <xdr:colOff>714375</xdr:colOff>
          <xdr:row>11</xdr:row>
          <xdr:rowOff>28575</xdr:rowOff>
        </xdr:to>
        <xdr:sp macro="" textlink="">
          <xdr:nvSpPr>
            <xdr:cNvPr id="7194" name="CommandButtonDataDone" hidden="1">
              <a:extLst>
                <a:ext uri="{63B3BB69-23CF-44E3-9099-C40C66FF867C}">
                  <a14:compatExt spid="_x0000_s719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xdr:row>
          <xdr:rowOff>19050</xdr:rowOff>
        </xdr:from>
        <xdr:to>
          <xdr:col>0</xdr:col>
          <xdr:colOff>819150</xdr:colOff>
          <xdr:row>16</xdr:row>
          <xdr:rowOff>180975</xdr:rowOff>
        </xdr:to>
        <xdr:sp macro="" textlink="">
          <xdr:nvSpPr>
            <xdr:cNvPr id="5829861" name="CommandButtonHelp" hidden="1">
              <a:extLst>
                <a:ext uri="{63B3BB69-23CF-44E3-9099-C40C66FF867C}">
                  <a14:compatExt spid="_x0000_s5829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11</xdr:row>
          <xdr:rowOff>219075</xdr:rowOff>
        </xdr:from>
        <xdr:to>
          <xdr:col>6</xdr:col>
          <xdr:colOff>704850</xdr:colOff>
          <xdr:row>13</xdr:row>
          <xdr:rowOff>228600</xdr:rowOff>
        </xdr:to>
        <xdr:sp macro="" textlink="">
          <xdr:nvSpPr>
            <xdr:cNvPr id="5830363" name="CommandButton1" hidden="1">
              <a:extLst>
                <a:ext uri="{63B3BB69-23CF-44E3-9099-C40C66FF867C}">
                  <a14:compatExt spid="_x0000_s5830363"/>
                </a:ext>
              </a:extLst>
            </xdr:cNvPr>
            <xdr:cNvSpPr/>
          </xdr:nvSpPr>
          <xdr:spPr>
            <a:xfrm>
              <a:off x="0" y="0"/>
              <a:ext cx="0" cy="0"/>
            </a:xfrm>
            <a:prstGeom prst="rect">
              <a:avLst/>
            </a:prstGeom>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3</xdr:col>
      <xdr:colOff>247650</xdr:colOff>
      <xdr:row>9</xdr:row>
      <xdr:rowOff>0</xdr:rowOff>
    </xdr:from>
    <xdr:to>
      <xdr:col>3</xdr:col>
      <xdr:colOff>247650</xdr:colOff>
      <xdr:row>9</xdr:row>
      <xdr:rowOff>0</xdr:rowOff>
    </xdr:to>
    <xdr:sp macro="" textlink="">
      <xdr:nvSpPr>
        <xdr:cNvPr id="14282753" name="Line 1"/>
        <xdr:cNvSpPr>
          <a:spLocks noChangeShapeType="1"/>
        </xdr:cNvSpPr>
      </xdr:nvSpPr>
      <xdr:spPr bwMode="auto">
        <a:xfrm>
          <a:off x="4419600" y="178117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9</xdr:row>
      <xdr:rowOff>0</xdr:rowOff>
    </xdr:from>
    <xdr:to>
      <xdr:col>5</xdr:col>
      <xdr:colOff>0</xdr:colOff>
      <xdr:row>9</xdr:row>
      <xdr:rowOff>0</xdr:rowOff>
    </xdr:to>
    <xdr:sp macro="" textlink="">
      <xdr:nvSpPr>
        <xdr:cNvPr id="14282754" name="AutoShape 7"/>
        <xdr:cNvSpPr>
          <a:spLocks/>
        </xdr:cNvSpPr>
      </xdr:nvSpPr>
      <xdr:spPr bwMode="auto">
        <a:xfrm>
          <a:off x="6238875" y="1781175"/>
          <a:ext cx="0" cy="0"/>
        </a:xfrm>
        <a:prstGeom prst="rightBrace">
          <a:avLst>
            <a:gd name="adj1" fmla="val -2147483648"/>
            <a:gd name="adj2" fmla="val 50000"/>
          </a:avLst>
        </a:prstGeom>
        <a:noFill/>
        <a:ln w="381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0</xdr:colOff>
      <xdr:row>9</xdr:row>
      <xdr:rowOff>0</xdr:rowOff>
    </xdr:from>
    <xdr:to>
      <xdr:col>5</xdr:col>
      <xdr:colOff>0</xdr:colOff>
      <xdr:row>9</xdr:row>
      <xdr:rowOff>0</xdr:rowOff>
    </xdr:to>
    <xdr:pic>
      <xdr:nvPicPr>
        <xdr:cNvPr id="14282755" name="Picture 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38875" y="1781175"/>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704850</xdr:colOff>
          <xdr:row>8</xdr:row>
          <xdr:rowOff>123825</xdr:rowOff>
        </xdr:from>
        <xdr:to>
          <xdr:col>8</xdr:col>
          <xdr:colOff>561975</xdr:colOff>
          <xdr:row>10</xdr:row>
          <xdr:rowOff>85725</xdr:rowOff>
        </xdr:to>
        <xdr:sp macro="" textlink="">
          <xdr:nvSpPr>
            <xdr:cNvPr id="11273" name="CommandButtonCopy" hidden="1">
              <a:extLst>
                <a:ext uri="{63B3BB69-23CF-44E3-9099-C40C66FF867C}">
                  <a14:compatExt spid="_x0000_s112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723900</xdr:colOff>
          <xdr:row>11</xdr:row>
          <xdr:rowOff>142875</xdr:rowOff>
        </xdr:from>
        <xdr:to>
          <xdr:col>8</xdr:col>
          <xdr:colOff>571500</xdr:colOff>
          <xdr:row>13</xdr:row>
          <xdr:rowOff>171450</xdr:rowOff>
        </xdr:to>
        <xdr:sp macro="" textlink="">
          <xdr:nvSpPr>
            <xdr:cNvPr id="11274" name="CommandButtonOtherData" hidden="1">
              <a:extLst>
                <a:ext uri="{63B3BB69-23CF-44E3-9099-C40C66FF867C}">
                  <a14:compatExt spid="_x0000_s112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10</xdr:row>
          <xdr:rowOff>57150</xdr:rowOff>
        </xdr:from>
        <xdr:to>
          <xdr:col>1</xdr:col>
          <xdr:colOff>209550</xdr:colOff>
          <xdr:row>17</xdr:row>
          <xdr:rowOff>142875</xdr:rowOff>
        </xdr:to>
        <xdr:sp macro="" textlink="">
          <xdr:nvSpPr>
            <xdr:cNvPr id="5239549" name="CommandButtonHelp" hidden="1">
              <a:extLst>
                <a:ext uri="{63B3BB69-23CF-44E3-9099-C40C66FF867C}">
                  <a14:compatExt spid="_x0000_s5239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733425</xdr:colOff>
          <xdr:row>15</xdr:row>
          <xdr:rowOff>38100</xdr:rowOff>
        </xdr:from>
        <xdr:to>
          <xdr:col>8</xdr:col>
          <xdr:colOff>581025</xdr:colOff>
          <xdr:row>17</xdr:row>
          <xdr:rowOff>76200</xdr:rowOff>
        </xdr:to>
        <xdr:sp macro="" textlink="">
          <xdr:nvSpPr>
            <xdr:cNvPr id="6740223" name="CommandButton1" hidden="1">
              <a:extLst>
                <a:ext uri="{63B3BB69-23CF-44E3-9099-C40C66FF867C}">
                  <a14:compatExt spid="_x0000_s6740223"/>
                </a:ext>
              </a:extLst>
            </xdr:cNvPr>
            <xdr:cNvSpPr/>
          </xdr:nvSpPr>
          <xdr:spPr>
            <a:xfrm>
              <a:off x="0" y="0"/>
              <a:ext cx="0" cy="0"/>
            </a:xfrm>
            <a:prstGeom prst="rect">
              <a:avLst/>
            </a:prstGeom>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180975</xdr:rowOff>
        </xdr:from>
        <xdr:to>
          <xdr:col>7</xdr:col>
          <xdr:colOff>152400</xdr:colOff>
          <xdr:row>5</xdr:row>
          <xdr:rowOff>85725</xdr:rowOff>
        </xdr:to>
        <xdr:sp macro="" textlink="">
          <xdr:nvSpPr>
            <xdr:cNvPr id="2518018" name="CommandButtonFlueGasData" hidden="1">
              <a:extLst>
                <a:ext uri="{63B3BB69-23CF-44E3-9099-C40C66FF867C}">
                  <a14:compatExt spid="_x0000_s251801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xdr:row>
          <xdr:rowOff>238125</xdr:rowOff>
        </xdr:from>
        <xdr:to>
          <xdr:col>0</xdr:col>
          <xdr:colOff>695325</xdr:colOff>
          <xdr:row>13</xdr:row>
          <xdr:rowOff>85725</xdr:rowOff>
        </xdr:to>
        <xdr:sp macro="" textlink="">
          <xdr:nvSpPr>
            <xdr:cNvPr id="2518033" name="CommandButton1" hidden="1">
              <a:extLst>
                <a:ext uri="{63B3BB69-23CF-44E3-9099-C40C66FF867C}">
                  <a14:compatExt spid="_x0000_s2518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400050</xdr:colOff>
          <xdr:row>6</xdr:row>
          <xdr:rowOff>123825</xdr:rowOff>
        </xdr:from>
        <xdr:to>
          <xdr:col>7</xdr:col>
          <xdr:colOff>142875</xdr:colOff>
          <xdr:row>8</xdr:row>
          <xdr:rowOff>85725</xdr:rowOff>
        </xdr:to>
        <xdr:sp macro="" textlink="">
          <xdr:nvSpPr>
            <xdr:cNvPr id="2518037" name="CommandButton2" hidden="1">
              <a:extLst>
                <a:ext uri="{63B3BB69-23CF-44E3-9099-C40C66FF867C}">
                  <a14:compatExt spid="_x0000_s2518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419100</xdr:colOff>
          <xdr:row>13</xdr:row>
          <xdr:rowOff>0</xdr:rowOff>
        </xdr:from>
        <xdr:to>
          <xdr:col>7</xdr:col>
          <xdr:colOff>771525</xdr:colOff>
          <xdr:row>15</xdr:row>
          <xdr:rowOff>133350</xdr:rowOff>
        </xdr:to>
        <xdr:sp macro="" textlink="">
          <xdr:nvSpPr>
            <xdr:cNvPr id="2518052" name="CommandButton3" hidden="1">
              <a:extLst>
                <a:ext uri="{63B3BB69-23CF-44E3-9099-C40C66FF867C}">
                  <a14:compatExt spid="_x0000_s2518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161925</xdr:colOff>
          <xdr:row>100</xdr:row>
          <xdr:rowOff>38100</xdr:rowOff>
        </xdr:from>
        <xdr:to>
          <xdr:col>7</xdr:col>
          <xdr:colOff>514350</xdr:colOff>
          <xdr:row>102</xdr:row>
          <xdr:rowOff>152400</xdr:rowOff>
        </xdr:to>
        <xdr:sp macro="" textlink="">
          <xdr:nvSpPr>
            <xdr:cNvPr id="2518057" name="CommandButton4" hidden="1">
              <a:extLst>
                <a:ext uri="{63B3BB69-23CF-44E3-9099-C40C66FF867C}">
                  <a14:compatExt spid="_x0000_s2518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26</xdr:row>
          <xdr:rowOff>0</xdr:rowOff>
        </xdr:from>
        <xdr:to>
          <xdr:col>3</xdr:col>
          <xdr:colOff>781050</xdr:colOff>
          <xdr:row>26</xdr:row>
          <xdr:rowOff>0</xdr:rowOff>
        </xdr:to>
        <xdr:sp macro="" textlink="">
          <xdr:nvSpPr>
            <xdr:cNvPr id="2518072" name="OptionButton1" hidden="1">
              <a:extLst>
                <a:ext uri="{63B3BB69-23CF-44E3-9099-C40C66FF867C}">
                  <a14:compatExt spid="_x0000_s2518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26</xdr:row>
          <xdr:rowOff>0</xdr:rowOff>
        </xdr:from>
        <xdr:to>
          <xdr:col>3</xdr:col>
          <xdr:colOff>790575</xdr:colOff>
          <xdr:row>26</xdr:row>
          <xdr:rowOff>0</xdr:rowOff>
        </xdr:to>
        <xdr:sp macro="" textlink="">
          <xdr:nvSpPr>
            <xdr:cNvPr id="2518073" name="OptionButton2" hidden="1">
              <a:extLst>
                <a:ext uri="{63B3BB69-23CF-44E3-9099-C40C66FF867C}">
                  <a14:compatExt spid="_x0000_s2518073"/>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102</xdr:row>
      <xdr:rowOff>200025</xdr:rowOff>
    </xdr:from>
    <xdr:to>
      <xdr:col>7</xdr:col>
      <xdr:colOff>1543050</xdr:colOff>
      <xdr:row>133</xdr:row>
      <xdr:rowOff>9525</xdr:rowOff>
    </xdr:to>
    <xdr:pic>
      <xdr:nvPicPr>
        <xdr:cNvPr id="2519026" name="Picture 12" descr="http://www.engproguides.com/images/psych.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59150"/>
          <a:ext cx="10553700" cy="7486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142875</xdr:colOff>
          <xdr:row>26</xdr:row>
          <xdr:rowOff>0</xdr:rowOff>
        </xdr:from>
        <xdr:to>
          <xdr:col>4</xdr:col>
          <xdr:colOff>1190625</xdr:colOff>
          <xdr:row>26</xdr:row>
          <xdr:rowOff>0</xdr:rowOff>
        </xdr:to>
        <xdr:sp macro="" textlink="">
          <xdr:nvSpPr>
            <xdr:cNvPr id="2518089" name="OptionButton3" hidden="1">
              <a:extLst>
                <a:ext uri="{63B3BB69-23CF-44E3-9099-C40C66FF867C}">
                  <a14:compatExt spid="_x0000_s2518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26</xdr:row>
          <xdr:rowOff>0</xdr:rowOff>
        </xdr:from>
        <xdr:to>
          <xdr:col>4</xdr:col>
          <xdr:colOff>1200150</xdr:colOff>
          <xdr:row>26</xdr:row>
          <xdr:rowOff>0</xdr:rowOff>
        </xdr:to>
        <xdr:sp macro="" textlink="">
          <xdr:nvSpPr>
            <xdr:cNvPr id="2518090" name="OptionButton4" hidden="1">
              <a:extLst>
                <a:ext uri="{63B3BB69-23CF-44E3-9099-C40C66FF867C}">
                  <a14:compatExt spid="_x0000_s2518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27</xdr:row>
          <xdr:rowOff>57150</xdr:rowOff>
        </xdr:from>
        <xdr:to>
          <xdr:col>4</xdr:col>
          <xdr:colOff>1209675</xdr:colOff>
          <xdr:row>29</xdr:row>
          <xdr:rowOff>114300</xdr:rowOff>
        </xdr:to>
        <xdr:sp macro="" textlink="">
          <xdr:nvSpPr>
            <xdr:cNvPr id="2518092" name="OptionButton5" hidden="1">
              <a:extLst>
                <a:ext uri="{63B3BB69-23CF-44E3-9099-C40C66FF867C}">
                  <a14:compatExt spid="_x0000_s2518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85725</xdr:colOff>
          <xdr:row>29</xdr:row>
          <xdr:rowOff>200025</xdr:rowOff>
        </xdr:from>
        <xdr:to>
          <xdr:col>4</xdr:col>
          <xdr:colOff>1228725</xdr:colOff>
          <xdr:row>31</xdr:row>
          <xdr:rowOff>209550</xdr:rowOff>
        </xdr:to>
        <xdr:sp macro="" textlink="">
          <xdr:nvSpPr>
            <xdr:cNvPr id="2518093" name="OptionButton6" hidden="1">
              <a:extLst>
                <a:ext uri="{63B3BB69-23CF-44E3-9099-C40C66FF867C}">
                  <a14:compatExt spid="_x0000_s2518093"/>
                </a:ext>
              </a:extLst>
            </xdr:cNvPr>
            <xdr:cNvSpPr/>
          </xdr:nvSpPr>
          <xdr:spPr>
            <a:xfrm>
              <a:off x="0" y="0"/>
              <a:ext cx="0" cy="0"/>
            </a:xfrm>
            <a:prstGeom prst="rect">
              <a:avLst/>
            </a:prstGeom>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xdr:col>
      <xdr:colOff>2381250</xdr:colOff>
      <xdr:row>97</xdr:row>
      <xdr:rowOff>95250</xdr:rowOff>
    </xdr:from>
    <xdr:to>
      <xdr:col>2</xdr:col>
      <xdr:colOff>876300</xdr:colOff>
      <xdr:row>97</xdr:row>
      <xdr:rowOff>95250</xdr:rowOff>
    </xdr:to>
    <xdr:sp macro="" textlink="">
      <xdr:nvSpPr>
        <xdr:cNvPr id="7211945" name="Line 1"/>
        <xdr:cNvSpPr>
          <a:spLocks noChangeShapeType="1"/>
        </xdr:cNvSpPr>
      </xdr:nvSpPr>
      <xdr:spPr bwMode="auto">
        <a:xfrm>
          <a:off x="2971800" y="7677150"/>
          <a:ext cx="933450" cy="0"/>
        </a:xfrm>
        <a:prstGeom prst="line">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2381250</xdr:colOff>
      <xdr:row>97</xdr:row>
      <xdr:rowOff>95250</xdr:rowOff>
    </xdr:from>
    <xdr:to>
      <xdr:col>2</xdr:col>
      <xdr:colOff>876300</xdr:colOff>
      <xdr:row>97</xdr:row>
      <xdr:rowOff>95250</xdr:rowOff>
    </xdr:to>
    <xdr:sp macro="" textlink="">
      <xdr:nvSpPr>
        <xdr:cNvPr id="7212969" name="Line 1"/>
        <xdr:cNvSpPr>
          <a:spLocks noChangeShapeType="1"/>
        </xdr:cNvSpPr>
      </xdr:nvSpPr>
      <xdr:spPr bwMode="auto">
        <a:xfrm>
          <a:off x="2971800" y="7677150"/>
          <a:ext cx="933450" cy="0"/>
        </a:xfrm>
        <a:prstGeom prst="line">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352425</xdr:colOff>
      <xdr:row>34</xdr:row>
      <xdr:rowOff>85725</xdr:rowOff>
    </xdr:from>
    <xdr:to>
      <xdr:col>7</xdr:col>
      <xdr:colOff>371475</xdr:colOff>
      <xdr:row>81</xdr:row>
      <xdr:rowOff>9525</xdr:rowOff>
    </xdr:to>
    <xdr:pic>
      <xdr:nvPicPr>
        <xdr:cNvPr id="7210921" name="Picture 2" descr="Psychometric charts - Metric version.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6381750"/>
          <a:ext cx="7258050" cy="7562850"/>
        </a:xfrm>
        <a:prstGeom prst="rect">
          <a:avLst/>
        </a:prstGeom>
        <a:noFill/>
        <a:ln w="9525">
          <a:solidFill>
            <a:srgbClr val="4F81BD"/>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171450</xdr:colOff>
      <xdr:row>60</xdr:row>
      <xdr:rowOff>85725</xdr:rowOff>
    </xdr:from>
    <xdr:to>
      <xdr:col>13</xdr:col>
      <xdr:colOff>114300</xdr:colOff>
      <xdr:row>76</xdr:row>
      <xdr:rowOff>142875</xdr:rowOff>
    </xdr:to>
    <xdr:graphicFrame macro="">
      <xdr:nvGraphicFramePr>
        <xdr:cNvPr id="1192169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152400</xdr:colOff>
      <xdr:row>3</xdr:row>
      <xdr:rowOff>85725</xdr:rowOff>
    </xdr:from>
    <xdr:to>
      <xdr:col>11</xdr:col>
      <xdr:colOff>266700</xdr:colOff>
      <xdr:row>37</xdr:row>
      <xdr:rowOff>85725</xdr:rowOff>
    </xdr:to>
    <xdr:pic>
      <xdr:nvPicPr>
        <xdr:cNvPr id="13596923" name="Picture 2" hidden="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638175"/>
          <a:ext cx="7400925" cy="5600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323850</xdr:colOff>
      <xdr:row>4</xdr:row>
      <xdr:rowOff>142875</xdr:rowOff>
    </xdr:from>
    <xdr:to>
      <xdr:col>12</xdr:col>
      <xdr:colOff>304800</xdr:colOff>
      <xdr:row>41</xdr:row>
      <xdr:rowOff>95250</xdr:rowOff>
    </xdr:to>
    <xdr:pic>
      <xdr:nvPicPr>
        <xdr:cNvPr id="1359692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3850" y="857250"/>
          <a:ext cx="7877175" cy="6038850"/>
        </a:xfrm>
        <a:prstGeom prst="rect">
          <a:avLst/>
        </a:prstGeom>
        <a:noFill/>
        <a:ln w="19050">
          <a:solidFill>
            <a:srgbClr val="984807"/>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9</xdr:col>
          <xdr:colOff>447675</xdr:colOff>
          <xdr:row>6</xdr:row>
          <xdr:rowOff>76200</xdr:rowOff>
        </xdr:from>
        <xdr:to>
          <xdr:col>11</xdr:col>
          <xdr:colOff>133350</xdr:colOff>
          <xdr:row>9</xdr:row>
          <xdr:rowOff>133350</xdr:rowOff>
        </xdr:to>
        <xdr:sp macro="" textlink="">
          <xdr:nvSpPr>
            <xdr:cNvPr id="5010697" name="CommandButton1" hidden="1">
              <a:extLst>
                <a:ext uri="{63B3BB69-23CF-44E3-9099-C40C66FF867C}">
                  <a14:compatExt spid="_x0000_s5010697"/>
                </a:ext>
              </a:extLst>
            </xdr:cNvPr>
            <xdr:cNvSpPr/>
          </xdr:nvSpPr>
          <xdr:spPr>
            <a:xfrm>
              <a:off x="0" y="0"/>
              <a:ext cx="0" cy="0"/>
            </a:xfrm>
            <a:prstGeom prst="rect">
              <a:avLst/>
            </a:prstGeom>
          </xdr:spPr>
        </xdr:sp>
        <xdr:clientData fPrintsWithSheet="0"/>
      </xdr:twoCellAnchor>
    </mc:Choice>
    <mc:Fallback/>
  </mc:AlternateContent>
  <xdr:twoCellAnchor>
    <xdr:from>
      <xdr:col>13</xdr:col>
      <xdr:colOff>11429</xdr:colOff>
      <xdr:row>1</xdr:row>
      <xdr:rowOff>59055</xdr:rowOff>
    </xdr:from>
    <xdr:to>
      <xdr:col>14</xdr:col>
      <xdr:colOff>676274</xdr:colOff>
      <xdr:row>8</xdr:row>
      <xdr:rowOff>38100</xdr:rowOff>
    </xdr:to>
    <xdr:sp macro="" textlink="">
      <xdr:nvSpPr>
        <xdr:cNvPr id="6" name="Rectangle 5"/>
        <xdr:cNvSpPr/>
      </xdr:nvSpPr>
      <xdr:spPr>
        <a:xfrm>
          <a:off x="8517254" y="220980"/>
          <a:ext cx="2055495" cy="1179195"/>
        </a:xfrm>
        <a:prstGeom prst="rect">
          <a:avLst/>
        </a:prstGeom>
        <a:solidFill>
          <a:schemeClr val="bg1">
            <a:lumMod val="85000"/>
          </a:schemeClr>
        </a:solidFill>
        <a:ln w="19050"/>
      </xdr:spPr>
      <xdr:style>
        <a:lnRef idx="2">
          <a:schemeClr val="dk1"/>
        </a:lnRef>
        <a:fillRef idx="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lnSpc>
              <a:spcPts val="1200"/>
            </a:lnSpc>
          </a:pPr>
          <a:r>
            <a:rPr lang="en-US" sz="1100" b="1" u="sng">
              <a:solidFill>
                <a:sysClr val="windowText" lastClr="000000"/>
              </a:solidFill>
            </a:rPr>
            <a:t>Note:</a:t>
          </a:r>
        </a:p>
        <a:p>
          <a:pPr algn="l">
            <a:lnSpc>
              <a:spcPts val="1200"/>
            </a:lnSpc>
          </a:pPr>
          <a:endParaRPr lang="en-US" sz="1100" b="1">
            <a:solidFill>
              <a:sysClr val="windowText" lastClr="000000"/>
            </a:solidFill>
          </a:endParaRPr>
        </a:p>
        <a:p>
          <a:pPr algn="l">
            <a:lnSpc>
              <a:spcPts val="1200"/>
            </a:lnSpc>
          </a:pPr>
          <a:r>
            <a:rPr lang="en-US" sz="1100" b="1">
              <a:solidFill>
                <a:sysClr val="windowText" lastClr="000000"/>
              </a:solidFill>
            </a:rPr>
            <a:t>Calculate value of X axis to find   view factor using the graphs. </a:t>
          </a:r>
        </a:p>
        <a:p>
          <a:pPr algn="ctr">
            <a:lnSpc>
              <a:spcPts val="1200"/>
            </a:lnSpc>
          </a:pPr>
          <a:endParaRPr lang="en-US" sz="1100" b="1">
            <a:solidFill>
              <a:sysClr val="windowText" lastClr="000000"/>
            </a:solidFill>
          </a:endParaRPr>
        </a:p>
        <a:p>
          <a:pPr algn="l">
            <a:lnSpc>
              <a:spcPts val="1200"/>
            </a:lnSpc>
          </a:pPr>
          <a:r>
            <a:rPr lang="en-US" sz="1100" b="1">
              <a:solidFill>
                <a:sysClr val="windowText" lastClr="000000"/>
              </a:solidFill>
            </a:rPr>
            <a:t>The values for open dimensions need to be entered manually</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1479551</xdr:colOff>
      <xdr:row>3</xdr:row>
      <xdr:rowOff>67311</xdr:rowOff>
    </xdr:from>
    <xdr:to>
      <xdr:col>1</xdr:col>
      <xdr:colOff>1730258</xdr:colOff>
      <xdr:row>4</xdr:row>
      <xdr:rowOff>683521</xdr:rowOff>
    </xdr:to>
    <xdr:sp macro="" textlink="">
      <xdr:nvSpPr>
        <xdr:cNvPr id="2" name="Up Arrow 1"/>
        <xdr:cNvSpPr/>
      </xdr:nvSpPr>
      <xdr:spPr>
        <a:xfrm>
          <a:off x="2095501" y="1409701"/>
          <a:ext cx="247650" cy="8763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38100</xdr:rowOff>
        </xdr:from>
        <xdr:to>
          <xdr:col>0</xdr:col>
          <xdr:colOff>676275</xdr:colOff>
          <xdr:row>26</xdr:row>
          <xdr:rowOff>9525</xdr:rowOff>
        </xdr:to>
        <xdr:sp macro="" textlink="">
          <xdr:nvSpPr>
            <xdr:cNvPr id="6204417" name="CommandButtonReturn" hidden="1">
              <a:extLst>
                <a:ext uri="{63B3BB69-23CF-44E3-9099-C40C66FF867C}">
                  <a14:compatExt spid="_x0000_s6204417"/>
                </a:ext>
              </a:extLst>
            </xdr:cNvPr>
            <xdr:cNvSpPr/>
          </xdr:nvSpPr>
          <xdr:spPr>
            <a:xfrm>
              <a:off x="0" y="0"/>
              <a:ext cx="0" cy="0"/>
            </a:xfrm>
            <a:prstGeom prst="rect">
              <a:avLst/>
            </a:prstGeom>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3</xdr:row>
          <xdr:rowOff>0</xdr:rowOff>
        </xdr:from>
        <xdr:to>
          <xdr:col>0</xdr:col>
          <xdr:colOff>657225</xdr:colOff>
          <xdr:row>24</xdr:row>
          <xdr:rowOff>133350</xdr:rowOff>
        </xdr:to>
        <xdr:sp macro="" textlink="">
          <xdr:nvSpPr>
            <xdr:cNvPr id="6210561" name="CommandButtonReturn" hidden="1">
              <a:extLst>
                <a:ext uri="{63B3BB69-23CF-44E3-9099-C40C66FF867C}">
                  <a14:compatExt spid="_x0000_s6210561"/>
                </a:ext>
              </a:extLst>
            </xdr:cNvPr>
            <xdr:cNvSpPr/>
          </xdr:nvSpPr>
          <xdr:spPr>
            <a:xfrm>
              <a:off x="0" y="0"/>
              <a:ext cx="0" cy="0"/>
            </a:xfrm>
            <a:prstGeom prst="rect">
              <a:avLst/>
            </a:prstGeom>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4</xdr:row>
          <xdr:rowOff>19050</xdr:rowOff>
        </xdr:from>
        <xdr:to>
          <xdr:col>0</xdr:col>
          <xdr:colOff>647700</xdr:colOff>
          <xdr:row>21</xdr:row>
          <xdr:rowOff>142875</xdr:rowOff>
        </xdr:to>
        <xdr:sp macro="" textlink="">
          <xdr:nvSpPr>
            <xdr:cNvPr id="6211585" name="CommandButtonReturn" hidden="1">
              <a:extLst>
                <a:ext uri="{63B3BB69-23CF-44E3-9099-C40C66FF867C}">
                  <a14:compatExt spid="_x0000_s6211585"/>
                </a:ext>
              </a:extLst>
            </xdr:cNvPr>
            <xdr:cNvSpPr/>
          </xdr:nvSpPr>
          <xdr:spPr>
            <a:xfrm>
              <a:off x="0" y="0"/>
              <a:ext cx="0" cy="0"/>
            </a:xfrm>
            <a:prstGeom prst="rect">
              <a:avLst/>
            </a:prstGeom>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3</xdr:row>
          <xdr:rowOff>0</xdr:rowOff>
        </xdr:from>
        <xdr:to>
          <xdr:col>0</xdr:col>
          <xdr:colOff>647700</xdr:colOff>
          <xdr:row>14</xdr:row>
          <xdr:rowOff>142875</xdr:rowOff>
        </xdr:to>
        <xdr:sp macro="" textlink="">
          <xdr:nvSpPr>
            <xdr:cNvPr id="6212609" name="CommandButtonReturn" hidden="1">
              <a:extLst>
                <a:ext uri="{63B3BB69-23CF-44E3-9099-C40C66FF867C}">
                  <a14:compatExt spid="_x0000_s6212609"/>
                </a:ext>
              </a:extLst>
            </xdr:cNvPr>
            <xdr:cNvSpPr/>
          </xdr:nvSpPr>
          <xdr:spPr>
            <a:xfrm>
              <a:off x="0" y="0"/>
              <a:ext cx="0" cy="0"/>
            </a:xfrm>
            <a:prstGeom prst="rect">
              <a:avLst/>
            </a:prstGeom>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4</xdr:row>
          <xdr:rowOff>0</xdr:rowOff>
        </xdr:from>
        <xdr:to>
          <xdr:col>0</xdr:col>
          <xdr:colOff>666750</xdr:colOff>
          <xdr:row>16</xdr:row>
          <xdr:rowOff>104775</xdr:rowOff>
        </xdr:to>
        <xdr:sp macro="" textlink="">
          <xdr:nvSpPr>
            <xdr:cNvPr id="6213633" name="CommandButtonReturn" hidden="1">
              <a:extLst>
                <a:ext uri="{63B3BB69-23CF-44E3-9099-C40C66FF867C}">
                  <a14:compatExt spid="_x0000_s6213633"/>
                </a:ext>
              </a:extLst>
            </xdr:cNvPr>
            <xdr:cNvSpPr/>
          </xdr:nvSpPr>
          <xdr:spPr>
            <a:xfrm>
              <a:off x="0" y="0"/>
              <a:ext cx="0" cy="0"/>
            </a:xfrm>
            <a:prstGeom prst="rect">
              <a:avLst/>
            </a:prstGeom>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3</xdr:row>
          <xdr:rowOff>9525</xdr:rowOff>
        </xdr:from>
        <xdr:to>
          <xdr:col>0</xdr:col>
          <xdr:colOff>609600</xdr:colOff>
          <xdr:row>18</xdr:row>
          <xdr:rowOff>28575</xdr:rowOff>
        </xdr:to>
        <xdr:sp macro="" textlink="">
          <xdr:nvSpPr>
            <xdr:cNvPr id="6214657" name="CommandButtonReturn" hidden="1">
              <a:extLst>
                <a:ext uri="{63B3BB69-23CF-44E3-9099-C40C66FF867C}">
                  <a14:compatExt spid="_x0000_s6214657"/>
                </a:ext>
              </a:extLst>
            </xdr:cNvPr>
            <xdr:cNvSpPr/>
          </xdr:nvSpPr>
          <xdr:spPr>
            <a:xfrm>
              <a:off x="0" y="0"/>
              <a:ext cx="0" cy="0"/>
            </a:xfrm>
            <a:prstGeom prst="rect">
              <a:avLst/>
            </a:prstGeom>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3</xdr:row>
          <xdr:rowOff>0</xdr:rowOff>
        </xdr:from>
        <xdr:to>
          <xdr:col>0</xdr:col>
          <xdr:colOff>685800</xdr:colOff>
          <xdr:row>13</xdr:row>
          <xdr:rowOff>38100</xdr:rowOff>
        </xdr:to>
        <xdr:sp macro="" textlink="">
          <xdr:nvSpPr>
            <xdr:cNvPr id="6215681" name="CommandButtonReturn" hidden="1">
              <a:extLst>
                <a:ext uri="{63B3BB69-23CF-44E3-9099-C40C66FF867C}">
                  <a14:compatExt spid="_x0000_s6215681"/>
                </a:ext>
              </a:extLst>
            </xdr:cNvPr>
            <xdr:cNvSpPr/>
          </xdr:nvSpPr>
          <xdr:spPr>
            <a:xfrm>
              <a:off x="0" y="0"/>
              <a:ext cx="0" cy="0"/>
            </a:xfrm>
            <a:prstGeom prst="rect">
              <a:avLst/>
            </a:prstGeom>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5</xdr:row>
          <xdr:rowOff>19050</xdr:rowOff>
        </xdr:from>
        <xdr:to>
          <xdr:col>0</xdr:col>
          <xdr:colOff>676275</xdr:colOff>
          <xdr:row>23</xdr:row>
          <xdr:rowOff>314325</xdr:rowOff>
        </xdr:to>
        <xdr:sp macro="" textlink="">
          <xdr:nvSpPr>
            <xdr:cNvPr id="6216705" name="CommandButtonReturn" hidden="1">
              <a:extLst>
                <a:ext uri="{63B3BB69-23CF-44E3-9099-C40C66FF867C}">
                  <a14:compatExt spid="_x0000_s6216705"/>
                </a:ext>
              </a:extLst>
            </xdr:cNvPr>
            <xdr:cNvSpPr/>
          </xdr:nvSpPr>
          <xdr:spPr>
            <a:xfrm>
              <a:off x="0" y="0"/>
              <a:ext cx="0" cy="0"/>
            </a:xfrm>
            <a:prstGeom prst="rect">
              <a:avLst/>
            </a:prstGeom>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xdr:row>
          <xdr:rowOff>0</xdr:rowOff>
        </xdr:from>
        <xdr:to>
          <xdr:col>0</xdr:col>
          <xdr:colOff>714375</xdr:colOff>
          <xdr:row>14</xdr:row>
          <xdr:rowOff>47625</xdr:rowOff>
        </xdr:to>
        <xdr:sp macro="" textlink="">
          <xdr:nvSpPr>
            <xdr:cNvPr id="6217729" name="CommandButtonReturn" hidden="1">
              <a:extLst>
                <a:ext uri="{63B3BB69-23CF-44E3-9099-C40C66FF867C}">
                  <a14:compatExt spid="_x0000_s6217729"/>
                </a:ext>
              </a:extLst>
            </xdr:cNvPr>
            <xdr:cNvSpPr/>
          </xdr:nvSpPr>
          <xdr:spPr>
            <a:xfrm>
              <a:off x="0" y="0"/>
              <a:ext cx="0" cy="0"/>
            </a:xfrm>
            <a:prstGeom prst="rect">
              <a:avLst/>
            </a:prstGeom>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3</xdr:row>
          <xdr:rowOff>47625</xdr:rowOff>
        </xdr:from>
        <xdr:to>
          <xdr:col>0</xdr:col>
          <xdr:colOff>685800</xdr:colOff>
          <xdr:row>17</xdr:row>
          <xdr:rowOff>142875</xdr:rowOff>
        </xdr:to>
        <xdr:sp macro="" textlink="">
          <xdr:nvSpPr>
            <xdr:cNvPr id="6218753" name="CommandButtonReturn" hidden="1">
              <a:extLst>
                <a:ext uri="{63B3BB69-23CF-44E3-9099-C40C66FF867C}">
                  <a14:compatExt spid="_x0000_s6218753"/>
                </a:ext>
              </a:extLst>
            </xdr:cNvPr>
            <xdr:cNvSpPr/>
          </xdr:nvSpPr>
          <xdr:spPr>
            <a:xfrm>
              <a:off x="0" y="0"/>
              <a:ext cx="0" cy="0"/>
            </a:xfrm>
            <a:prstGeom prst="rect">
              <a:avLst/>
            </a:prstGeom>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3</xdr:row>
          <xdr:rowOff>0</xdr:rowOff>
        </xdr:from>
        <xdr:to>
          <xdr:col>0</xdr:col>
          <xdr:colOff>685800</xdr:colOff>
          <xdr:row>20</xdr:row>
          <xdr:rowOff>38100</xdr:rowOff>
        </xdr:to>
        <xdr:sp macro="" textlink="">
          <xdr:nvSpPr>
            <xdr:cNvPr id="6219777" name="CommandButtonReturn" hidden="1">
              <a:extLst>
                <a:ext uri="{63B3BB69-23CF-44E3-9099-C40C66FF867C}">
                  <a14:compatExt spid="_x0000_s6219777"/>
                </a:ext>
              </a:extLst>
            </xdr:cNvPr>
            <xdr:cNvSpPr/>
          </xdr:nvSpPr>
          <xdr:spPr>
            <a:xfrm>
              <a:off x="0" y="0"/>
              <a:ext cx="0" cy="0"/>
            </a:xfrm>
            <a:prstGeom prst="rect">
              <a:avLst/>
            </a:prstGeom>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1</xdr:col>
      <xdr:colOff>190500</xdr:colOff>
      <xdr:row>65</xdr:row>
      <xdr:rowOff>28575</xdr:rowOff>
    </xdr:from>
    <xdr:to>
      <xdr:col>14</xdr:col>
      <xdr:colOff>29402</xdr:colOff>
      <xdr:row>128</xdr:row>
      <xdr:rowOff>96437</xdr:rowOff>
    </xdr:to>
    <xdr:pic>
      <xdr:nvPicPr>
        <xdr:cNvPr id="3" name="Picture 2"/>
        <xdr:cNvPicPr>
          <a:picLocks noChangeAspect="1"/>
        </xdr:cNvPicPr>
      </xdr:nvPicPr>
      <xdr:blipFill>
        <a:blip xmlns:r="http://schemas.openxmlformats.org/officeDocument/2006/relationships" r:embed="rId1"/>
        <a:stretch>
          <a:fillRect/>
        </a:stretch>
      </xdr:blipFill>
      <xdr:spPr>
        <a:xfrm>
          <a:off x="800100" y="10553700"/>
          <a:ext cx="7154102" cy="10269137"/>
        </a:xfrm>
        <a:prstGeom prst="rect">
          <a:avLst/>
        </a:prstGeom>
      </xdr:spPr>
    </xdr:pic>
    <xdr:clientData/>
  </xdr:twoCellAnchor>
  <xdr:twoCellAnchor editAs="oneCell">
    <xdr:from>
      <xdr:col>1</xdr:col>
      <xdr:colOff>190499</xdr:colOff>
      <xdr:row>129</xdr:row>
      <xdr:rowOff>152399</xdr:rowOff>
    </xdr:from>
    <xdr:to>
      <xdr:col>14</xdr:col>
      <xdr:colOff>19050</xdr:colOff>
      <xdr:row>193</xdr:row>
      <xdr:rowOff>83180</xdr:rowOff>
    </xdr:to>
    <xdr:pic>
      <xdr:nvPicPr>
        <xdr:cNvPr id="5" name="Picture 4"/>
        <xdr:cNvPicPr>
          <a:picLocks noChangeAspect="1"/>
        </xdr:cNvPicPr>
      </xdr:nvPicPr>
      <xdr:blipFill>
        <a:blip xmlns:r="http://schemas.openxmlformats.org/officeDocument/2006/relationships" r:embed="rId2"/>
        <a:stretch>
          <a:fillRect/>
        </a:stretch>
      </xdr:blipFill>
      <xdr:spPr>
        <a:xfrm>
          <a:off x="800099" y="21040724"/>
          <a:ext cx="7143751" cy="10293981"/>
        </a:xfrm>
        <a:prstGeom prst="rect">
          <a:avLst/>
        </a:prstGeom>
      </xdr:spPr>
    </xdr:pic>
    <xdr:clientData/>
  </xdr:twoCellAnchor>
  <xdr:twoCellAnchor editAs="oneCell">
    <xdr:from>
      <xdr:col>1</xdr:col>
      <xdr:colOff>171450</xdr:colOff>
      <xdr:row>0</xdr:row>
      <xdr:rowOff>114300</xdr:rowOff>
    </xdr:from>
    <xdr:to>
      <xdr:col>13</xdr:col>
      <xdr:colOff>313470</xdr:colOff>
      <xdr:row>62</xdr:row>
      <xdr:rowOff>84474</xdr:rowOff>
    </xdr:to>
    <xdr:pic>
      <xdr:nvPicPr>
        <xdr:cNvPr id="4" name="Picture 3"/>
        <xdr:cNvPicPr>
          <a:picLocks noChangeAspect="1"/>
        </xdr:cNvPicPr>
      </xdr:nvPicPr>
      <xdr:blipFill>
        <a:blip xmlns:r="http://schemas.openxmlformats.org/officeDocument/2006/relationships" r:embed="rId3"/>
        <a:stretch>
          <a:fillRect/>
        </a:stretch>
      </xdr:blipFill>
      <xdr:spPr>
        <a:xfrm>
          <a:off x="781050" y="114300"/>
          <a:ext cx="6847620" cy="10009524"/>
        </a:xfrm>
        <a:prstGeom prst="rect">
          <a:avLst/>
        </a:prstGeom>
      </xdr:spPr>
    </xdr:pic>
    <xdr:clientData/>
  </xdr:twoCellAnchor>
  <xdr:twoCellAnchor editAs="oneCell">
    <xdr:from>
      <xdr:col>1</xdr:col>
      <xdr:colOff>410764</xdr:colOff>
      <xdr:row>154</xdr:row>
      <xdr:rowOff>59885</xdr:rowOff>
    </xdr:from>
    <xdr:to>
      <xdr:col>14</xdr:col>
      <xdr:colOff>516153</xdr:colOff>
      <xdr:row>180</xdr:row>
      <xdr:rowOff>9525</xdr:rowOff>
    </xdr:to>
    <xdr:pic>
      <xdr:nvPicPr>
        <xdr:cNvPr id="6" name="Picture 5"/>
        <xdr:cNvPicPr>
          <a:picLocks noChangeAspect="1"/>
        </xdr:cNvPicPr>
      </xdr:nvPicPr>
      <xdr:blipFill>
        <a:blip xmlns:r="http://schemas.openxmlformats.org/officeDocument/2006/relationships" r:embed="rId4"/>
        <a:stretch>
          <a:fillRect/>
        </a:stretch>
      </xdr:blipFill>
      <xdr:spPr>
        <a:xfrm>
          <a:off x="1020364" y="24996335"/>
          <a:ext cx="7420589" cy="4159690"/>
        </a:xfrm>
        <a:prstGeom prst="rect">
          <a:avLst/>
        </a:prstGeom>
      </xdr:spPr>
    </xdr:pic>
    <xdr:clientData/>
  </xdr:twoCellAnchor>
  <xdr:twoCellAnchor editAs="oneCell">
    <xdr:from>
      <xdr:col>3</xdr:col>
      <xdr:colOff>200024</xdr:colOff>
      <xdr:row>130</xdr:row>
      <xdr:rowOff>0</xdr:rowOff>
    </xdr:from>
    <xdr:to>
      <xdr:col>12</xdr:col>
      <xdr:colOff>22303</xdr:colOff>
      <xdr:row>148</xdr:row>
      <xdr:rowOff>75673</xdr:rowOff>
    </xdr:to>
    <xdr:pic>
      <xdr:nvPicPr>
        <xdr:cNvPr id="7" name="Picture 6"/>
        <xdr:cNvPicPr>
          <a:picLocks noChangeAspect="1"/>
        </xdr:cNvPicPr>
      </xdr:nvPicPr>
      <xdr:blipFill>
        <a:blip xmlns:r="http://schemas.openxmlformats.org/officeDocument/2006/relationships" r:embed="rId5"/>
        <a:stretch>
          <a:fillRect/>
        </a:stretch>
      </xdr:blipFill>
      <xdr:spPr>
        <a:xfrm>
          <a:off x="2028824" y="21050250"/>
          <a:ext cx="4699079" cy="299032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7.xml"/><Relationship Id="rId5" Type="http://schemas.openxmlformats.org/officeDocument/2006/relationships/image" Target="../media/image21.emf"/><Relationship Id="rId4"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23.emf"/><Relationship Id="rId4"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drawing" Target="../drawings/drawing4.xml"/><Relationship Id="rId7" Type="http://schemas.openxmlformats.org/officeDocument/2006/relationships/control" Target="../activeX/activeX21.xml"/><Relationship Id="rId2" Type="http://schemas.openxmlformats.org/officeDocument/2006/relationships/printerSettings" Target="../printerSettings/printerSettings4.bin"/><Relationship Id="rId1" Type="http://schemas.openxmlformats.org/officeDocument/2006/relationships/hyperlink" Target="mailto:athekdi@e3minc.com" TargetMode="External"/><Relationship Id="rId6" Type="http://schemas.openxmlformats.org/officeDocument/2006/relationships/image" Target="../media/image25.emf"/><Relationship Id="rId11" Type="http://schemas.openxmlformats.org/officeDocument/2006/relationships/comments" Target="../comments2.xml"/><Relationship Id="rId5" Type="http://schemas.openxmlformats.org/officeDocument/2006/relationships/control" Target="../activeX/activeX20.xml"/><Relationship Id="rId10" Type="http://schemas.openxmlformats.org/officeDocument/2006/relationships/image" Target="../media/image27.emf"/><Relationship Id="rId4" Type="http://schemas.openxmlformats.org/officeDocument/2006/relationships/vmlDrawing" Target="../drawings/vmlDrawing4.vml"/><Relationship Id="rId9"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5.vml"/><Relationship Id="rId7" Type="http://schemas.openxmlformats.org/officeDocument/2006/relationships/image" Target="../media/image29.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31.emf"/><Relationship Id="rId5" Type="http://schemas.openxmlformats.org/officeDocument/2006/relationships/image" Target="../media/image28.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30.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6.vml"/><Relationship Id="rId7" Type="http://schemas.openxmlformats.org/officeDocument/2006/relationships/image" Target="../media/image3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28.xml"/><Relationship Id="rId11" Type="http://schemas.openxmlformats.org/officeDocument/2006/relationships/image" Target="../media/image36.emf"/><Relationship Id="rId5" Type="http://schemas.openxmlformats.org/officeDocument/2006/relationships/image" Target="../media/image33.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7.vml"/><Relationship Id="rId7" Type="http://schemas.openxmlformats.org/officeDocument/2006/relationships/image" Target="../media/image3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2.xml"/><Relationship Id="rId11" Type="http://schemas.openxmlformats.org/officeDocument/2006/relationships/image" Target="../media/image40.emf"/><Relationship Id="rId5" Type="http://schemas.openxmlformats.org/officeDocument/2006/relationships/image" Target="../media/image37.emf"/><Relationship Id="rId10" Type="http://schemas.openxmlformats.org/officeDocument/2006/relationships/control" Target="../activeX/activeX34.xml"/><Relationship Id="rId4" Type="http://schemas.openxmlformats.org/officeDocument/2006/relationships/control" Target="../activeX/activeX31.xml"/><Relationship Id="rId9" Type="http://schemas.openxmlformats.org/officeDocument/2006/relationships/image" Target="../media/image39.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2.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6.xml"/><Relationship Id="rId5" Type="http://schemas.openxmlformats.org/officeDocument/2006/relationships/image" Target="../media/image41.emf"/><Relationship Id="rId4" Type="http://schemas.openxmlformats.org/officeDocument/2006/relationships/control" Target="../activeX/activeX3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7.emf"/><Relationship Id="rId18" Type="http://schemas.openxmlformats.org/officeDocument/2006/relationships/control" Target="../activeX/activeX44.xml"/><Relationship Id="rId26" Type="http://schemas.openxmlformats.org/officeDocument/2006/relationships/control" Target="../activeX/activeX48.xml"/><Relationship Id="rId39" Type="http://schemas.openxmlformats.org/officeDocument/2006/relationships/image" Target="../media/image60.emf"/><Relationship Id="rId3" Type="http://schemas.openxmlformats.org/officeDocument/2006/relationships/vmlDrawing" Target="../drawings/vmlDrawing9.vml"/><Relationship Id="rId21" Type="http://schemas.openxmlformats.org/officeDocument/2006/relationships/image" Target="../media/image51.emf"/><Relationship Id="rId34" Type="http://schemas.openxmlformats.org/officeDocument/2006/relationships/control" Target="../activeX/activeX52.xml"/><Relationship Id="rId7" Type="http://schemas.openxmlformats.org/officeDocument/2006/relationships/image" Target="../media/image44.emf"/><Relationship Id="rId12" Type="http://schemas.openxmlformats.org/officeDocument/2006/relationships/control" Target="../activeX/activeX41.xml"/><Relationship Id="rId17" Type="http://schemas.openxmlformats.org/officeDocument/2006/relationships/image" Target="../media/image49.emf"/><Relationship Id="rId25" Type="http://schemas.openxmlformats.org/officeDocument/2006/relationships/image" Target="../media/image53.emf"/><Relationship Id="rId33" Type="http://schemas.openxmlformats.org/officeDocument/2006/relationships/image" Target="../media/image57.emf"/><Relationship Id="rId38" Type="http://schemas.openxmlformats.org/officeDocument/2006/relationships/control" Target="../activeX/activeX54.xml"/><Relationship Id="rId2" Type="http://schemas.openxmlformats.org/officeDocument/2006/relationships/drawing" Target="../drawings/drawing9.xml"/><Relationship Id="rId16" Type="http://schemas.openxmlformats.org/officeDocument/2006/relationships/control" Target="../activeX/activeX43.xml"/><Relationship Id="rId20" Type="http://schemas.openxmlformats.org/officeDocument/2006/relationships/control" Target="../activeX/activeX45.xml"/><Relationship Id="rId29" Type="http://schemas.openxmlformats.org/officeDocument/2006/relationships/image" Target="../media/image55.emf"/><Relationship Id="rId41" Type="http://schemas.openxmlformats.org/officeDocument/2006/relationships/image" Target="../media/image61.emf"/><Relationship Id="rId1" Type="http://schemas.openxmlformats.org/officeDocument/2006/relationships/printerSettings" Target="../printerSettings/printerSettings9.bin"/><Relationship Id="rId6" Type="http://schemas.openxmlformats.org/officeDocument/2006/relationships/control" Target="../activeX/activeX38.xml"/><Relationship Id="rId11" Type="http://schemas.openxmlformats.org/officeDocument/2006/relationships/image" Target="../media/image46.emf"/><Relationship Id="rId24" Type="http://schemas.openxmlformats.org/officeDocument/2006/relationships/control" Target="../activeX/activeX47.xml"/><Relationship Id="rId32" Type="http://schemas.openxmlformats.org/officeDocument/2006/relationships/control" Target="../activeX/activeX51.xml"/><Relationship Id="rId37" Type="http://schemas.openxmlformats.org/officeDocument/2006/relationships/image" Target="../media/image59.emf"/><Relationship Id="rId40" Type="http://schemas.openxmlformats.org/officeDocument/2006/relationships/control" Target="../activeX/activeX55.xml"/><Relationship Id="rId5" Type="http://schemas.openxmlformats.org/officeDocument/2006/relationships/image" Target="../media/image43.emf"/><Relationship Id="rId15" Type="http://schemas.openxmlformats.org/officeDocument/2006/relationships/image" Target="../media/image48.emf"/><Relationship Id="rId23" Type="http://schemas.openxmlformats.org/officeDocument/2006/relationships/image" Target="../media/image52.emf"/><Relationship Id="rId28" Type="http://schemas.openxmlformats.org/officeDocument/2006/relationships/control" Target="../activeX/activeX49.xml"/><Relationship Id="rId36" Type="http://schemas.openxmlformats.org/officeDocument/2006/relationships/control" Target="../activeX/activeX53.xml"/><Relationship Id="rId10" Type="http://schemas.openxmlformats.org/officeDocument/2006/relationships/control" Target="../activeX/activeX40.xml"/><Relationship Id="rId19" Type="http://schemas.openxmlformats.org/officeDocument/2006/relationships/image" Target="../media/image50.emf"/><Relationship Id="rId31" Type="http://schemas.openxmlformats.org/officeDocument/2006/relationships/image" Target="../media/image56.emf"/><Relationship Id="rId4" Type="http://schemas.openxmlformats.org/officeDocument/2006/relationships/control" Target="../activeX/activeX37.xml"/><Relationship Id="rId9" Type="http://schemas.openxmlformats.org/officeDocument/2006/relationships/image" Target="../media/image45.emf"/><Relationship Id="rId14" Type="http://schemas.openxmlformats.org/officeDocument/2006/relationships/control" Target="../activeX/activeX42.xml"/><Relationship Id="rId22" Type="http://schemas.openxmlformats.org/officeDocument/2006/relationships/control" Target="../activeX/activeX46.xml"/><Relationship Id="rId27" Type="http://schemas.openxmlformats.org/officeDocument/2006/relationships/image" Target="../media/image54.emf"/><Relationship Id="rId30" Type="http://schemas.openxmlformats.org/officeDocument/2006/relationships/control" Target="../activeX/activeX50.xml"/><Relationship Id="rId35" Type="http://schemas.openxmlformats.org/officeDocument/2006/relationships/image" Target="../media/image58.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8.xml"/><Relationship Id="rId13" Type="http://schemas.openxmlformats.org/officeDocument/2006/relationships/image" Target="../media/image66.emf"/><Relationship Id="rId18" Type="http://schemas.openxmlformats.org/officeDocument/2006/relationships/control" Target="../activeX/activeX63.xml"/><Relationship Id="rId26" Type="http://schemas.openxmlformats.org/officeDocument/2006/relationships/control" Target="../activeX/activeX67.xml"/><Relationship Id="rId39" Type="http://schemas.openxmlformats.org/officeDocument/2006/relationships/image" Target="../media/image79.emf"/><Relationship Id="rId3" Type="http://schemas.openxmlformats.org/officeDocument/2006/relationships/vmlDrawing" Target="../drawings/vmlDrawing10.vml"/><Relationship Id="rId21" Type="http://schemas.openxmlformats.org/officeDocument/2006/relationships/image" Target="../media/image70.emf"/><Relationship Id="rId34" Type="http://schemas.openxmlformats.org/officeDocument/2006/relationships/control" Target="../activeX/activeX71.xml"/><Relationship Id="rId7" Type="http://schemas.openxmlformats.org/officeDocument/2006/relationships/image" Target="../media/image63.emf"/><Relationship Id="rId12" Type="http://schemas.openxmlformats.org/officeDocument/2006/relationships/control" Target="../activeX/activeX60.xml"/><Relationship Id="rId17" Type="http://schemas.openxmlformats.org/officeDocument/2006/relationships/image" Target="../media/image68.emf"/><Relationship Id="rId25" Type="http://schemas.openxmlformats.org/officeDocument/2006/relationships/image" Target="../media/image72.emf"/><Relationship Id="rId33" Type="http://schemas.openxmlformats.org/officeDocument/2006/relationships/image" Target="../media/image76.emf"/><Relationship Id="rId38" Type="http://schemas.openxmlformats.org/officeDocument/2006/relationships/control" Target="../activeX/activeX73.xml"/><Relationship Id="rId2" Type="http://schemas.openxmlformats.org/officeDocument/2006/relationships/drawing" Target="../drawings/drawing10.xml"/><Relationship Id="rId16" Type="http://schemas.openxmlformats.org/officeDocument/2006/relationships/control" Target="../activeX/activeX62.xml"/><Relationship Id="rId20" Type="http://schemas.openxmlformats.org/officeDocument/2006/relationships/control" Target="../activeX/activeX64.xml"/><Relationship Id="rId29" Type="http://schemas.openxmlformats.org/officeDocument/2006/relationships/image" Target="../media/image74.emf"/><Relationship Id="rId41" Type="http://schemas.openxmlformats.org/officeDocument/2006/relationships/image" Target="../media/image80.emf"/><Relationship Id="rId1" Type="http://schemas.openxmlformats.org/officeDocument/2006/relationships/printerSettings" Target="../printerSettings/printerSettings10.bin"/><Relationship Id="rId6" Type="http://schemas.openxmlformats.org/officeDocument/2006/relationships/control" Target="../activeX/activeX57.xml"/><Relationship Id="rId11" Type="http://schemas.openxmlformats.org/officeDocument/2006/relationships/image" Target="../media/image65.emf"/><Relationship Id="rId24" Type="http://schemas.openxmlformats.org/officeDocument/2006/relationships/control" Target="../activeX/activeX66.xml"/><Relationship Id="rId32" Type="http://schemas.openxmlformats.org/officeDocument/2006/relationships/control" Target="../activeX/activeX70.xml"/><Relationship Id="rId37" Type="http://schemas.openxmlformats.org/officeDocument/2006/relationships/image" Target="../media/image78.emf"/><Relationship Id="rId40" Type="http://schemas.openxmlformats.org/officeDocument/2006/relationships/control" Target="../activeX/activeX74.xml"/><Relationship Id="rId5" Type="http://schemas.openxmlformats.org/officeDocument/2006/relationships/image" Target="../media/image62.emf"/><Relationship Id="rId15" Type="http://schemas.openxmlformats.org/officeDocument/2006/relationships/image" Target="../media/image67.emf"/><Relationship Id="rId23" Type="http://schemas.openxmlformats.org/officeDocument/2006/relationships/image" Target="../media/image71.emf"/><Relationship Id="rId28" Type="http://schemas.openxmlformats.org/officeDocument/2006/relationships/control" Target="../activeX/activeX68.xml"/><Relationship Id="rId36" Type="http://schemas.openxmlformats.org/officeDocument/2006/relationships/control" Target="../activeX/activeX72.xml"/><Relationship Id="rId10" Type="http://schemas.openxmlformats.org/officeDocument/2006/relationships/control" Target="../activeX/activeX59.xml"/><Relationship Id="rId19" Type="http://schemas.openxmlformats.org/officeDocument/2006/relationships/image" Target="../media/image69.emf"/><Relationship Id="rId31" Type="http://schemas.openxmlformats.org/officeDocument/2006/relationships/image" Target="../media/image75.emf"/><Relationship Id="rId4" Type="http://schemas.openxmlformats.org/officeDocument/2006/relationships/control" Target="../activeX/activeX56.xml"/><Relationship Id="rId9" Type="http://schemas.openxmlformats.org/officeDocument/2006/relationships/image" Target="../media/image64.emf"/><Relationship Id="rId14" Type="http://schemas.openxmlformats.org/officeDocument/2006/relationships/control" Target="../activeX/activeX61.xml"/><Relationship Id="rId22" Type="http://schemas.openxmlformats.org/officeDocument/2006/relationships/control" Target="../activeX/activeX65.xml"/><Relationship Id="rId27" Type="http://schemas.openxmlformats.org/officeDocument/2006/relationships/image" Target="../media/image73.emf"/><Relationship Id="rId30" Type="http://schemas.openxmlformats.org/officeDocument/2006/relationships/control" Target="../activeX/activeX69.xml"/><Relationship Id="rId35" Type="http://schemas.openxmlformats.org/officeDocument/2006/relationships/image" Target="../media/image7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85.emf"/><Relationship Id="rId18" Type="http://schemas.openxmlformats.org/officeDocument/2006/relationships/control" Target="../activeX/activeX82.xml"/><Relationship Id="rId3" Type="http://schemas.openxmlformats.org/officeDocument/2006/relationships/vmlDrawing" Target="../drawings/vmlDrawing11.vml"/><Relationship Id="rId21" Type="http://schemas.openxmlformats.org/officeDocument/2006/relationships/image" Target="../media/image89.emf"/><Relationship Id="rId7" Type="http://schemas.openxmlformats.org/officeDocument/2006/relationships/image" Target="../media/image82.emf"/><Relationship Id="rId12" Type="http://schemas.openxmlformats.org/officeDocument/2006/relationships/control" Target="../activeX/activeX79.xml"/><Relationship Id="rId17" Type="http://schemas.openxmlformats.org/officeDocument/2006/relationships/image" Target="../media/image87.emf"/><Relationship Id="rId2" Type="http://schemas.openxmlformats.org/officeDocument/2006/relationships/drawing" Target="../drawings/drawing11.xml"/><Relationship Id="rId16" Type="http://schemas.openxmlformats.org/officeDocument/2006/relationships/control" Target="../activeX/activeX81.xml"/><Relationship Id="rId20" Type="http://schemas.openxmlformats.org/officeDocument/2006/relationships/control" Target="../activeX/activeX83.xml"/><Relationship Id="rId1" Type="http://schemas.openxmlformats.org/officeDocument/2006/relationships/printerSettings" Target="../printerSettings/printerSettings11.bin"/><Relationship Id="rId6" Type="http://schemas.openxmlformats.org/officeDocument/2006/relationships/control" Target="../activeX/activeX76.xml"/><Relationship Id="rId11" Type="http://schemas.openxmlformats.org/officeDocument/2006/relationships/image" Target="../media/image84.emf"/><Relationship Id="rId5" Type="http://schemas.openxmlformats.org/officeDocument/2006/relationships/image" Target="../media/image81.emf"/><Relationship Id="rId15" Type="http://schemas.openxmlformats.org/officeDocument/2006/relationships/image" Target="../media/image86.emf"/><Relationship Id="rId23" Type="http://schemas.openxmlformats.org/officeDocument/2006/relationships/image" Target="../media/image90.emf"/><Relationship Id="rId10" Type="http://schemas.openxmlformats.org/officeDocument/2006/relationships/control" Target="../activeX/activeX78.xml"/><Relationship Id="rId19" Type="http://schemas.openxmlformats.org/officeDocument/2006/relationships/image" Target="../media/image88.emf"/><Relationship Id="rId4" Type="http://schemas.openxmlformats.org/officeDocument/2006/relationships/control" Target="../activeX/activeX75.xml"/><Relationship Id="rId9" Type="http://schemas.openxmlformats.org/officeDocument/2006/relationships/image" Target="../media/image83.emf"/><Relationship Id="rId14" Type="http://schemas.openxmlformats.org/officeDocument/2006/relationships/control" Target="../activeX/activeX80.xml"/><Relationship Id="rId22" Type="http://schemas.openxmlformats.org/officeDocument/2006/relationships/control" Target="../activeX/activeX84.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95.emf"/><Relationship Id="rId18" Type="http://schemas.openxmlformats.org/officeDocument/2006/relationships/control" Target="../activeX/activeX92.xml"/><Relationship Id="rId26" Type="http://schemas.openxmlformats.org/officeDocument/2006/relationships/control" Target="../activeX/activeX96.xml"/><Relationship Id="rId39" Type="http://schemas.openxmlformats.org/officeDocument/2006/relationships/image" Target="../media/image108.emf"/><Relationship Id="rId21" Type="http://schemas.openxmlformats.org/officeDocument/2006/relationships/image" Target="../media/image99.emf"/><Relationship Id="rId34" Type="http://schemas.openxmlformats.org/officeDocument/2006/relationships/control" Target="../activeX/activeX100.xml"/><Relationship Id="rId42" Type="http://schemas.openxmlformats.org/officeDocument/2006/relationships/control" Target="../activeX/activeX104.xml"/><Relationship Id="rId47" Type="http://schemas.openxmlformats.org/officeDocument/2006/relationships/image" Target="../media/image112.emf"/><Relationship Id="rId50" Type="http://schemas.openxmlformats.org/officeDocument/2006/relationships/control" Target="../activeX/activeX108.xml"/><Relationship Id="rId55" Type="http://schemas.openxmlformats.org/officeDocument/2006/relationships/image" Target="../media/image116.emf"/><Relationship Id="rId7" Type="http://schemas.openxmlformats.org/officeDocument/2006/relationships/image" Target="../media/image92.emf"/><Relationship Id="rId12" Type="http://schemas.openxmlformats.org/officeDocument/2006/relationships/control" Target="../activeX/activeX89.xml"/><Relationship Id="rId17" Type="http://schemas.openxmlformats.org/officeDocument/2006/relationships/image" Target="../media/image97.emf"/><Relationship Id="rId25" Type="http://schemas.openxmlformats.org/officeDocument/2006/relationships/image" Target="../media/image101.emf"/><Relationship Id="rId33" Type="http://schemas.openxmlformats.org/officeDocument/2006/relationships/image" Target="../media/image105.emf"/><Relationship Id="rId38" Type="http://schemas.openxmlformats.org/officeDocument/2006/relationships/control" Target="../activeX/activeX102.xml"/><Relationship Id="rId46" Type="http://schemas.openxmlformats.org/officeDocument/2006/relationships/control" Target="../activeX/activeX106.xml"/><Relationship Id="rId59" Type="http://schemas.openxmlformats.org/officeDocument/2006/relationships/image" Target="../media/image118.emf"/><Relationship Id="rId2" Type="http://schemas.openxmlformats.org/officeDocument/2006/relationships/drawing" Target="../drawings/drawing12.xml"/><Relationship Id="rId16" Type="http://schemas.openxmlformats.org/officeDocument/2006/relationships/control" Target="../activeX/activeX91.xml"/><Relationship Id="rId20" Type="http://schemas.openxmlformats.org/officeDocument/2006/relationships/control" Target="../activeX/activeX93.xml"/><Relationship Id="rId29" Type="http://schemas.openxmlformats.org/officeDocument/2006/relationships/image" Target="../media/image103.emf"/><Relationship Id="rId41" Type="http://schemas.openxmlformats.org/officeDocument/2006/relationships/image" Target="../media/image109.emf"/><Relationship Id="rId54" Type="http://schemas.openxmlformats.org/officeDocument/2006/relationships/control" Target="../activeX/activeX110.xml"/><Relationship Id="rId1" Type="http://schemas.openxmlformats.org/officeDocument/2006/relationships/printerSettings" Target="../printerSettings/printerSettings12.bin"/><Relationship Id="rId6" Type="http://schemas.openxmlformats.org/officeDocument/2006/relationships/control" Target="../activeX/activeX86.xml"/><Relationship Id="rId11" Type="http://schemas.openxmlformats.org/officeDocument/2006/relationships/image" Target="../media/image94.emf"/><Relationship Id="rId24" Type="http://schemas.openxmlformats.org/officeDocument/2006/relationships/control" Target="../activeX/activeX95.xml"/><Relationship Id="rId32" Type="http://schemas.openxmlformats.org/officeDocument/2006/relationships/control" Target="../activeX/activeX99.xml"/><Relationship Id="rId37" Type="http://schemas.openxmlformats.org/officeDocument/2006/relationships/image" Target="../media/image107.emf"/><Relationship Id="rId40" Type="http://schemas.openxmlformats.org/officeDocument/2006/relationships/control" Target="../activeX/activeX103.xml"/><Relationship Id="rId45" Type="http://schemas.openxmlformats.org/officeDocument/2006/relationships/image" Target="../media/image111.emf"/><Relationship Id="rId53" Type="http://schemas.openxmlformats.org/officeDocument/2006/relationships/image" Target="../media/image115.emf"/><Relationship Id="rId58" Type="http://schemas.openxmlformats.org/officeDocument/2006/relationships/control" Target="../activeX/activeX112.xml"/><Relationship Id="rId5" Type="http://schemas.openxmlformats.org/officeDocument/2006/relationships/image" Target="../media/image91.emf"/><Relationship Id="rId15" Type="http://schemas.openxmlformats.org/officeDocument/2006/relationships/image" Target="../media/image96.emf"/><Relationship Id="rId23" Type="http://schemas.openxmlformats.org/officeDocument/2006/relationships/image" Target="../media/image100.emf"/><Relationship Id="rId28" Type="http://schemas.openxmlformats.org/officeDocument/2006/relationships/control" Target="../activeX/activeX97.xml"/><Relationship Id="rId36" Type="http://schemas.openxmlformats.org/officeDocument/2006/relationships/control" Target="../activeX/activeX101.xml"/><Relationship Id="rId49" Type="http://schemas.openxmlformats.org/officeDocument/2006/relationships/image" Target="../media/image113.emf"/><Relationship Id="rId57" Type="http://schemas.openxmlformats.org/officeDocument/2006/relationships/image" Target="../media/image117.emf"/><Relationship Id="rId10" Type="http://schemas.openxmlformats.org/officeDocument/2006/relationships/control" Target="../activeX/activeX88.xml"/><Relationship Id="rId19" Type="http://schemas.openxmlformats.org/officeDocument/2006/relationships/image" Target="../media/image98.emf"/><Relationship Id="rId31" Type="http://schemas.openxmlformats.org/officeDocument/2006/relationships/image" Target="../media/image104.emf"/><Relationship Id="rId44" Type="http://schemas.openxmlformats.org/officeDocument/2006/relationships/control" Target="../activeX/activeX105.xml"/><Relationship Id="rId52" Type="http://schemas.openxmlformats.org/officeDocument/2006/relationships/control" Target="../activeX/activeX109.xml"/><Relationship Id="rId4" Type="http://schemas.openxmlformats.org/officeDocument/2006/relationships/control" Target="../activeX/activeX85.xml"/><Relationship Id="rId9" Type="http://schemas.openxmlformats.org/officeDocument/2006/relationships/image" Target="../media/image93.emf"/><Relationship Id="rId14" Type="http://schemas.openxmlformats.org/officeDocument/2006/relationships/control" Target="../activeX/activeX90.xml"/><Relationship Id="rId22" Type="http://schemas.openxmlformats.org/officeDocument/2006/relationships/control" Target="../activeX/activeX94.xml"/><Relationship Id="rId27" Type="http://schemas.openxmlformats.org/officeDocument/2006/relationships/image" Target="../media/image102.emf"/><Relationship Id="rId30" Type="http://schemas.openxmlformats.org/officeDocument/2006/relationships/control" Target="../activeX/activeX98.xml"/><Relationship Id="rId35" Type="http://schemas.openxmlformats.org/officeDocument/2006/relationships/image" Target="../media/image106.emf"/><Relationship Id="rId43" Type="http://schemas.openxmlformats.org/officeDocument/2006/relationships/image" Target="../media/image110.emf"/><Relationship Id="rId48" Type="http://schemas.openxmlformats.org/officeDocument/2006/relationships/control" Target="../activeX/activeX107.xml"/><Relationship Id="rId56" Type="http://schemas.openxmlformats.org/officeDocument/2006/relationships/control" Target="../activeX/activeX111.xml"/><Relationship Id="rId8" Type="http://schemas.openxmlformats.org/officeDocument/2006/relationships/control" Target="../activeX/activeX87.xml"/><Relationship Id="rId51" Type="http://schemas.openxmlformats.org/officeDocument/2006/relationships/image" Target="../media/image114.emf"/><Relationship Id="rId3"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15.xml"/><Relationship Id="rId3" Type="http://schemas.openxmlformats.org/officeDocument/2006/relationships/vmlDrawing" Target="../drawings/vmlDrawing13.vml"/><Relationship Id="rId7" Type="http://schemas.openxmlformats.org/officeDocument/2006/relationships/image" Target="../media/image120.emf"/><Relationship Id="rId12" Type="http://schemas.openxmlformats.org/officeDocument/2006/relationships/comments" Target="../comments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114.xml"/><Relationship Id="rId11" Type="http://schemas.openxmlformats.org/officeDocument/2006/relationships/image" Target="../media/image122.emf"/><Relationship Id="rId5" Type="http://schemas.openxmlformats.org/officeDocument/2006/relationships/image" Target="../media/image119.emf"/><Relationship Id="rId10" Type="http://schemas.openxmlformats.org/officeDocument/2006/relationships/control" Target="../activeX/activeX116.xml"/><Relationship Id="rId4" Type="http://schemas.openxmlformats.org/officeDocument/2006/relationships/control" Target="../activeX/activeX113.xml"/><Relationship Id="rId9" Type="http://schemas.openxmlformats.org/officeDocument/2006/relationships/image" Target="../media/image121.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19.xml"/><Relationship Id="rId3" Type="http://schemas.openxmlformats.org/officeDocument/2006/relationships/vmlDrawing" Target="../drawings/vmlDrawing14.vml"/><Relationship Id="rId7" Type="http://schemas.openxmlformats.org/officeDocument/2006/relationships/image" Target="../media/image124.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118.xml"/><Relationship Id="rId11" Type="http://schemas.openxmlformats.org/officeDocument/2006/relationships/image" Target="../media/image126.emf"/><Relationship Id="rId5" Type="http://schemas.openxmlformats.org/officeDocument/2006/relationships/image" Target="../media/image123.emf"/><Relationship Id="rId10" Type="http://schemas.openxmlformats.org/officeDocument/2006/relationships/control" Target="../activeX/activeX120.xml"/><Relationship Id="rId4" Type="http://schemas.openxmlformats.org/officeDocument/2006/relationships/control" Target="../activeX/activeX117.xml"/><Relationship Id="rId9" Type="http://schemas.openxmlformats.org/officeDocument/2006/relationships/image" Target="../media/image125.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123.xml"/><Relationship Id="rId13" Type="http://schemas.openxmlformats.org/officeDocument/2006/relationships/image" Target="../media/image131.emf"/><Relationship Id="rId18" Type="http://schemas.openxmlformats.org/officeDocument/2006/relationships/control" Target="../activeX/activeX128.xml"/><Relationship Id="rId26" Type="http://schemas.openxmlformats.org/officeDocument/2006/relationships/control" Target="../activeX/activeX132.xml"/><Relationship Id="rId3" Type="http://schemas.openxmlformats.org/officeDocument/2006/relationships/vmlDrawing" Target="../drawings/vmlDrawing15.vml"/><Relationship Id="rId21" Type="http://schemas.openxmlformats.org/officeDocument/2006/relationships/image" Target="../media/image135.emf"/><Relationship Id="rId7" Type="http://schemas.openxmlformats.org/officeDocument/2006/relationships/image" Target="../media/image128.emf"/><Relationship Id="rId12" Type="http://schemas.openxmlformats.org/officeDocument/2006/relationships/control" Target="../activeX/activeX125.xml"/><Relationship Id="rId17" Type="http://schemas.openxmlformats.org/officeDocument/2006/relationships/image" Target="../media/image133.emf"/><Relationship Id="rId25" Type="http://schemas.openxmlformats.org/officeDocument/2006/relationships/image" Target="../media/image137.emf"/><Relationship Id="rId2" Type="http://schemas.openxmlformats.org/officeDocument/2006/relationships/drawing" Target="../drawings/drawing15.xml"/><Relationship Id="rId16" Type="http://schemas.openxmlformats.org/officeDocument/2006/relationships/control" Target="../activeX/activeX127.xml"/><Relationship Id="rId20" Type="http://schemas.openxmlformats.org/officeDocument/2006/relationships/control" Target="../activeX/activeX129.xml"/><Relationship Id="rId1" Type="http://schemas.openxmlformats.org/officeDocument/2006/relationships/printerSettings" Target="../printerSettings/printerSettings15.bin"/><Relationship Id="rId6" Type="http://schemas.openxmlformats.org/officeDocument/2006/relationships/control" Target="../activeX/activeX122.xml"/><Relationship Id="rId11" Type="http://schemas.openxmlformats.org/officeDocument/2006/relationships/image" Target="../media/image130.emf"/><Relationship Id="rId24" Type="http://schemas.openxmlformats.org/officeDocument/2006/relationships/control" Target="../activeX/activeX131.xml"/><Relationship Id="rId5" Type="http://schemas.openxmlformats.org/officeDocument/2006/relationships/image" Target="../media/image127.emf"/><Relationship Id="rId15" Type="http://schemas.openxmlformats.org/officeDocument/2006/relationships/image" Target="../media/image132.emf"/><Relationship Id="rId23" Type="http://schemas.openxmlformats.org/officeDocument/2006/relationships/image" Target="../media/image136.emf"/><Relationship Id="rId10" Type="http://schemas.openxmlformats.org/officeDocument/2006/relationships/control" Target="../activeX/activeX124.xml"/><Relationship Id="rId19" Type="http://schemas.openxmlformats.org/officeDocument/2006/relationships/image" Target="../media/image134.emf"/><Relationship Id="rId4" Type="http://schemas.openxmlformats.org/officeDocument/2006/relationships/control" Target="../activeX/activeX121.xml"/><Relationship Id="rId9" Type="http://schemas.openxmlformats.org/officeDocument/2006/relationships/image" Target="../media/image129.emf"/><Relationship Id="rId14" Type="http://schemas.openxmlformats.org/officeDocument/2006/relationships/control" Target="../activeX/activeX126.xml"/><Relationship Id="rId22" Type="http://schemas.openxmlformats.org/officeDocument/2006/relationships/control" Target="../activeX/activeX130.xml"/><Relationship Id="rId27" Type="http://schemas.openxmlformats.org/officeDocument/2006/relationships/image" Target="../media/image138.emf"/></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35.xml"/><Relationship Id="rId3" Type="http://schemas.openxmlformats.org/officeDocument/2006/relationships/vmlDrawing" Target="../drawings/vmlDrawing16.vml"/><Relationship Id="rId7" Type="http://schemas.openxmlformats.org/officeDocument/2006/relationships/image" Target="../media/image140.emf"/><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ontrol" Target="../activeX/activeX134.xml"/><Relationship Id="rId11" Type="http://schemas.openxmlformats.org/officeDocument/2006/relationships/image" Target="../media/image142.emf"/><Relationship Id="rId5" Type="http://schemas.openxmlformats.org/officeDocument/2006/relationships/image" Target="../media/image139.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4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39.xml"/><Relationship Id="rId3" Type="http://schemas.openxmlformats.org/officeDocument/2006/relationships/vmlDrawing" Target="../drawings/vmlDrawing17.vml"/><Relationship Id="rId7" Type="http://schemas.openxmlformats.org/officeDocument/2006/relationships/image" Target="../media/image144.emf"/><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ontrol" Target="../activeX/activeX138.xml"/><Relationship Id="rId11" Type="http://schemas.openxmlformats.org/officeDocument/2006/relationships/image" Target="../media/image146.emf"/><Relationship Id="rId5" Type="http://schemas.openxmlformats.org/officeDocument/2006/relationships/image" Target="../media/image143.emf"/><Relationship Id="rId10" Type="http://schemas.openxmlformats.org/officeDocument/2006/relationships/control" Target="../activeX/activeX140.xml"/><Relationship Id="rId4" Type="http://schemas.openxmlformats.org/officeDocument/2006/relationships/control" Target="../activeX/activeX137.xml"/><Relationship Id="rId9" Type="http://schemas.openxmlformats.org/officeDocument/2006/relationships/image" Target="../media/image145.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43.xml"/><Relationship Id="rId3" Type="http://schemas.openxmlformats.org/officeDocument/2006/relationships/vmlDrawing" Target="../drawings/vmlDrawing18.vml"/><Relationship Id="rId7" Type="http://schemas.openxmlformats.org/officeDocument/2006/relationships/image" Target="../media/image149.emf"/><Relationship Id="rId12" Type="http://schemas.openxmlformats.org/officeDocument/2006/relationships/comments" Target="../comments4.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ontrol" Target="../activeX/activeX142.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44.xml"/><Relationship Id="rId4" Type="http://schemas.openxmlformats.org/officeDocument/2006/relationships/control" Target="../activeX/activeX141.xml"/><Relationship Id="rId9" Type="http://schemas.openxmlformats.org/officeDocument/2006/relationships/image" Target="../media/image150.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56.emf"/><Relationship Id="rId18" Type="http://schemas.openxmlformats.org/officeDocument/2006/relationships/control" Target="../activeX/activeX152.xml"/><Relationship Id="rId26" Type="http://schemas.openxmlformats.org/officeDocument/2006/relationships/comments" Target="../comments5.xml"/><Relationship Id="rId3" Type="http://schemas.openxmlformats.org/officeDocument/2006/relationships/vmlDrawing" Target="../drawings/vmlDrawing19.vml"/><Relationship Id="rId21" Type="http://schemas.openxmlformats.org/officeDocument/2006/relationships/image" Target="../media/image160.emf"/><Relationship Id="rId7" Type="http://schemas.openxmlformats.org/officeDocument/2006/relationships/image" Target="../media/image153.emf"/><Relationship Id="rId12" Type="http://schemas.openxmlformats.org/officeDocument/2006/relationships/control" Target="../activeX/activeX149.xml"/><Relationship Id="rId17" Type="http://schemas.openxmlformats.org/officeDocument/2006/relationships/image" Target="../media/image158.emf"/><Relationship Id="rId25" Type="http://schemas.openxmlformats.org/officeDocument/2006/relationships/image" Target="../media/image162.emf"/><Relationship Id="rId2" Type="http://schemas.openxmlformats.org/officeDocument/2006/relationships/drawing" Target="../drawings/drawing21.xml"/><Relationship Id="rId16" Type="http://schemas.openxmlformats.org/officeDocument/2006/relationships/control" Target="../activeX/activeX151.xml"/><Relationship Id="rId20" Type="http://schemas.openxmlformats.org/officeDocument/2006/relationships/control" Target="../activeX/activeX153.xml"/><Relationship Id="rId1" Type="http://schemas.openxmlformats.org/officeDocument/2006/relationships/printerSettings" Target="../printerSettings/printerSettings19.bin"/><Relationship Id="rId6" Type="http://schemas.openxmlformats.org/officeDocument/2006/relationships/control" Target="../activeX/activeX146.xml"/><Relationship Id="rId11" Type="http://schemas.openxmlformats.org/officeDocument/2006/relationships/image" Target="../media/image155.emf"/><Relationship Id="rId24" Type="http://schemas.openxmlformats.org/officeDocument/2006/relationships/control" Target="../activeX/activeX155.xml"/><Relationship Id="rId5" Type="http://schemas.openxmlformats.org/officeDocument/2006/relationships/image" Target="../media/image152.emf"/><Relationship Id="rId15" Type="http://schemas.openxmlformats.org/officeDocument/2006/relationships/image" Target="../media/image157.emf"/><Relationship Id="rId23" Type="http://schemas.openxmlformats.org/officeDocument/2006/relationships/image" Target="../media/image161.emf"/><Relationship Id="rId10" Type="http://schemas.openxmlformats.org/officeDocument/2006/relationships/control" Target="../activeX/activeX148.xml"/><Relationship Id="rId19" Type="http://schemas.openxmlformats.org/officeDocument/2006/relationships/image" Target="../media/image159.emf"/><Relationship Id="rId4" Type="http://schemas.openxmlformats.org/officeDocument/2006/relationships/control" Target="../activeX/activeX145.xml"/><Relationship Id="rId9" Type="http://schemas.openxmlformats.org/officeDocument/2006/relationships/image" Target="../media/image154.emf"/><Relationship Id="rId14" Type="http://schemas.openxmlformats.org/officeDocument/2006/relationships/control" Target="../activeX/activeX150.xml"/><Relationship Id="rId22" Type="http://schemas.openxmlformats.org/officeDocument/2006/relationships/control" Target="../activeX/activeX154.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7.bin"/><Relationship Id="rId5" Type="http://schemas.openxmlformats.org/officeDocument/2006/relationships/image" Target="../media/image165.emf"/><Relationship Id="rId4" Type="http://schemas.openxmlformats.org/officeDocument/2006/relationships/control" Target="../activeX/activeX156.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1.v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image" Target="../media/image168.emf"/><Relationship Id="rId4" Type="http://schemas.openxmlformats.org/officeDocument/2006/relationships/control" Target="../activeX/activeX15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image" Target="../media/image169.emf"/><Relationship Id="rId4" Type="http://schemas.openxmlformats.org/officeDocument/2006/relationships/control" Target="../activeX/activeX15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70.emf"/><Relationship Id="rId4" Type="http://schemas.openxmlformats.org/officeDocument/2006/relationships/control" Target="../activeX/activeX15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image" Target="../media/image171.emf"/><Relationship Id="rId4" Type="http://schemas.openxmlformats.org/officeDocument/2006/relationships/control" Target="../activeX/activeX16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image" Target="../media/image172.emf"/><Relationship Id="rId4" Type="http://schemas.openxmlformats.org/officeDocument/2006/relationships/control" Target="../activeX/activeX16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image" Target="../media/image173.emf"/><Relationship Id="rId4" Type="http://schemas.openxmlformats.org/officeDocument/2006/relationships/control" Target="../activeX/activeX16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image" Target="../media/image174.emf"/><Relationship Id="rId4" Type="http://schemas.openxmlformats.org/officeDocument/2006/relationships/control" Target="../activeX/activeX16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image" Target="../media/image175.emf"/><Relationship Id="rId4" Type="http://schemas.openxmlformats.org/officeDocument/2006/relationships/control" Target="../activeX/activeX164.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image" Target="../media/image176.emf"/><Relationship Id="rId4" Type="http://schemas.openxmlformats.org/officeDocument/2006/relationships/control" Target="../activeX/activeX16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image" Target="../media/image177.emf"/><Relationship Id="rId4" Type="http://schemas.openxmlformats.org/officeDocument/2006/relationships/control" Target="../activeX/activeX166.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image" Target="../media/image178.emf"/><Relationship Id="rId4" Type="http://schemas.openxmlformats.org/officeDocument/2006/relationships/control" Target="../activeX/activeX167.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53"/>
  <sheetViews>
    <sheetView tabSelected="1" zoomScaleNormal="100" workbookViewId="0">
      <selection activeCell="A22" sqref="A22"/>
    </sheetView>
  </sheetViews>
  <sheetFormatPr defaultColWidth="0" defaultRowHeight="12.75" zeroHeight="1"/>
  <cols>
    <col min="1" max="1" width="7.7109375" style="1177" customWidth="1"/>
    <col min="2" max="2" width="10.42578125" style="1174" customWidth="1"/>
    <col min="3" max="3" width="61.42578125" style="1177" customWidth="1"/>
    <col min="4" max="4" width="12.28515625" style="1176" customWidth="1"/>
    <col min="5" max="5" width="3.42578125" style="1176" customWidth="1"/>
    <col min="6" max="6" width="11.140625" style="1177" customWidth="1"/>
    <col min="7" max="7" width="7.7109375" style="1177" customWidth="1"/>
    <col min="8" max="8" width="9.140625" style="1178" hidden="1" customWidth="1"/>
    <col min="9" max="9" width="22.85546875" style="1178" hidden="1" customWidth="1"/>
    <col min="10" max="11" width="9.140625" style="1178" hidden="1" customWidth="1"/>
    <col min="12" max="12" width="33" style="1177" hidden="1" customWidth="1"/>
    <col min="13" max="13" width="23.5703125" style="1177" hidden="1" customWidth="1"/>
    <col min="14" max="14" width="8.85546875" style="1177" hidden="1" customWidth="1"/>
    <col min="15" max="16384" width="9.140625" style="1177" hidden="1"/>
  </cols>
  <sheetData>
    <row r="1" spans="2:16" ht="24.95" customHeight="1" thickBot="1">
      <c r="C1" s="1175"/>
      <c r="J1" s="1178" t="s">
        <v>1621</v>
      </c>
      <c r="K1" s="1178">
        <f>IF(J1="Lock",1,0)</f>
        <v>0</v>
      </c>
    </row>
    <row r="2" spans="2:16" ht="69" customHeight="1">
      <c r="B2" s="2239" t="s">
        <v>1638</v>
      </c>
      <c r="C2" s="2240"/>
      <c r="D2" s="2240"/>
      <c r="E2" s="2240"/>
      <c r="F2" s="2241"/>
      <c r="G2" s="1179"/>
      <c r="J2" s="1180"/>
      <c r="K2" s="1178">
        <v>0</v>
      </c>
      <c r="L2" s="1181" t="s">
        <v>1462</v>
      </c>
      <c r="N2" s="1182"/>
    </row>
    <row r="3" spans="2:16" ht="20.100000000000001" customHeight="1">
      <c r="B3" s="2254" t="s">
        <v>1317</v>
      </c>
      <c r="C3" s="2255"/>
      <c r="D3" s="2255"/>
      <c r="E3" s="2255"/>
      <c r="F3" s="2256"/>
      <c r="G3" s="1183"/>
      <c r="H3" s="1184"/>
      <c r="L3" s="1185"/>
      <c r="M3" s="1185"/>
      <c r="N3" s="1185"/>
      <c r="O3" s="1185"/>
      <c r="P3" s="1185"/>
    </row>
    <row r="4" spans="2:16" ht="20.100000000000001" customHeight="1" thickBot="1">
      <c r="B4" s="2257"/>
      <c r="C4" s="2258"/>
      <c r="D4" s="2258"/>
      <c r="E4" s="2258"/>
      <c r="F4" s="2259"/>
      <c r="L4" s="1186"/>
    </row>
    <row r="5" spans="2:16" s="1189" customFormat="1" ht="20.100000000000001" customHeight="1">
      <c r="B5" s="2246" t="str">
        <f>$H$5</f>
        <v>What is PHASTEx?</v>
      </c>
      <c r="C5" s="2247"/>
      <c r="D5" s="2247"/>
      <c r="E5" s="2248"/>
      <c r="F5" s="2249"/>
      <c r="G5" s="1187"/>
      <c r="H5" s="1188" t="s">
        <v>1319</v>
      </c>
      <c r="J5" s="1188"/>
      <c r="K5" s="1188"/>
      <c r="O5" s="1008"/>
    </row>
    <row r="6" spans="2:16" ht="20.100000000000001" customHeight="1">
      <c r="B6" s="2242" t="s">
        <v>1093</v>
      </c>
      <c r="C6" s="2243"/>
      <c r="D6" s="2243"/>
      <c r="E6" s="2244"/>
      <c r="F6" s="2245"/>
      <c r="H6" s="1178" t="s">
        <v>2</v>
      </c>
    </row>
    <row r="7" spans="2:16" ht="20.100000000000001" customHeight="1" thickBot="1">
      <c r="B7" s="2250" t="str">
        <f>L2</f>
        <v>PHASTEx_- US Units For Excel v1.01.xls</v>
      </c>
      <c r="C7" s="2251"/>
      <c r="D7" s="2252"/>
      <c r="E7" s="2252"/>
      <c r="F7" s="2253"/>
      <c r="G7" s="1190"/>
      <c r="H7" s="1178" t="s">
        <v>12</v>
      </c>
    </row>
    <row r="8" spans="2:16" s="1193" customFormat="1" ht="45" customHeight="1">
      <c r="B8" s="1143" t="s">
        <v>35</v>
      </c>
      <c r="C8" s="1144" t="s">
        <v>27</v>
      </c>
      <c r="D8" s="1145" t="s">
        <v>28</v>
      </c>
      <c r="E8" s="1191"/>
      <c r="F8" s="1192"/>
      <c r="H8" s="1182" t="s">
        <v>774</v>
      </c>
      <c r="J8" s="1182"/>
      <c r="K8" s="1182"/>
    </row>
    <row r="9" spans="2:16" s="1193" customFormat="1" ht="20.100000000000001" customHeight="1">
      <c r="B9" s="2099">
        <v>1</v>
      </c>
      <c r="C9" s="2100" t="s">
        <v>1461</v>
      </c>
      <c r="D9" s="1141"/>
      <c r="E9" s="1191"/>
      <c r="F9" s="1192"/>
      <c r="H9" s="1182"/>
      <c r="J9" s="1182"/>
      <c r="K9" s="1182"/>
    </row>
    <row r="10" spans="2:16" s="1193" customFormat="1" ht="20.100000000000001" customHeight="1">
      <c r="B10" s="2101">
        <v>2</v>
      </c>
      <c r="C10" s="2102" t="s">
        <v>460</v>
      </c>
      <c r="D10" s="1142"/>
      <c r="E10" s="1191"/>
      <c r="F10" s="1192"/>
      <c r="H10" s="1182"/>
      <c r="J10" s="1182"/>
      <c r="K10" s="1182"/>
    </row>
    <row r="11" spans="2:16" s="1193" customFormat="1" ht="20.100000000000001" customHeight="1">
      <c r="B11" s="2101">
        <v>3.1</v>
      </c>
      <c r="C11" s="2102" t="s">
        <v>29</v>
      </c>
      <c r="D11" s="1009">
        <v>3</v>
      </c>
      <c r="E11" s="1194"/>
      <c r="F11" s="1195"/>
      <c r="G11" s="1196"/>
      <c r="H11" s="1182"/>
      <c r="I11" s="1182"/>
      <c r="J11" s="1182"/>
      <c r="K11" s="1182"/>
    </row>
    <row r="12" spans="2:16" s="1193" customFormat="1" ht="20.100000000000001" customHeight="1">
      <c r="B12" s="2101">
        <v>3.2</v>
      </c>
      <c r="C12" s="2102" t="s">
        <v>30</v>
      </c>
      <c r="D12" s="1009">
        <v>3</v>
      </c>
      <c r="E12" s="1194"/>
      <c r="F12" s="1195"/>
      <c r="G12" s="1196"/>
      <c r="H12" s="1182"/>
      <c r="I12" s="1182"/>
      <c r="J12" s="1182"/>
      <c r="K12" s="1182"/>
    </row>
    <row r="13" spans="2:16" s="1193" customFormat="1" ht="20.100000000000001" customHeight="1">
      <c r="B13" s="2101">
        <v>3.3</v>
      </c>
      <c r="C13" s="2102" t="s">
        <v>31</v>
      </c>
      <c r="D13" s="1009">
        <v>3</v>
      </c>
      <c r="E13" s="1194"/>
      <c r="F13" s="1195"/>
      <c r="G13" s="1196"/>
      <c r="H13" s="1182"/>
      <c r="I13" s="1182"/>
      <c r="J13" s="1182"/>
      <c r="K13" s="1182"/>
    </row>
    <row r="14" spans="2:16" s="1193" customFormat="1" ht="20.100000000000001" customHeight="1">
      <c r="B14" s="2101">
        <v>4</v>
      </c>
      <c r="C14" s="2102" t="s">
        <v>36</v>
      </c>
      <c r="D14" s="1009">
        <v>6</v>
      </c>
      <c r="E14" s="1194"/>
      <c r="F14" s="1195"/>
      <c r="G14" s="1196"/>
      <c r="H14" s="1182"/>
      <c r="I14" s="1182"/>
      <c r="J14" s="1182"/>
      <c r="K14" s="1182"/>
    </row>
    <row r="15" spans="2:16" s="1193" customFormat="1" ht="20.100000000000001" customHeight="1">
      <c r="B15" s="2101">
        <v>5</v>
      </c>
      <c r="C15" s="2102" t="s">
        <v>956</v>
      </c>
      <c r="D15" s="1009">
        <v>10</v>
      </c>
      <c r="E15" s="1194"/>
      <c r="F15" s="1197"/>
      <c r="H15" s="1182"/>
      <c r="I15" s="1182"/>
      <c r="J15" s="1182"/>
      <c r="K15" s="1182"/>
    </row>
    <row r="16" spans="2:16" s="1193" customFormat="1" ht="20.100000000000001" customHeight="1">
      <c r="B16" s="2101">
        <v>6</v>
      </c>
      <c r="C16" s="2102" t="s">
        <v>32</v>
      </c>
      <c r="D16" s="1009">
        <v>6</v>
      </c>
      <c r="E16" s="1194"/>
      <c r="F16" s="1197"/>
      <c r="H16" s="1182"/>
      <c r="I16" s="1182"/>
      <c r="J16" s="1182"/>
      <c r="K16" s="1182"/>
    </row>
    <row r="17" spans="2:11" s="1193" customFormat="1" ht="20.100000000000001" customHeight="1">
      <c r="B17" s="2101">
        <v>7</v>
      </c>
      <c r="C17" s="2102" t="s">
        <v>33</v>
      </c>
      <c r="D17" s="1009">
        <v>3</v>
      </c>
      <c r="E17" s="1194"/>
      <c r="F17" s="1197"/>
      <c r="H17" s="1182"/>
      <c r="I17" s="1182"/>
      <c r="J17" s="1182"/>
      <c r="K17" s="1182"/>
    </row>
    <row r="18" spans="2:11" s="1193" customFormat="1" ht="20.100000000000001" customHeight="1">
      <c r="B18" s="2101">
        <v>8</v>
      </c>
      <c r="C18" s="2102" t="s">
        <v>1096</v>
      </c>
      <c r="D18" s="1142"/>
      <c r="E18" s="1194"/>
      <c r="F18" s="1195"/>
      <c r="H18" s="1182"/>
      <c r="I18" s="1182"/>
      <c r="J18" s="1182"/>
      <c r="K18" s="1182"/>
    </row>
    <row r="19" spans="2:11" s="1193" customFormat="1" ht="20.100000000000001" customHeight="1">
      <c r="B19" s="2101">
        <v>9</v>
      </c>
      <c r="C19" s="2102" t="s">
        <v>34</v>
      </c>
      <c r="D19" s="1009">
        <v>6</v>
      </c>
      <c r="E19" s="1194"/>
      <c r="F19" s="1198"/>
      <c r="H19" s="1182"/>
      <c r="I19" s="1182"/>
      <c r="J19" s="1182"/>
      <c r="K19" s="1182"/>
    </row>
    <row r="20" spans="2:11" s="1193" customFormat="1" ht="20.100000000000001" customHeight="1">
      <c r="B20" s="2101">
        <v>10</v>
      </c>
      <c r="C20" s="2102" t="s">
        <v>727</v>
      </c>
      <c r="D20" s="1009">
        <v>10</v>
      </c>
      <c r="E20" s="1194"/>
      <c r="F20" s="1195"/>
      <c r="H20" s="1199" t="s">
        <v>1113</v>
      </c>
      <c r="I20" s="1182"/>
      <c r="J20" s="1182"/>
      <c r="K20" s="1182"/>
    </row>
    <row r="21" spans="2:11" s="1193" customFormat="1" ht="20.100000000000001" customHeight="1" thickBot="1">
      <c r="B21" s="2103">
        <v>11</v>
      </c>
      <c r="C21" s="2104" t="s">
        <v>731</v>
      </c>
      <c r="D21" s="1010">
        <v>2</v>
      </c>
      <c r="E21" s="1194"/>
      <c r="F21" s="1195"/>
      <c r="H21" s="1199"/>
      <c r="I21" s="1182"/>
      <c r="J21" s="1182"/>
      <c r="K21" s="1182"/>
    </row>
    <row r="22" spans="2:11" s="1193" customFormat="1" ht="33" customHeight="1" thickBot="1">
      <c r="B22" s="2236" t="s">
        <v>1320</v>
      </c>
      <c r="C22" s="2237" t="s">
        <v>1245</v>
      </c>
      <c r="D22" s="2238">
        <v>0</v>
      </c>
      <c r="E22" s="1194"/>
      <c r="F22" s="1195"/>
      <c r="H22" s="1199"/>
      <c r="I22" s="1182"/>
      <c r="J22" s="1182"/>
      <c r="K22" s="1182"/>
    </row>
    <row r="23" spans="2:11" s="1193" customFormat="1" ht="33" customHeight="1" thickBot="1">
      <c r="B23" s="2236" t="s">
        <v>1321</v>
      </c>
      <c r="C23" s="2237" t="e">
        <v>#REF!</v>
      </c>
      <c r="D23" s="2238">
        <v>0</v>
      </c>
      <c r="E23" s="1200"/>
      <c r="F23" s="1201"/>
      <c r="H23" s="1182"/>
      <c r="I23" s="1182"/>
      <c r="J23" s="1182"/>
      <c r="K23" s="1182"/>
    </row>
    <row r="24" spans="2:11" s="1193" customFormat="1" ht="86.25" customHeight="1">
      <c r="B24" s="2235" t="s">
        <v>1649</v>
      </c>
      <c r="C24" s="2235"/>
      <c r="D24" s="2235"/>
      <c r="E24" s="2235"/>
      <c r="F24" s="2235"/>
      <c r="H24" s="1182"/>
      <c r="I24" s="1182"/>
      <c r="J24" s="1182"/>
      <c r="K24" s="1182"/>
    </row>
    <row r="25" spans="2:11" s="1193" customFormat="1" ht="12.6" hidden="1" customHeight="1">
      <c r="B25" s="1204"/>
      <c r="C25" s="1196"/>
      <c r="D25" s="1203"/>
      <c r="E25" s="1203"/>
      <c r="F25" s="1196"/>
      <c r="H25" s="1182"/>
      <c r="I25" s="1182"/>
      <c r="J25" s="1182"/>
      <c r="K25" s="1182"/>
    </row>
    <row r="26" spans="2:11" s="1193" customFormat="1" ht="16.5" hidden="1" customHeight="1">
      <c r="B26" s="1204"/>
      <c r="C26" s="1196"/>
      <c r="D26" s="1203"/>
      <c r="E26" s="1203"/>
      <c r="F26" s="1196"/>
      <c r="H26" s="1182"/>
      <c r="I26" s="1182"/>
      <c r="J26" s="1182"/>
      <c r="K26" s="1182"/>
    </row>
    <row r="27" spans="2:11" s="1193" customFormat="1" ht="20.100000000000001" hidden="1" customHeight="1">
      <c r="B27" s="1204"/>
      <c r="C27" s="1196"/>
      <c r="D27" s="1203"/>
      <c r="E27" s="1203"/>
      <c r="F27" s="1196"/>
      <c r="H27" s="1182"/>
      <c r="I27" s="1205"/>
      <c r="J27" s="1182"/>
      <c r="K27" s="1182"/>
    </row>
    <row r="28" spans="2:11" s="1193" customFormat="1" ht="20.100000000000001" hidden="1" customHeight="1">
      <c r="B28" s="1204"/>
      <c r="D28" s="1203"/>
      <c r="E28" s="1203"/>
      <c r="F28" s="1196"/>
      <c r="H28" s="1182"/>
      <c r="I28" s="1182"/>
      <c r="J28" s="1182"/>
      <c r="K28" s="1182"/>
    </row>
    <row r="29" spans="2:11" s="1193" customFormat="1" hidden="1">
      <c r="B29" s="1204"/>
      <c r="C29" s="1196"/>
      <c r="D29" s="1203"/>
      <c r="E29" s="1203"/>
      <c r="F29" s="1196"/>
      <c r="H29" s="1182"/>
      <c r="I29" s="1182"/>
      <c r="J29" s="1182"/>
      <c r="K29" s="1182"/>
    </row>
    <row r="30" spans="2:11" s="1193" customFormat="1" hidden="1">
      <c r="B30" s="1204"/>
      <c r="C30" s="1196"/>
      <c r="D30" s="1203"/>
      <c r="E30" s="1203"/>
      <c r="F30" s="1196"/>
      <c r="H30" s="1182"/>
      <c r="I30" s="1182"/>
      <c r="J30" s="1182"/>
      <c r="K30" s="1182"/>
    </row>
    <row r="31" spans="2:11" s="1193" customFormat="1" hidden="1">
      <c r="B31" s="1204"/>
      <c r="C31" s="1196"/>
      <c r="D31" s="1203"/>
      <c r="E31" s="1203"/>
      <c r="F31" s="1196"/>
      <c r="H31" s="1182"/>
      <c r="I31" s="1182"/>
      <c r="J31" s="1182"/>
      <c r="K31" s="1182"/>
    </row>
    <row r="32" spans="2:11" s="1193" customFormat="1" hidden="1">
      <c r="B32" s="1204"/>
      <c r="C32" s="1196"/>
      <c r="D32" s="1203"/>
      <c r="E32" s="1203"/>
      <c r="F32" s="1196"/>
      <c r="H32" s="1182"/>
      <c r="I32" s="1182"/>
      <c r="J32" s="1182"/>
      <c r="K32" s="1182"/>
    </row>
    <row r="33" spans="2:11" s="1193" customFormat="1" hidden="1">
      <c r="B33" s="1204"/>
      <c r="C33" s="1196"/>
      <c r="D33" s="1203"/>
      <c r="E33" s="1203"/>
      <c r="F33" s="1196"/>
      <c r="H33" s="1182"/>
      <c r="I33" s="1182"/>
      <c r="J33" s="1182"/>
      <c r="K33" s="1182"/>
    </row>
    <row r="34" spans="2:11" hidden="1">
      <c r="B34" s="1179"/>
      <c r="C34" s="1175"/>
      <c r="D34" s="1206"/>
      <c r="E34" s="1206"/>
      <c r="F34" s="1175"/>
    </row>
    <row r="35" spans="2:11" hidden="1">
      <c r="B35" s="1179"/>
      <c r="C35" s="1175"/>
      <c r="D35" s="1206"/>
      <c r="E35" s="1206"/>
      <c r="F35" s="1175"/>
    </row>
    <row r="36" spans="2:11" hidden="1">
      <c r="B36" s="1179"/>
      <c r="C36" s="1175"/>
      <c r="D36" s="1206"/>
      <c r="E36" s="1206"/>
      <c r="F36" s="1175"/>
    </row>
    <row r="37" spans="2:11" hidden="1">
      <c r="B37" s="1179"/>
      <c r="C37" s="1175"/>
      <c r="D37" s="1206"/>
      <c r="E37" s="1206"/>
      <c r="F37" s="1175"/>
    </row>
    <row r="38" spans="2:11" hidden="1">
      <c r="B38" s="1179"/>
      <c r="C38" s="1175"/>
      <c r="D38" s="1206"/>
      <c r="E38" s="1206"/>
      <c r="F38" s="1175"/>
    </row>
    <row r="39" spans="2:11" hidden="1">
      <c r="B39" s="1179"/>
      <c r="C39" s="1175"/>
      <c r="D39" s="1206"/>
      <c r="E39" s="1206"/>
      <c r="F39" s="1175"/>
    </row>
    <row r="40" spans="2:11" hidden="1">
      <c r="B40" s="1179"/>
      <c r="C40" s="1175"/>
      <c r="D40" s="1206"/>
      <c r="E40" s="1206"/>
      <c r="F40" s="1175"/>
    </row>
    <row r="41" spans="2:11" hidden="1">
      <c r="B41" s="1179"/>
      <c r="C41" s="1175"/>
      <c r="D41" s="1206"/>
      <c r="E41" s="1206"/>
      <c r="F41" s="1175"/>
    </row>
    <row r="42" spans="2:11" hidden="1">
      <c r="B42" s="1179"/>
      <c r="C42" s="1175"/>
      <c r="D42" s="1206"/>
      <c r="E42" s="1206"/>
      <c r="F42" s="1175"/>
    </row>
    <row r="43" spans="2:11" hidden="1">
      <c r="B43" s="1179"/>
      <c r="C43" s="1175"/>
      <c r="D43" s="1206"/>
      <c r="E43" s="1206"/>
      <c r="F43" s="1175"/>
    </row>
    <row r="44" spans="2:11" hidden="1">
      <c r="B44" s="1179"/>
      <c r="C44" s="1175"/>
      <c r="D44" s="1206"/>
      <c r="E44" s="1206"/>
      <c r="F44" s="1175"/>
    </row>
    <row r="45" spans="2:11" hidden="1">
      <c r="B45" s="1179"/>
      <c r="C45" s="1175"/>
      <c r="D45" s="1206"/>
      <c r="E45" s="1206"/>
      <c r="F45" s="1175"/>
    </row>
    <row r="46" spans="2:11" hidden="1">
      <c r="B46" s="1179"/>
      <c r="C46" s="1175"/>
      <c r="D46" s="1206"/>
      <c r="E46" s="1206"/>
      <c r="F46" s="1175"/>
    </row>
    <row r="47" spans="2:11" hidden="1">
      <c r="B47" s="1179"/>
      <c r="C47" s="1175"/>
      <c r="D47" s="1206"/>
      <c r="E47" s="1206"/>
      <c r="F47" s="1175"/>
    </row>
    <row r="48" spans="2:11" hidden="1">
      <c r="B48" s="1179"/>
      <c r="C48" s="1175"/>
      <c r="D48" s="1206"/>
      <c r="E48" s="1206"/>
      <c r="F48" s="1175"/>
    </row>
    <row r="49" spans="2:6" hidden="1">
      <c r="B49" s="1179"/>
      <c r="C49" s="1175"/>
      <c r="D49" s="1206"/>
      <c r="E49" s="1206"/>
      <c r="F49" s="1175"/>
    </row>
    <row r="50" spans="2:6" hidden="1">
      <c r="B50" s="1179"/>
      <c r="C50" s="1175"/>
      <c r="D50" s="1206"/>
      <c r="E50" s="1206"/>
      <c r="F50" s="1175"/>
    </row>
    <row r="51" spans="2:6" hidden="1">
      <c r="B51" s="1179"/>
      <c r="C51" s="1175"/>
      <c r="D51" s="1206"/>
      <c r="E51" s="1206"/>
      <c r="F51" s="1175"/>
    </row>
    <row r="52" spans="2:6" hidden="1">
      <c r="B52" s="1179"/>
      <c r="C52" s="1175"/>
      <c r="D52" s="1206"/>
      <c r="E52" s="1206"/>
      <c r="F52" s="1175"/>
    </row>
    <row r="53" spans="2:6" hidden="1">
      <c r="B53" s="1179"/>
      <c r="C53" s="1175"/>
      <c r="D53" s="1206"/>
      <c r="E53" s="1206"/>
      <c r="F53" s="1175"/>
    </row>
  </sheetData>
  <sheetProtection password="B61E" sheet="1" objects="1" scenarios="1"/>
  <mergeCells count="8">
    <mergeCell ref="B24:F24"/>
    <mergeCell ref="B23:D23"/>
    <mergeCell ref="B22:D22"/>
    <mergeCell ref="B2:F2"/>
    <mergeCell ref="B6:F6"/>
    <mergeCell ref="B5:F5"/>
    <mergeCell ref="B7:F7"/>
    <mergeCell ref="B3:F4"/>
  </mergeCells>
  <phoneticPr fontId="0" type="noConversion"/>
  <conditionalFormatting sqref="F19">
    <cfRule type="expression" dxfId="124" priority="1" stopIfTrue="1">
      <formula>$D$19=0</formula>
    </cfRule>
  </conditionalFormatting>
  <dataValidations count="9">
    <dataValidation type="list" allowBlank="1" showInputMessage="1" showErrorMessage="1" sqref="D21">
      <formula1>"1,2"</formula1>
    </dataValidation>
    <dataValidation type="list" allowBlank="1" showInputMessage="1" showErrorMessage="1" sqref="D20">
      <formula1>"1,2,3,4,5,6,7,8,9,10"</formula1>
    </dataValidation>
    <dataValidation type="list" allowBlank="1" showInputMessage="1" showErrorMessage="1" error="A maximum of  1 charge material may be entered_x000a_" sqref="D11:D13">
      <formula1>"0,1,2,3"</formula1>
    </dataValidation>
    <dataValidation type="list" allowBlank="1" showInputMessage="1" showErrorMessage="1" error="Input must be between 1 and 2" sqref="D19">
      <formula1>"0,1,2,3,4,5,6"</formula1>
    </dataValidation>
    <dataValidation type="list" allowBlank="1" showInputMessage="1" showErrorMessage="1" sqref="D15">
      <formula1>"1,2,3,4,5,6,7,8,9,10"</formula1>
    </dataValidation>
    <dataValidation type="list" allowBlank="1" showInputMessage="1" showErrorMessage="1" sqref="J1">
      <formula1>"Lock, Unlock"</formula1>
    </dataValidation>
    <dataValidation type="list" allowBlank="1" showInputMessage="1" showErrorMessage="1" error="A maximum of  1 charge material may be entered_x000a_" sqref="D14">
      <formula1>"0,1,2,3,4,5,6"</formula1>
    </dataValidation>
    <dataValidation type="list" allowBlank="1" showInputMessage="1" showErrorMessage="1" sqref="D16">
      <formula1>"0,1,2,3,4,5,6"</formula1>
    </dataValidation>
    <dataValidation type="list" allowBlank="1" showInputMessage="1" showErrorMessage="1" sqref="D17">
      <formula1>"0,1,2,3"</formula1>
    </dataValidation>
  </dataValidations>
  <hyperlinks>
    <hyperlink ref="B5:D5" location="'What is PHAST'!A1" display="'What is PHAST'!A1"/>
  </hyperlinks>
  <pageMargins left="0.75" right="0.75" top="0.53" bottom="0.49" header="0.25" footer="0.5"/>
  <pageSetup scale="79" orientation="portrait" r:id="rId1"/>
  <headerFooter alignWithMargins="0">
    <oddHeader>&amp;LControl Page</oddHeader>
    <oddFooter>&amp;LUS Department of Energy&amp;C&amp;P&amp;R&amp;D</oddFooter>
  </headerFooter>
  <rowBreaks count="9" manualBreakCount="9">
    <brk id="14" max="16383" man="1"/>
    <brk id="21" max="16383" man="1"/>
    <brk id="27" max="16383" man="1"/>
    <brk id="37" max="16383" man="1"/>
    <brk id="39" max="16383" man="1"/>
    <brk id="40" max="16383" man="1"/>
    <brk id="43" max="16383" man="1"/>
    <brk id="44" max="16383" man="1"/>
    <brk id="45" max="16383" man="1"/>
  </rowBreaks>
  <drawing r:id="rId2"/>
  <legacyDrawing r:id="rId3"/>
  <controls>
    <mc:AlternateContent xmlns:mc="http://schemas.openxmlformats.org/markup-compatibility/2006">
      <mc:Choice Requires="x14">
        <control shapeId="365322" r:id="rId4" name="CommandButtonReport">
          <controlPr defaultSize="0" autoLine="0" r:id="rId5">
            <anchor moveWithCells="1" sizeWithCells="1">
              <from>
                <xdr:col>4</xdr:col>
                <xdr:colOff>57150</xdr:colOff>
                <xdr:row>21</xdr:row>
                <xdr:rowOff>38100</xdr:rowOff>
              </from>
              <to>
                <xdr:col>5</xdr:col>
                <xdr:colOff>714375</xdr:colOff>
                <xdr:row>21</xdr:row>
                <xdr:rowOff>390525</xdr:rowOff>
              </to>
            </anchor>
          </controlPr>
        </control>
      </mc:Choice>
      <mc:Fallback>
        <control shapeId="365322" r:id="rId4" name="CommandButtonReport"/>
      </mc:Fallback>
    </mc:AlternateContent>
    <mc:AlternateContent xmlns:mc="http://schemas.openxmlformats.org/markup-compatibility/2006">
      <mc:Choice Requires="x14">
        <control shapeId="365323" r:id="rId6" name="CommandButtonEnergyUse">
          <controlPr defaultSize="0" autoLine="0" r:id="rId7">
            <anchor moveWithCells="1" sizeWithCells="1">
              <from>
                <xdr:col>4</xdr:col>
                <xdr:colOff>57150</xdr:colOff>
                <xdr:row>22</xdr:row>
                <xdr:rowOff>19050</xdr:rowOff>
              </from>
              <to>
                <xdr:col>5</xdr:col>
                <xdr:colOff>714375</xdr:colOff>
                <xdr:row>22</xdr:row>
                <xdr:rowOff>371475</xdr:rowOff>
              </to>
            </anchor>
          </controlPr>
        </control>
      </mc:Choice>
      <mc:Fallback>
        <control shapeId="365323" r:id="rId6" name="CommandButtonEnergyUse"/>
      </mc:Fallback>
    </mc:AlternateContent>
    <mc:AlternateContent xmlns:mc="http://schemas.openxmlformats.org/markup-compatibility/2006">
      <mc:Choice Requires="x14">
        <control shapeId="365303" r:id="rId8" name="CommandButtonWallosses">
          <controlPr defaultSize="0" autoLine="0" r:id="rId9">
            <anchor moveWithCells="1" sizeWithCells="1">
              <from>
                <xdr:col>4</xdr:col>
                <xdr:colOff>133350</xdr:colOff>
                <xdr:row>14</xdr:row>
                <xdr:rowOff>28575</xdr:rowOff>
              </from>
              <to>
                <xdr:col>5</xdr:col>
                <xdr:colOff>666750</xdr:colOff>
                <xdr:row>15</xdr:row>
                <xdr:rowOff>19050</xdr:rowOff>
              </to>
            </anchor>
          </controlPr>
        </control>
      </mc:Choice>
      <mc:Fallback>
        <control shapeId="365303" r:id="rId8" name="CommandButtonWallosses"/>
      </mc:Fallback>
    </mc:AlternateContent>
    <mc:AlternateContent xmlns:mc="http://schemas.openxmlformats.org/markup-compatibility/2006">
      <mc:Choice Requires="x14">
        <control shapeId="365307" r:id="rId10" name="CommandButtonChgMatl">
          <controlPr defaultSize="0" autoFill="0" autoLine="0" r:id="rId11">
            <anchor moveWithCells="1" sizeWithCells="1">
              <from>
                <xdr:col>4</xdr:col>
                <xdr:colOff>123825</xdr:colOff>
                <xdr:row>10</xdr:row>
                <xdr:rowOff>9525</xdr:rowOff>
              </from>
              <to>
                <xdr:col>5</xdr:col>
                <xdr:colOff>666750</xdr:colOff>
                <xdr:row>11</xdr:row>
                <xdr:rowOff>9525</xdr:rowOff>
              </to>
            </anchor>
          </controlPr>
        </control>
      </mc:Choice>
      <mc:Fallback>
        <control shapeId="365307" r:id="rId10" name="CommandButtonChgMatl"/>
      </mc:Fallback>
    </mc:AlternateContent>
    <mc:AlternateContent xmlns:mc="http://schemas.openxmlformats.org/markup-compatibility/2006">
      <mc:Choice Requires="x14">
        <control shapeId="365310" r:id="rId12" name="CommandButtonAtm">
          <controlPr defaultSize="0" autoLine="0" r:id="rId13">
            <anchor moveWithCells="1" sizeWithCells="1">
              <from>
                <xdr:col>4</xdr:col>
                <xdr:colOff>123825</xdr:colOff>
                <xdr:row>16</xdr:row>
                <xdr:rowOff>9525</xdr:rowOff>
              </from>
              <to>
                <xdr:col>5</xdr:col>
                <xdr:colOff>666750</xdr:colOff>
                <xdr:row>17</xdr:row>
                <xdr:rowOff>19050</xdr:rowOff>
              </to>
            </anchor>
          </controlPr>
        </control>
      </mc:Choice>
      <mc:Fallback>
        <control shapeId="365310" r:id="rId12" name="CommandButtonAtm"/>
      </mc:Fallback>
    </mc:AlternateContent>
    <mc:AlternateContent xmlns:mc="http://schemas.openxmlformats.org/markup-compatibility/2006">
      <mc:Choice Requires="x14">
        <control shapeId="365311" r:id="rId14" name="CommandButtonRadLoss">
          <controlPr defaultSize="0" autoLine="0" r:id="rId15">
            <anchor moveWithCells="1" sizeWithCells="1">
              <from>
                <xdr:col>4</xdr:col>
                <xdr:colOff>123825</xdr:colOff>
                <xdr:row>17</xdr:row>
                <xdr:rowOff>238125</xdr:rowOff>
              </from>
              <to>
                <xdr:col>5</xdr:col>
                <xdr:colOff>666750</xdr:colOff>
                <xdr:row>18</xdr:row>
                <xdr:rowOff>238125</xdr:rowOff>
              </to>
            </anchor>
          </controlPr>
        </control>
      </mc:Choice>
      <mc:Fallback>
        <control shapeId="365311" r:id="rId14" name="CommandButtonRadLoss"/>
      </mc:Fallback>
    </mc:AlternateContent>
    <mc:AlternateContent xmlns:mc="http://schemas.openxmlformats.org/markup-compatibility/2006">
      <mc:Choice Requires="x14">
        <control shapeId="365312" r:id="rId16" name="CommandButtonChgMatlLiquid">
          <controlPr defaultSize="0" autoLine="0" r:id="rId17">
            <anchor moveWithCells="1" sizeWithCells="1">
              <from>
                <xdr:col>4</xdr:col>
                <xdr:colOff>123825</xdr:colOff>
                <xdr:row>11</xdr:row>
                <xdr:rowOff>9525</xdr:rowOff>
              </from>
              <to>
                <xdr:col>5</xdr:col>
                <xdr:colOff>666750</xdr:colOff>
                <xdr:row>12</xdr:row>
                <xdr:rowOff>19050</xdr:rowOff>
              </to>
            </anchor>
          </controlPr>
        </control>
      </mc:Choice>
      <mc:Fallback>
        <control shapeId="365312" r:id="rId16" name="CommandButtonChgMatlLiquid"/>
      </mc:Fallback>
    </mc:AlternateContent>
    <mc:AlternateContent xmlns:mc="http://schemas.openxmlformats.org/markup-compatibility/2006">
      <mc:Choice Requires="x14">
        <control shapeId="365314" r:id="rId18" name="CommandButtonFlueGases">
          <controlPr defaultSize="0" autoLine="0" r:id="rId19">
            <anchor moveWithCells="1" sizeWithCells="1">
              <from>
                <xdr:col>4</xdr:col>
                <xdr:colOff>123825</xdr:colOff>
                <xdr:row>17</xdr:row>
                <xdr:rowOff>0</xdr:rowOff>
              </from>
              <to>
                <xdr:col>5</xdr:col>
                <xdr:colOff>666750</xdr:colOff>
                <xdr:row>18</xdr:row>
                <xdr:rowOff>9525</xdr:rowOff>
              </to>
            </anchor>
          </controlPr>
        </control>
      </mc:Choice>
      <mc:Fallback>
        <control shapeId="365314" r:id="rId18" name="CommandButtonFlueGases"/>
      </mc:Fallback>
    </mc:AlternateContent>
    <mc:AlternateContent xmlns:mc="http://schemas.openxmlformats.org/markup-compatibility/2006">
      <mc:Choice Requires="x14">
        <control shapeId="365315" r:id="rId20" name="CommandButtonPower">
          <controlPr defaultSize="0" autoLine="0" r:id="rId21">
            <anchor moveWithCells="1" sizeWithCells="1">
              <from>
                <xdr:col>4</xdr:col>
                <xdr:colOff>133350</xdr:colOff>
                <xdr:row>18</xdr:row>
                <xdr:rowOff>238125</xdr:rowOff>
              </from>
              <to>
                <xdr:col>5</xdr:col>
                <xdr:colOff>666750</xdr:colOff>
                <xdr:row>20</xdr:row>
                <xdr:rowOff>9525</xdr:rowOff>
              </to>
            </anchor>
          </controlPr>
        </control>
      </mc:Choice>
      <mc:Fallback>
        <control shapeId="365315" r:id="rId20" name="CommandButtonPower"/>
      </mc:Fallback>
    </mc:AlternateContent>
    <mc:AlternateContent xmlns:mc="http://schemas.openxmlformats.org/markup-compatibility/2006">
      <mc:Choice Requires="x14">
        <control shapeId="365317" r:id="rId22" name="CommandButtonChgMatlGas">
          <controlPr defaultSize="0" autoLine="0" r:id="rId23">
            <anchor moveWithCells="1" sizeWithCells="1">
              <from>
                <xdr:col>4</xdr:col>
                <xdr:colOff>123825</xdr:colOff>
                <xdr:row>12</xdr:row>
                <xdr:rowOff>19050</xdr:rowOff>
              </from>
              <to>
                <xdr:col>5</xdr:col>
                <xdr:colOff>666750</xdr:colOff>
                <xdr:row>13</xdr:row>
                <xdr:rowOff>28575</xdr:rowOff>
              </to>
            </anchor>
          </controlPr>
        </control>
      </mc:Choice>
      <mc:Fallback>
        <control shapeId="365317" r:id="rId22" name="CommandButtonChgMatlGas"/>
      </mc:Fallback>
    </mc:AlternateContent>
    <mc:AlternateContent xmlns:mc="http://schemas.openxmlformats.org/markup-compatibility/2006">
      <mc:Choice Requires="x14">
        <control shapeId="365320" r:id="rId24" name="CommandButtonOtherlosses">
          <controlPr defaultSize="0" autoLine="0" r:id="rId25">
            <anchor moveWithCells="1" sizeWithCells="1">
              <from>
                <xdr:col>4</xdr:col>
                <xdr:colOff>133350</xdr:colOff>
                <xdr:row>20</xdr:row>
                <xdr:rowOff>19050</xdr:rowOff>
              </from>
              <to>
                <xdr:col>5</xdr:col>
                <xdr:colOff>666750</xdr:colOff>
                <xdr:row>21</xdr:row>
                <xdr:rowOff>19050</xdr:rowOff>
              </to>
            </anchor>
          </controlPr>
        </control>
      </mc:Choice>
      <mc:Fallback>
        <control shapeId="365320" r:id="rId24" name="CommandButtonOtherlosses"/>
      </mc:Fallback>
    </mc:AlternateContent>
    <mc:AlternateContent xmlns:mc="http://schemas.openxmlformats.org/markup-compatibility/2006">
      <mc:Choice Requires="x14">
        <control shapeId="365438" r:id="rId26" name="CommandButtonFixtureLosses">
          <controlPr defaultSize="0" autoLine="0" r:id="rId27">
            <anchor moveWithCells="1" sizeWithCells="1">
              <from>
                <xdr:col>4</xdr:col>
                <xdr:colOff>123825</xdr:colOff>
                <xdr:row>13</xdr:row>
                <xdr:rowOff>19050</xdr:rowOff>
              </from>
              <to>
                <xdr:col>5</xdr:col>
                <xdr:colOff>666750</xdr:colOff>
                <xdr:row>14</xdr:row>
                <xdr:rowOff>28575</xdr:rowOff>
              </to>
            </anchor>
          </controlPr>
        </control>
      </mc:Choice>
      <mc:Fallback>
        <control shapeId="365438" r:id="rId26" name="CommandButtonFixtureLosses"/>
      </mc:Fallback>
    </mc:AlternateContent>
    <mc:AlternateContent xmlns:mc="http://schemas.openxmlformats.org/markup-compatibility/2006">
      <mc:Choice Requires="x14">
        <control shapeId="365536" r:id="rId28" name="CommandButtonWaterCool">
          <controlPr defaultSize="0" autoLine="0" r:id="rId29">
            <anchor moveWithCells="1" sizeWithCells="1">
              <from>
                <xdr:col>4</xdr:col>
                <xdr:colOff>123825</xdr:colOff>
                <xdr:row>15</xdr:row>
                <xdr:rowOff>19050</xdr:rowOff>
              </from>
              <to>
                <xdr:col>5</xdr:col>
                <xdr:colOff>666750</xdr:colOff>
                <xdr:row>16</xdr:row>
                <xdr:rowOff>28575</xdr:rowOff>
              </to>
            </anchor>
          </controlPr>
        </control>
      </mc:Choice>
      <mc:Fallback>
        <control shapeId="365536" r:id="rId28" name="CommandButtonWaterCool"/>
      </mc:Fallback>
    </mc:AlternateContent>
    <mc:AlternateContent xmlns:mc="http://schemas.openxmlformats.org/markup-compatibility/2006">
      <mc:Choice Requires="x14">
        <control shapeId="4601903" r:id="rId30" name="CommandButtonPlantInfo">
          <controlPr defaultSize="0" autoLine="0" r:id="rId31">
            <anchor moveWithCells="1" sizeWithCells="1">
              <from>
                <xdr:col>4</xdr:col>
                <xdr:colOff>123825</xdr:colOff>
                <xdr:row>8</xdr:row>
                <xdr:rowOff>9525</xdr:rowOff>
              </from>
              <to>
                <xdr:col>5</xdr:col>
                <xdr:colOff>666750</xdr:colOff>
                <xdr:row>9</xdr:row>
                <xdr:rowOff>19050</xdr:rowOff>
              </to>
            </anchor>
          </controlPr>
        </control>
      </mc:Choice>
      <mc:Fallback>
        <control shapeId="4601903" r:id="rId30" name="CommandButtonPlantInfo"/>
      </mc:Fallback>
    </mc:AlternateContent>
    <mc:AlternateContent xmlns:mc="http://schemas.openxmlformats.org/markup-compatibility/2006">
      <mc:Choice Requires="x14">
        <control shapeId="4602195" r:id="rId32" name="CommandButtonProcessHeat">
          <controlPr defaultSize="0" autoFill="0" autoLine="0" r:id="rId33">
            <anchor moveWithCells="1" sizeWithCells="1">
              <from>
                <xdr:col>4</xdr:col>
                <xdr:colOff>123825</xdr:colOff>
                <xdr:row>9</xdr:row>
                <xdr:rowOff>19050</xdr:rowOff>
              </from>
              <to>
                <xdr:col>5</xdr:col>
                <xdr:colOff>666750</xdr:colOff>
                <xdr:row>10</xdr:row>
                <xdr:rowOff>19050</xdr:rowOff>
              </to>
            </anchor>
          </controlPr>
        </control>
      </mc:Choice>
      <mc:Fallback>
        <control shapeId="4602195" r:id="rId32" name="CommandButtonProcessHea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Q40"/>
  <sheetViews>
    <sheetView topLeftCell="A4" workbookViewId="0">
      <selection activeCell="E5" sqref="E5:F5"/>
    </sheetView>
  </sheetViews>
  <sheetFormatPr defaultColWidth="0" defaultRowHeight="12.75" zeroHeight="1"/>
  <cols>
    <col min="1" max="1" width="40.28515625" style="923" customWidth="1"/>
    <col min="2" max="2" width="15.85546875" style="1207" customWidth="1"/>
    <col min="3" max="3" width="14.7109375" style="1207" customWidth="1"/>
    <col min="4" max="4" width="14.85546875" style="1207" customWidth="1"/>
    <col min="5" max="5" width="17.42578125" style="1207" customWidth="1"/>
    <col min="6" max="6" width="14.28515625" style="1207" customWidth="1"/>
    <col min="7" max="7" width="15.42578125" style="1207" customWidth="1"/>
    <col min="8" max="8" width="9.140625" style="1207" hidden="1" customWidth="1"/>
    <col min="9" max="9" width="3.140625" style="1207" customWidth="1"/>
    <col min="10" max="10" width="9.140625" style="1207" hidden="1" customWidth="1"/>
    <col min="11" max="11" width="24.5703125" style="1207" hidden="1" customWidth="1"/>
    <col min="12" max="17" width="0" style="1207" hidden="1" customWidth="1"/>
    <col min="18" max="16384" width="9.140625" style="1207" hidden="1"/>
  </cols>
  <sheetData>
    <row r="1" spans="1:16" ht="13.5" thickBot="1"/>
    <row r="2" spans="1:16" s="925" customFormat="1" ht="33" customHeight="1">
      <c r="A2" s="2278" t="s">
        <v>1638</v>
      </c>
      <c r="B2" s="2279"/>
      <c r="C2" s="2279"/>
      <c r="D2" s="2279"/>
      <c r="E2" s="2279"/>
      <c r="F2" s="2280"/>
    </row>
    <row r="3" spans="1:16" ht="20.100000000000001" customHeight="1" thickBot="1">
      <c r="A3" s="2304" t="s">
        <v>1318</v>
      </c>
      <c r="B3" s="2305"/>
      <c r="C3" s="2305"/>
      <c r="D3" s="2305"/>
      <c r="E3" s="2305"/>
      <c r="F3" s="2306"/>
      <c r="L3" s="917"/>
    </row>
    <row r="4" spans="1:16" ht="20.100000000000001" customHeight="1" thickBot="1">
      <c r="L4" s="918"/>
    </row>
    <row r="5" spans="1:16" ht="20.100000000000001" customHeight="1" thickBot="1">
      <c r="A5" s="2281" t="s">
        <v>745</v>
      </c>
      <c r="B5" s="2282"/>
      <c r="C5" s="2296" t="s">
        <v>1252</v>
      </c>
      <c r="D5" s="2297"/>
      <c r="E5" s="2298"/>
      <c r="F5" s="2299"/>
      <c r="H5" s="1207" t="s">
        <v>774</v>
      </c>
      <c r="L5" s="917"/>
      <c r="M5" s="919"/>
      <c r="O5" s="919"/>
      <c r="P5" s="919"/>
    </row>
    <row r="6" spans="1:16" ht="20.100000000000001" customHeight="1"/>
    <row r="7" spans="1:16" ht="20.100000000000001" customHeight="1" thickBot="1">
      <c r="H7" s="1208" t="s">
        <v>6</v>
      </c>
      <c r="L7" s="920"/>
    </row>
    <row r="8" spans="1:16" ht="20.100000000000001" customHeight="1">
      <c r="A8" s="2262" t="s">
        <v>1253</v>
      </c>
      <c r="B8" s="2263"/>
      <c r="C8" s="2263"/>
      <c r="D8" s="2263"/>
      <c r="E8" s="2263"/>
      <c r="F8" s="2264"/>
    </row>
    <row r="9" spans="1:16" s="925" customFormat="1" ht="20.100000000000001" customHeight="1">
      <c r="A9" s="1209" t="s">
        <v>1254</v>
      </c>
      <c r="B9" s="2274"/>
      <c r="C9" s="2275"/>
      <c r="D9" s="2275"/>
      <c r="E9" s="2275"/>
      <c r="F9" s="2276"/>
      <c r="K9" s="1207"/>
      <c r="L9" s="920"/>
      <c r="N9" s="1207"/>
    </row>
    <row r="10" spans="1:16" s="925" customFormat="1" ht="20.100000000000001" customHeight="1">
      <c r="A10" s="1209" t="s">
        <v>1255</v>
      </c>
      <c r="B10" s="2274"/>
      <c r="C10" s="2275"/>
      <c r="D10" s="2277"/>
      <c r="E10" s="2092" t="s">
        <v>744</v>
      </c>
      <c r="F10" s="1128"/>
      <c r="K10" s="1207"/>
      <c r="L10" s="920"/>
      <c r="N10" s="1207"/>
    </row>
    <row r="11" spans="1:16" s="925" customFormat="1" ht="20.100000000000001" customHeight="1">
      <c r="A11" s="2265" t="s">
        <v>1256</v>
      </c>
      <c r="B11" s="2092" t="s">
        <v>1257</v>
      </c>
      <c r="C11" s="2268"/>
      <c r="D11" s="2269"/>
      <c r="E11" s="2269"/>
      <c r="F11" s="2270"/>
      <c r="K11" s="1207"/>
      <c r="L11" s="921"/>
      <c r="N11" s="1207"/>
    </row>
    <row r="12" spans="1:16" s="925" customFormat="1" ht="20.100000000000001" customHeight="1">
      <c r="A12" s="2266"/>
      <c r="B12" s="2092" t="s">
        <v>1633</v>
      </c>
      <c r="C12" s="2271"/>
      <c r="D12" s="2272"/>
      <c r="E12" s="2272"/>
      <c r="F12" s="2273"/>
      <c r="K12" s="1207"/>
      <c r="L12" s="921"/>
      <c r="N12" s="1207"/>
    </row>
    <row r="13" spans="1:16" s="925" customFormat="1" ht="20.100000000000001" customHeight="1">
      <c r="A13" s="2267"/>
      <c r="B13" s="2106" t="s">
        <v>1258</v>
      </c>
      <c r="C13" s="1129"/>
      <c r="D13" s="2092" t="s">
        <v>38</v>
      </c>
      <c r="E13" s="2268"/>
      <c r="F13" s="2270"/>
      <c r="K13" s="1207"/>
      <c r="L13" s="922"/>
      <c r="N13" s="1207"/>
    </row>
    <row r="14" spans="1:16" s="925" customFormat="1" ht="20.100000000000001" customHeight="1">
      <c r="A14" s="1209" t="s">
        <v>1259</v>
      </c>
      <c r="B14" s="2260"/>
      <c r="C14" s="2260"/>
      <c r="D14" s="2260"/>
      <c r="E14" s="2260"/>
      <c r="F14" s="2261"/>
      <c r="K14" s="1207"/>
      <c r="L14" s="921"/>
      <c r="N14" s="1207"/>
    </row>
    <row r="15" spans="1:16" s="925" customFormat="1" ht="20.100000000000001" customHeight="1">
      <c r="A15" s="1209" t="s">
        <v>1260</v>
      </c>
      <c r="B15" s="2268"/>
      <c r="C15" s="2269"/>
      <c r="D15" s="2269"/>
      <c r="E15" s="2269"/>
      <c r="F15" s="2270"/>
      <c r="K15" s="1207"/>
      <c r="L15" s="923"/>
      <c r="N15" s="1207"/>
    </row>
    <row r="16" spans="1:16" s="925" customFormat="1" ht="20.100000000000001" customHeight="1">
      <c r="A16" s="1209" t="s">
        <v>1261</v>
      </c>
      <c r="B16" s="2260"/>
      <c r="C16" s="2260"/>
      <c r="D16" s="2260"/>
      <c r="E16" s="2260"/>
      <c r="F16" s="2261"/>
      <c r="K16" s="1207"/>
      <c r="L16" s="923"/>
      <c r="N16" s="1207"/>
    </row>
    <row r="17" spans="1:16" s="925" customFormat="1" ht="20.100000000000001" customHeight="1">
      <c r="A17" s="1209" t="s">
        <v>1262</v>
      </c>
      <c r="B17" s="2268"/>
      <c r="C17" s="2269"/>
      <c r="D17" s="2269"/>
      <c r="E17" s="2269"/>
      <c r="F17" s="2270"/>
      <c r="K17" s="1207"/>
      <c r="L17" s="923"/>
      <c r="N17" s="1207"/>
    </row>
    <row r="18" spans="1:16" s="925" customFormat="1" ht="20.100000000000001" customHeight="1">
      <c r="A18" s="1209" t="s">
        <v>1263</v>
      </c>
      <c r="B18" s="2295"/>
      <c r="C18" s="2295"/>
      <c r="D18" s="2093" t="s">
        <v>1264</v>
      </c>
      <c r="E18" s="2295"/>
      <c r="F18" s="2300"/>
      <c r="K18" s="1207"/>
      <c r="L18" s="923"/>
      <c r="N18" s="1207"/>
    </row>
    <row r="19" spans="1:16" s="925" customFormat="1" ht="20.100000000000001" customHeight="1">
      <c r="A19" s="1209" t="s">
        <v>1265</v>
      </c>
      <c r="B19" s="2301"/>
      <c r="C19" s="2302"/>
      <c r="D19" s="2302"/>
      <c r="E19" s="2302"/>
      <c r="F19" s="2303"/>
      <c r="K19" s="1207"/>
      <c r="L19" s="923"/>
      <c r="N19" s="1207"/>
    </row>
    <row r="20" spans="1:16" s="925" customFormat="1" ht="20.100000000000001" customHeight="1" thickBot="1">
      <c r="A20" s="2105" t="s">
        <v>1266</v>
      </c>
      <c r="B20" s="2284"/>
      <c r="C20" s="2285"/>
      <c r="D20" s="2107" t="s">
        <v>1267</v>
      </c>
      <c r="E20" s="2108" t="s">
        <v>1268</v>
      </c>
      <c r="F20" s="1130"/>
      <c r="K20" s="1207"/>
      <c r="L20" s="923"/>
      <c r="N20" s="1207"/>
    </row>
    <row r="21" spans="1:16" s="925" customFormat="1" ht="20.100000000000001" customHeight="1">
      <c r="A21" s="2262" t="s">
        <v>1269</v>
      </c>
      <c r="B21" s="2263"/>
      <c r="C21" s="2263"/>
      <c r="D21" s="2263"/>
      <c r="E21" s="2263"/>
      <c r="F21" s="2263"/>
      <c r="G21" s="2286"/>
      <c r="K21" s="1207"/>
      <c r="L21" s="923"/>
      <c r="N21" s="1207"/>
    </row>
    <row r="22" spans="1:16" s="925" customFormat="1" ht="20.100000000000001" customHeight="1">
      <c r="A22" s="1209"/>
      <c r="B22" s="2109" t="s">
        <v>1270</v>
      </c>
      <c r="C22" s="2109" t="s">
        <v>1271</v>
      </c>
      <c r="D22" s="2109" t="s">
        <v>1272</v>
      </c>
      <c r="E22" s="2109" t="s">
        <v>1273</v>
      </c>
      <c r="F22" s="2109" t="s">
        <v>1274</v>
      </c>
      <c r="G22" s="2110" t="s">
        <v>1275</v>
      </c>
      <c r="K22" s="1207"/>
      <c r="L22" s="923"/>
      <c r="N22" s="1207"/>
    </row>
    <row r="23" spans="1:16" s="925" customFormat="1" ht="20.100000000000001" customHeight="1">
      <c r="A23" s="1209" t="s">
        <v>1276</v>
      </c>
      <c r="B23" s="1122"/>
      <c r="C23" s="1122"/>
      <c r="D23" s="1122"/>
      <c r="E23" s="1166"/>
      <c r="F23" s="1122"/>
      <c r="G23" s="1123"/>
      <c r="K23" s="1207"/>
      <c r="L23" s="921"/>
      <c r="N23" s="1207"/>
    </row>
    <row r="24" spans="1:16" s="925" customFormat="1" ht="20.100000000000001" customHeight="1">
      <c r="A24" s="1209" t="s">
        <v>1635</v>
      </c>
      <c r="B24" s="1122"/>
      <c r="C24" s="1122"/>
      <c r="D24" s="1122"/>
      <c r="E24" s="1166"/>
      <c r="F24" s="1122"/>
      <c r="G24" s="1123"/>
      <c r="K24" s="1207"/>
      <c r="L24" s="922"/>
      <c r="N24" s="1207"/>
    </row>
    <row r="25" spans="1:16" s="925" customFormat="1" ht="20.100000000000001" customHeight="1">
      <c r="A25" s="1209" t="s">
        <v>1634</v>
      </c>
      <c r="B25" s="1122"/>
      <c r="C25" s="1122"/>
      <c r="D25" s="1122"/>
      <c r="E25" s="1166"/>
      <c r="F25" s="1122"/>
      <c r="G25" s="1123"/>
      <c r="K25" s="1207"/>
      <c r="L25" s="923"/>
      <c r="M25" s="924"/>
      <c r="N25" s="1207"/>
      <c r="O25" s="924"/>
      <c r="P25" s="924"/>
    </row>
    <row r="26" spans="1:16" s="925" customFormat="1" ht="20.100000000000001" customHeight="1">
      <c r="A26" s="1209" t="s">
        <v>1277</v>
      </c>
      <c r="B26" s="1124"/>
      <c r="C26" s="2094"/>
      <c r="D26" s="1124"/>
      <c r="E26" s="1125"/>
      <c r="F26" s="1124"/>
      <c r="G26" s="1123"/>
      <c r="K26" s="1207"/>
      <c r="L26" s="923"/>
      <c r="N26" s="1207"/>
    </row>
    <row r="27" spans="1:16" s="925" customFormat="1" ht="20.100000000000001" customHeight="1">
      <c r="A27" s="1209" t="s">
        <v>1278</v>
      </c>
      <c r="B27" s="1122"/>
      <c r="C27" s="1122"/>
      <c r="D27" s="1122"/>
      <c r="E27" s="1166"/>
      <c r="F27" s="1122"/>
      <c r="G27" s="1123"/>
      <c r="K27" s="1207"/>
      <c r="L27" s="923"/>
    </row>
    <row r="28" spans="1:16" s="925" customFormat="1" ht="20.100000000000001" customHeight="1">
      <c r="A28" s="1209" t="s">
        <v>746</v>
      </c>
      <c r="B28" s="1126"/>
      <c r="C28" s="1122"/>
      <c r="D28" s="1126"/>
      <c r="E28" s="1127"/>
      <c r="F28" s="1126"/>
      <c r="G28" s="1123"/>
      <c r="K28" s="1207"/>
      <c r="L28" s="923"/>
    </row>
    <row r="29" spans="1:16" s="925" customFormat="1" ht="20.100000000000001" customHeight="1">
      <c r="A29" s="1209" t="s">
        <v>1279</v>
      </c>
      <c r="B29" s="2229"/>
      <c r="C29" s="2230"/>
      <c r="D29" s="2229"/>
      <c r="E29" s="2231"/>
      <c r="F29" s="2231"/>
      <c r="G29" s="2232"/>
      <c r="K29" s="1207"/>
      <c r="L29" s="923"/>
    </row>
    <row r="30" spans="1:16" s="925" customFormat="1" ht="20.100000000000001" customHeight="1">
      <c r="A30" s="2265" t="s">
        <v>1280</v>
      </c>
      <c r="B30" s="2290"/>
      <c r="C30" s="2291"/>
      <c r="D30" s="2291"/>
      <c r="E30" s="2291"/>
      <c r="F30" s="2291"/>
      <c r="G30" s="2292"/>
      <c r="K30" s="1207"/>
      <c r="L30" s="923"/>
    </row>
    <row r="31" spans="1:16" s="925" customFormat="1" ht="20.100000000000001" customHeight="1">
      <c r="A31" s="2287"/>
      <c r="B31" s="2293"/>
      <c r="C31" s="2293"/>
      <c r="D31" s="2293"/>
      <c r="E31" s="2293"/>
      <c r="F31" s="2293"/>
      <c r="G31" s="2294"/>
      <c r="K31" s="1207"/>
      <c r="L31" s="923"/>
    </row>
    <row r="32" spans="1:16" s="925" customFormat="1" ht="20.100000000000001" customHeight="1" thickBot="1">
      <c r="A32" s="2288"/>
      <c r="B32" s="2289"/>
      <c r="C32" s="1210"/>
      <c r="D32" s="1210"/>
      <c r="E32" s="1210"/>
      <c r="F32" s="1210"/>
      <c r="G32" s="1211"/>
      <c r="K32" s="1207"/>
      <c r="L32" s="1207"/>
    </row>
    <row r="33" spans="1:11" s="925" customFormat="1" ht="20.100000000000001" customHeight="1">
      <c r="A33" s="1212"/>
      <c r="B33" s="1212"/>
      <c r="C33" s="1212"/>
      <c r="D33" s="1212"/>
      <c r="E33" s="1212"/>
      <c r="F33" s="1212"/>
      <c r="K33" s="1207"/>
    </row>
    <row r="34" spans="1:11" s="925" customFormat="1" hidden="1">
      <c r="A34" s="1212"/>
      <c r="B34" s="1212"/>
      <c r="C34" s="1212"/>
      <c r="D34" s="1212"/>
      <c r="E34" s="1212"/>
      <c r="F34" s="1212"/>
      <c r="K34" s="1207"/>
    </row>
    <row r="35" spans="1:11" s="925" customFormat="1" hidden="1">
      <c r="A35" s="1212"/>
      <c r="B35" s="1212"/>
      <c r="C35" s="1212"/>
      <c r="D35" s="1212"/>
      <c r="E35" s="1212"/>
      <c r="F35" s="1212"/>
      <c r="K35" s="1207"/>
    </row>
    <row r="36" spans="1:11" s="1182" customFormat="1" ht="18.75" hidden="1" customHeight="1">
      <c r="A36" s="2283" t="s">
        <v>1113</v>
      </c>
      <c r="B36" s="2283"/>
      <c r="C36" s="2283"/>
      <c r="D36" s="2283"/>
      <c r="E36" s="2283"/>
      <c r="F36" s="2283"/>
      <c r="G36" s="1213"/>
      <c r="H36" s="1213"/>
      <c r="I36" s="1213"/>
      <c r="J36" s="1213"/>
      <c r="K36" s="1207"/>
    </row>
    <row r="37" spans="1:11" s="925" customFormat="1" hidden="1">
      <c r="A37" s="923"/>
      <c r="K37" s="1207"/>
    </row>
    <row r="38" spans="1:11" s="925" customFormat="1" hidden="1">
      <c r="A38" s="923"/>
      <c r="K38" s="1207"/>
    </row>
    <row r="39" spans="1:11" s="925" customFormat="1" hidden="1">
      <c r="A39" s="923"/>
      <c r="K39" s="1207"/>
    </row>
    <row r="40" spans="1:11" s="925" customFormat="1" hidden="1">
      <c r="A40" s="923"/>
      <c r="K40" s="1207"/>
    </row>
  </sheetData>
  <sheetProtection password="B61E" sheet="1" objects="1" scenarios="1"/>
  <mergeCells count="25">
    <mergeCell ref="A2:F2"/>
    <mergeCell ref="A5:B5"/>
    <mergeCell ref="A36:F36"/>
    <mergeCell ref="B20:C20"/>
    <mergeCell ref="A21:G21"/>
    <mergeCell ref="A30:A31"/>
    <mergeCell ref="A32:B32"/>
    <mergeCell ref="B30:G31"/>
    <mergeCell ref="B18:C18"/>
    <mergeCell ref="C5:D5"/>
    <mergeCell ref="E5:F5"/>
    <mergeCell ref="E18:F18"/>
    <mergeCell ref="B17:F17"/>
    <mergeCell ref="B15:F15"/>
    <mergeCell ref="B19:F19"/>
    <mergeCell ref="A3:F3"/>
    <mergeCell ref="B16:F16"/>
    <mergeCell ref="A8:F8"/>
    <mergeCell ref="B14:F14"/>
    <mergeCell ref="A11:A13"/>
    <mergeCell ref="C11:F11"/>
    <mergeCell ref="C12:F12"/>
    <mergeCell ref="E13:F13"/>
    <mergeCell ref="B9:F9"/>
    <mergeCell ref="B10:D10"/>
  </mergeCells>
  <phoneticPr fontId="84" type="noConversion"/>
  <conditionalFormatting sqref="E5:F5">
    <cfRule type="notContainsBlanks" dxfId="123" priority="1">
      <formula>LEN(TRIM(E5))&gt;0</formula>
    </cfRule>
  </conditionalFormatting>
  <pageMargins left="0.75" right="0.74" top="0.93" bottom="0.76" header="0.5" footer="0.5"/>
  <pageSetup scale="75" orientation="landscape" horizontalDpi="4294967292" r:id="rId1"/>
  <headerFooter alignWithMargins="0">
    <oddHeader>&amp;LPlant General Information</oddHeader>
    <oddFooter>&amp;LUS Department of Energy&amp;C&amp;P&amp;R&amp;D</oddFooter>
  </headerFooter>
  <drawing r:id="rId2"/>
  <legacyDrawing r:id="rId3"/>
  <controls>
    <mc:AlternateContent xmlns:mc="http://schemas.openxmlformats.org/markup-compatibility/2006">
      <mc:Choice Requires="x14">
        <control shapeId="5270530" r:id="rId4" name="CommandButtonDataDone">
          <controlPr defaultSize="0" print="0" autoLine="0" r:id="rId5">
            <anchor moveWithCells="1">
              <from>
                <xdr:col>6</xdr:col>
                <xdr:colOff>133350</xdr:colOff>
                <xdr:row>10</xdr:row>
                <xdr:rowOff>47625</xdr:rowOff>
              </from>
              <to>
                <xdr:col>8</xdr:col>
                <xdr:colOff>95250</xdr:colOff>
                <xdr:row>12</xdr:row>
                <xdr:rowOff>57150</xdr:rowOff>
              </to>
            </anchor>
          </controlPr>
        </control>
      </mc:Choice>
      <mc:Fallback>
        <control shapeId="5270530" r:id="rId4" name="CommandButtonDataDone"/>
      </mc:Fallback>
    </mc:AlternateContent>
    <mc:AlternateContent xmlns:mc="http://schemas.openxmlformats.org/markup-compatibility/2006">
      <mc:Choice Requires="x14">
        <control shapeId="5270562" r:id="rId6" name="CommandButton1">
          <controlPr defaultSize="0" autoLine="0" r:id="rId7">
            <anchor moveWithCells="1">
              <from>
                <xdr:col>6</xdr:col>
                <xdr:colOff>104775</xdr:colOff>
                <xdr:row>13</xdr:row>
                <xdr:rowOff>133350</xdr:rowOff>
              </from>
              <to>
                <xdr:col>8</xdr:col>
                <xdr:colOff>76200</xdr:colOff>
                <xdr:row>15</xdr:row>
                <xdr:rowOff>142875</xdr:rowOff>
              </to>
            </anchor>
          </controlPr>
        </control>
      </mc:Choice>
      <mc:Fallback>
        <control shapeId="5270562" r:id="rId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M41"/>
  <sheetViews>
    <sheetView workbookViewId="0">
      <selection activeCell="L5" sqref="L5"/>
    </sheetView>
  </sheetViews>
  <sheetFormatPr defaultColWidth="0" defaultRowHeight="12.75" zeroHeight="1"/>
  <cols>
    <col min="1" max="1" width="9.140625" style="1207" customWidth="1"/>
    <col min="2" max="2" width="54" style="923" customWidth="1"/>
    <col min="3" max="3" width="15.85546875" style="1207" customWidth="1"/>
    <col min="4" max="4" width="14.7109375" style="1207" customWidth="1"/>
    <col min="5" max="5" width="14.85546875" style="1207" customWidth="1"/>
    <col min="6" max="6" width="14.7109375" style="1207" customWidth="1"/>
    <col min="7" max="7" width="14.28515625" style="1207" customWidth="1"/>
    <col min="8" max="8" width="15.42578125" style="1207" customWidth="1"/>
    <col min="9" max="11" width="9.140625" style="1207" customWidth="1"/>
    <col min="12" max="12" width="24.5703125" style="1207" hidden="1" customWidth="1"/>
    <col min="13" max="13" width="0" style="1207" hidden="1" customWidth="1"/>
    <col min="14" max="16384" width="9.140625" style="1207" hidden="1"/>
  </cols>
  <sheetData>
    <row r="1" spans="2:13">
      <c r="M1" s="917"/>
    </row>
    <row r="2" spans="2:13" ht="15" thickBot="1">
      <c r="M2" s="918"/>
    </row>
    <row r="3" spans="2:13" s="925" customFormat="1" ht="18.75" hidden="1" customHeight="1" thickBot="1">
      <c r="B3" s="2313"/>
      <c r="C3" s="2314"/>
      <c r="D3" s="1316"/>
      <c r="E3" s="1316"/>
      <c r="F3" s="2324"/>
      <c r="G3" s="2324"/>
      <c r="H3" s="2325"/>
      <c r="L3" s="1207" t="s">
        <v>774</v>
      </c>
      <c r="M3" s="1207"/>
    </row>
    <row r="4" spans="2:13" s="925" customFormat="1" ht="15.75" customHeight="1">
      <c r="B4" s="2307" t="s">
        <v>441</v>
      </c>
      <c r="C4" s="2308"/>
      <c r="D4" s="2308"/>
      <c r="E4" s="2308"/>
      <c r="F4" s="2308"/>
      <c r="G4" s="2308"/>
      <c r="H4" s="2309"/>
      <c r="L4" s="1207"/>
      <c r="M4" s="1207"/>
    </row>
    <row r="5" spans="2:13" s="925" customFormat="1" ht="13.5" thickBot="1">
      <c r="B5" s="2310"/>
      <c r="C5" s="2311"/>
      <c r="D5" s="2311"/>
      <c r="E5" s="2311"/>
      <c r="F5" s="2311"/>
      <c r="G5" s="2311"/>
      <c r="H5" s="2312"/>
      <c r="L5" s="1208" t="s">
        <v>6</v>
      </c>
      <c r="M5" s="923"/>
    </row>
    <row r="6" spans="2:13" s="1220" customFormat="1" ht="19.899999999999999" customHeight="1">
      <c r="B6" s="2192" t="s">
        <v>442</v>
      </c>
      <c r="C6" s="2326"/>
      <c r="D6" s="2327"/>
      <c r="E6" s="2327"/>
      <c r="F6" s="2327"/>
      <c r="G6" s="2327"/>
      <c r="H6" s="2328"/>
      <c r="L6" s="1226"/>
    </row>
    <row r="7" spans="2:13" s="1220" customFormat="1" ht="19.899999999999999" customHeight="1">
      <c r="B7" s="2193" t="s">
        <v>443</v>
      </c>
      <c r="C7" s="2332"/>
      <c r="D7" s="2333"/>
      <c r="E7" s="2333"/>
      <c r="F7" s="2333"/>
      <c r="G7" s="2333"/>
      <c r="H7" s="2334"/>
      <c r="L7" s="1226"/>
    </row>
    <row r="8" spans="2:13" s="1220" customFormat="1" ht="19.899999999999999" customHeight="1">
      <c r="B8" s="2193" t="s">
        <v>1342</v>
      </c>
      <c r="C8" s="1159"/>
      <c r="D8" s="2188" t="s">
        <v>1341</v>
      </c>
      <c r="E8" s="2190"/>
      <c r="F8" s="2190"/>
      <c r="G8" s="2190"/>
      <c r="H8" s="2191"/>
      <c r="L8" s="1226"/>
    </row>
    <row r="9" spans="2:13" s="1220" customFormat="1" ht="19.899999999999999" customHeight="1">
      <c r="B9" s="2193" t="s">
        <v>444</v>
      </c>
      <c r="C9" s="2332"/>
      <c r="D9" s="2333"/>
      <c r="E9" s="2333"/>
      <c r="F9" s="2333"/>
      <c r="G9" s="2333"/>
      <c r="H9" s="2334"/>
      <c r="L9" s="1226"/>
    </row>
    <row r="10" spans="2:13" s="1220" customFormat="1" ht="19.899999999999999" customHeight="1">
      <c r="B10" s="2194" t="s">
        <v>445</v>
      </c>
      <c r="C10" s="2338"/>
      <c r="D10" s="2339"/>
      <c r="E10" s="2339"/>
      <c r="F10" s="2339"/>
      <c r="G10" s="2339"/>
      <c r="H10" s="2340"/>
      <c r="L10" s="1226"/>
    </row>
    <row r="11" spans="2:13" s="1220" customFormat="1" ht="19.899999999999999" customHeight="1">
      <c r="B11" s="2344" t="s">
        <v>446</v>
      </c>
      <c r="C11" s="2345"/>
      <c r="D11" s="2345"/>
      <c r="E11" s="2345"/>
      <c r="F11" s="2345"/>
      <c r="G11" s="2345"/>
      <c r="H11" s="2346"/>
      <c r="L11" s="1226"/>
    </row>
    <row r="12" spans="2:13" s="1220" customFormat="1" ht="19.899999999999999" customHeight="1">
      <c r="B12" s="2195" t="s">
        <v>747</v>
      </c>
      <c r="C12" s="1319" t="s">
        <v>447</v>
      </c>
      <c r="D12" s="1165"/>
      <c r="E12" s="2329"/>
      <c r="F12" s="2330"/>
      <c r="G12" s="2330"/>
      <c r="H12" s="2331"/>
      <c r="L12" s="1226"/>
    </row>
    <row r="13" spans="2:13" s="1220" customFormat="1" ht="19.899999999999999" customHeight="1">
      <c r="B13" s="2196" t="s">
        <v>448</v>
      </c>
      <c r="C13" s="1160"/>
      <c r="D13" s="1009">
        <v>1</v>
      </c>
      <c r="E13" s="1161"/>
      <c r="F13" s="1328"/>
      <c r="G13" s="1328"/>
      <c r="H13" s="1329"/>
      <c r="L13" s="1226"/>
    </row>
    <row r="14" spans="2:13" s="1220" customFormat="1" ht="19.899999999999999" customHeight="1">
      <c r="B14" s="2196" t="s">
        <v>449</v>
      </c>
      <c r="C14" s="1318"/>
      <c r="D14" s="1160"/>
      <c r="E14" s="1160"/>
      <c r="F14" s="1160"/>
      <c r="G14" s="1160"/>
      <c r="H14" s="1163"/>
      <c r="L14" s="1226"/>
    </row>
    <row r="15" spans="2:13" s="1220" customFormat="1" ht="19.899999999999999" customHeight="1">
      <c r="B15" s="2196" t="s">
        <v>450</v>
      </c>
      <c r="C15" s="1318"/>
      <c r="D15" s="1160"/>
      <c r="E15" s="1160"/>
      <c r="F15" s="1160"/>
      <c r="G15" s="1160"/>
      <c r="H15" s="1163"/>
      <c r="L15" s="1226"/>
    </row>
    <row r="16" spans="2:13" s="1320" customFormat="1" ht="19.899999999999999" customHeight="1">
      <c r="B16" s="2197" t="s">
        <v>451</v>
      </c>
      <c r="C16" s="1317" t="s">
        <v>1173</v>
      </c>
      <c r="D16" s="1162"/>
      <c r="E16" s="1159"/>
      <c r="F16" s="1159"/>
      <c r="G16" s="1159"/>
      <c r="H16" s="2123"/>
      <c r="L16" s="1225"/>
    </row>
    <row r="17" spans="2:12" s="1220" customFormat="1" ht="19.899999999999999" customHeight="1">
      <c r="B17" s="2198" t="s">
        <v>718</v>
      </c>
      <c r="C17" s="1318" t="s">
        <v>1116</v>
      </c>
      <c r="D17" s="1159"/>
      <c r="E17" s="1159"/>
      <c r="F17" s="1159"/>
      <c r="G17" s="1159"/>
      <c r="H17" s="2123"/>
      <c r="L17" s="1226"/>
    </row>
    <row r="18" spans="2:12" s="1220" customFormat="1" ht="19.899999999999999" customHeight="1">
      <c r="B18" s="2199" t="s">
        <v>748</v>
      </c>
      <c r="C18" s="2189" t="s">
        <v>1116</v>
      </c>
      <c r="D18" s="1159"/>
      <c r="E18" s="1159"/>
      <c r="F18" s="1159"/>
      <c r="G18" s="1159"/>
      <c r="H18" s="2123"/>
      <c r="L18" s="1226"/>
    </row>
    <row r="19" spans="2:12" s="1220" customFormat="1" ht="19.899999999999999" customHeight="1">
      <c r="B19" s="2198" t="s">
        <v>452</v>
      </c>
      <c r="C19" s="1321" t="s">
        <v>1344</v>
      </c>
      <c r="D19" s="1322">
        <f>$D$12*D16*(D17/100)*(D18/100)/10^6</f>
        <v>0</v>
      </c>
      <c r="E19" s="1322">
        <f>$D$12*E16*(E17/100)*(E18/100)/10^6</f>
        <v>0</v>
      </c>
      <c r="F19" s="1322">
        <f>$D$12*F16*(F17/100)*(F18/100)/10^6</f>
        <v>0</v>
      </c>
      <c r="G19" s="1322">
        <f>$D$12*G16*(G17/100)*(G18/100)/10^6</f>
        <v>0</v>
      </c>
      <c r="H19" s="2124">
        <f>$D$12*H16*(H17/100)*(H18/100)/10^6</f>
        <v>0</v>
      </c>
      <c r="L19" s="1226"/>
    </row>
    <row r="20" spans="2:12" s="1220" customFormat="1" ht="19.899999999999999" customHeight="1">
      <c r="B20" s="2200" t="s">
        <v>453</v>
      </c>
      <c r="C20" s="1324" t="s">
        <v>1343</v>
      </c>
      <c r="D20" s="1325">
        <f>D19+(E19*E20)+(F19*F20)+(G19*G20)+(H19*H20)</f>
        <v>0</v>
      </c>
      <c r="E20" s="2125">
        <f>IF($D$13&lt;2,0,1)</f>
        <v>0</v>
      </c>
      <c r="F20" s="2125">
        <f>IF($D$13&lt;3,0,1)</f>
        <v>0</v>
      </c>
      <c r="G20" s="2125">
        <f>IF($D$13&lt;4,0,1)</f>
        <v>0</v>
      </c>
      <c r="H20" s="2126">
        <f>IF($D$13&lt;5,0,1)</f>
        <v>0</v>
      </c>
      <c r="L20" s="1226"/>
    </row>
    <row r="21" spans="2:12" s="1220" customFormat="1" ht="19.899999999999999" customHeight="1">
      <c r="B21" s="1164"/>
      <c r="C21" s="1326"/>
      <c r="D21" s="1326"/>
      <c r="E21" s="1326"/>
      <c r="F21" s="1326"/>
      <c r="G21" s="1326"/>
      <c r="H21" s="1327"/>
      <c r="L21" s="1226"/>
    </row>
    <row r="22" spans="2:12" s="1220" customFormat="1" ht="19.899999999999999" customHeight="1">
      <c r="B22" s="2341" t="s">
        <v>640</v>
      </c>
      <c r="C22" s="2342"/>
      <c r="D22" s="2342"/>
      <c r="E22" s="2342"/>
      <c r="F22" s="2342"/>
      <c r="G22" s="2342"/>
      <c r="H22" s="2343"/>
      <c r="L22" s="1226"/>
    </row>
    <row r="23" spans="2:12" s="1220" customFormat="1" ht="19.899999999999999" customHeight="1">
      <c r="B23" s="2193" t="s">
        <v>454</v>
      </c>
      <c r="C23" s="1318"/>
      <c r="D23" s="1160"/>
      <c r="E23" s="1160"/>
      <c r="F23" s="2347"/>
      <c r="G23" s="2347"/>
      <c r="H23" s="2348"/>
      <c r="L23" s="1226"/>
    </row>
    <row r="24" spans="2:12" s="1220" customFormat="1" ht="19.899999999999999" customHeight="1">
      <c r="B24" s="2193" t="s">
        <v>455</v>
      </c>
      <c r="C24" s="1318" t="s">
        <v>456</v>
      </c>
      <c r="D24" s="1159"/>
      <c r="E24" s="1159"/>
      <c r="F24" s="2349"/>
      <c r="G24" s="2349"/>
      <c r="H24" s="2350"/>
      <c r="L24" s="1226"/>
    </row>
    <row r="25" spans="2:12" s="1220" customFormat="1" ht="19.899999999999999" customHeight="1">
      <c r="B25" s="2193" t="s">
        <v>634</v>
      </c>
      <c r="C25" s="1318" t="s">
        <v>797</v>
      </c>
      <c r="D25" s="1159"/>
      <c r="E25" s="1159"/>
      <c r="F25" s="2349"/>
      <c r="G25" s="2349"/>
      <c r="H25" s="2350"/>
      <c r="L25" s="1226"/>
    </row>
    <row r="26" spans="2:12" s="1220" customFormat="1" ht="19.899999999999999" customHeight="1">
      <c r="B26" s="2193" t="s">
        <v>457</v>
      </c>
      <c r="C26" s="1323" t="s">
        <v>1345</v>
      </c>
      <c r="D26" s="1322">
        <f>IF(D24&gt;0, D25/D24,  0)</f>
        <v>0</v>
      </c>
      <c r="E26" s="2234">
        <f>IF(E24&gt;0, E25/E24,  0)</f>
        <v>0</v>
      </c>
      <c r="F26" s="2349"/>
      <c r="G26" s="2349"/>
      <c r="H26" s="2350"/>
      <c r="L26" s="1226"/>
    </row>
    <row r="27" spans="2:12" s="1220" customFormat="1" ht="19.899999999999999" customHeight="1">
      <c r="B27" s="2193" t="s">
        <v>458</v>
      </c>
      <c r="C27" s="1318" t="s">
        <v>456</v>
      </c>
      <c r="D27" s="1159"/>
      <c r="E27" s="2353"/>
      <c r="F27" s="2349"/>
      <c r="G27" s="2349"/>
      <c r="H27" s="2350"/>
      <c r="L27" s="1226"/>
    </row>
    <row r="28" spans="2:12" s="1220" customFormat="1" ht="19.899999999999999" customHeight="1">
      <c r="B28" s="2193" t="s">
        <v>635</v>
      </c>
      <c r="C28" s="1318" t="s">
        <v>1012</v>
      </c>
      <c r="D28" s="1159"/>
      <c r="E28" s="2353"/>
      <c r="F28" s="2349"/>
      <c r="G28" s="2349"/>
      <c r="H28" s="2350"/>
      <c r="L28" s="1226"/>
    </row>
    <row r="29" spans="2:12" s="1220" customFormat="1" ht="19.899999999999999" customHeight="1">
      <c r="B29" s="2201" t="s">
        <v>459</v>
      </c>
      <c r="C29" s="1324" t="s">
        <v>1163</v>
      </c>
      <c r="D29" s="2233" t="str">
        <f>IFERROR(D28/D27,"")</f>
        <v/>
      </c>
      <c r="E29" s="2354"/>
      <c r="F29" s="2351"/>
      <c r="G29" s="2351"/>
      <c r="H29" s="2352"/>
      <c r="L29" s="1226"/>
    </row>
    <row r="30" spans="2:12" s="1220" customFormat="1" ht="19.899999999999999" customHeight="1">
      <c r="B30" s="2335"/>
      <c r="C30" s="2336"/>
      <c r="D30" s="2336"/>
      <c r="E30" s="2336"/>
      <c r="F30" s="2336"/>
      <c r="G30" s="2336"/>
      <c r="H30" s="2337"/>
      <c r="L30" s="1226"/>
    </row>
    <row r="31" spans="2:12" s="1220" customFormat="1" ht="19.899999999999999" customHeight="1">
      <c r="B31" s="2315" t="s">
        <v>719</v>
      </c>
      <c r="C31" s="2318"/>
      <c r="D31" s="2319"/>
      <c r="E31" s="2319"/>
      <c r="F31" s="2319"/>
      <c r="G31" s="2319"/>
      <c r="H31" s="2320"/>
      <c r="L31" s="1226"/>
    </row>
    <row r="32" spans="2:12" s="1220" customFormat="1" ht="19.899999999999999" customHeight="1">
      <c r="B32" s="2316"/>
      <c r="C32" s="2318"/>
      <c r="D32" s="2319"/>
      <c r="E32" s="2319"/>
      <c r="F32" s="2319"/>
      <c r="G32" s="2319"/>
      <c r="H32" s="2320"/>
      <c r="L32" s="1226"/>
    </row>
    <row r="33" spans="2:12" s="1220" customFormat="1" ht="19.899999999999999" customHeight="1" thickBot="1">
      <c r="B33" s="2317"/>
      <c r="C33" s="2321"/>
      <c r="D33" s="2322"/>
      <c r="E33" s="2322"/>
      <c r="F33" s="2322"/>
      <c r="G33" s="2322"/>
      <c r="H33" s="2323"/>
      <c r="L33" s="1226"/>
    </row>
    <row r="34" spans="2:12" s="925" customFormat="1">
      <c r="B34" s="1212"/>
      <c r="C34" s="1212"/>
      <c r="D34" s="1212"/>
      <c r="E34" s="1212"/>
      <c r="F34" s="1212"/>
      <c r="G34" s="1212"/>
      <c r="L34" s="1207"/>
    </row>
    <row r="35" spans="2:12" s="925" customFormat="1">
      <c r="B35" s="1212"/>
      <c r="C35" s="1212"/>
      <c r="D35" s="1212"/>
      <c r="E35" s="1212"/>
      <c r="F35" s="1212"/>
      <c r="G35" s="1212"/>
      <c r="L35" s="1207"/>
    </row>
    <row r="36" spans="2:12" s="925" customFormat="1" hidden="1">
      <c r="B36" s="1212"/>
      <c r="C36" s="1212"/>
      <c r="D36" s="1212"/>
      <c r="E36" s="1212"/>
      <c r="F36" s="1212"/>
      <c r="G36" s="1212"/>
      <c r="L36" s="1207"/>
    </row>
    <row r="37" spans="2:12" s="1182" customFormat="1" ht="18.75" hidden="1" customHeight="1">
      <c r="B37" s="2283" t="s">
        <v>1113</v>
      </c>
      <c r="C37" s="2283"/>
      <c r="D37" s="2283"/>
      <c r="E37" s="2283"/>
      <c r="F37" s="2283"/>
      <c r="G37" s="2283"/>
      <c r="H37" s="1213"/>
      <c r="I37" s="1213"/>
      <c r="J37" s="1213"/>
      <c r="K37" s="1213"/>
      <c r="L37" s="1207"/>
    </row>
    <row r="38" spans="2:12" s="925" customFormat="1" hidden="1">
      <c r="B38" s="923"/>
      <c r="L38" s="1207"/>
    </row>
    <row r="39" spans="2:12" s="925" customFormat="1" hidden="1">
      <c r="B39" s="923"/>
      <c r="L39" s="1207"/>
    </row>
    <row r="40" spans="2:12" s="925" customFormat="1" hidden="1">
      <c r="B40" s="923"/>
      <c r="L40" s="1207"/>
    </row>
    <row r="41" spans="2:12" s="925" customFormat="1" hidden="1">
      <c r="B41" s="923"/>
      <c r="L41" s="1207"/>
    </row>
  </sheetData>
  <sheetProtection password="B61E" sheet="1" objects="1" scenarios="1"/>
  <mergeCells count="16">
    <mergeCell ref="B37:G37"/>
    <mergeCell ref="C6:H6"/>
    <mergeCell ref="E12:H12"/>
    <mergeCell ref="C7:H7"/>
    <mergeCell ref="B30:H30"/>
    <mergeCell ref="C9:H9"/>
    <mergeCell ref="C10:H10"/>
    <mergeCell ref="B22:H22"/>
    <mergeCell ref="B11:H11"/>
    <mergeCell ref="F23:H29"/>
    <mergeCell ref="E27:E29"/>
    <mergeCell ref="B4:H5"/>
    <mergeCell ref="B3:C3"/>
    <mergeCell ref="B31:B33"/>
    <mergeCell ref="C31:H33"/>
    <mergeCell ref="F3:H3"/>
  </mergeCells>
  <phoneticPr fontId="84" type="noConversion"/>
  <conditionalFormatting sqref="E14">
    <cfRule type="expression" dxfId="122" priority="61" stopIfTrue="1">
      <formula>$D$13&lt;2</formula>
    </cfRule>
  </conditionalFormatting>
  <conditionalFormatting sqref="F14">
    <cfRule type="expression" dxfId="121" priority="59" stopIfTrue="1">
      <formula>$D$13&lt;3</formula>
    </cfRule>
  </conditionalFormatting>
  <conditionalFormatting sqref="G14">
    <cfRule type="expression" dxfId="120" priority="57" stopIfTrue="1">
      <formula>$D$13&lt;4</formula>
    </cfRule>
  </conditionalFormatting>
  <conditionalFormatting sqref="H14">
    <cfRule type="expression" dxfId="119" priority="55" stopIfTrue="1">
      <formula>$D$13&lt;5</formula>
    </cfRule>
  </conditionalFormatting>
  <conditionalFormatting sqref="E15">
    <cfRule type="expression" dxfId="118" priority="29" stopIfTrue="1">
      <formula>$D$13&lt;2</formula>
    </cfRule>
  </conditionalFormatting>
  <conditionalFormatting sqref="E16">
    <cfRule type="expression" dxfId="117" priority="28" stopIfTrue="1">
      <formula>$D$13&lt;2</formula>
    </cfRule>
  </conditionalFormatting>
  <conditionalFormatting sqref="E17">
    <cfRule type="expression" dxfId="116" priority="27" stopIfTrue="1">
      <formula>$D$13&lt;2</formula>
    </cfRule>
  </conditionalFormatting>
  <conditionalFormatting sqref="E18">
    <cfRule type="expression" dxfId="115" priority="26" stopIfTrue="1">
      <formula>$D$13&lt;2</formula>
    </cfRule>
  </conditionalFormatting>
  <conditionalFormatting sqref="E19">
    <cfRule type="expression" dxfId="114" priority="25" stopIfTrue="1">
      <formula>$D$13&lt;2</formula>
    </cfRule>
  </conditionalFormatting>
  <conditionalFormatting sqref="E20">
    <cfRule type="expression" dxfId="113" priority="24" stopIfTrue="1">
      <formula>$D$13&lt;2</formula>
    </cfRule>
  </conditionalFormatting>
  <conditionalFormatting sqref="F15">
    <cfRule type="expression" dxfId="112" priority="23" stopIfTrue="1">
      <formula>$D$13&lt;3</formula>
    </cfRule>
  </conditionalFormatting>
  <conditionalFormatting sqref="F16">
    <cfRule type="expression" dxfId="111" priority="22" stopIfTrue="1">
      <formula>$D$13&lt;3</formula>
    </cfRule>
  </conditionalFormatting>
  <conditionalFormatting sqref="F17">
    <cfRule type="expression" dxfId="110" priority="21" stopIfTrue="1">
      <formula>$D$13&lt;3</formula>
    </cfRule>
  </conditionalFormatting>
  <conditionalFormatting sqref="F18">
    <cfRule type="expression" dxfId="109" priority="20" stopIfTrue="1">
      <formula>$D$13&lt;3</formula>
    </cfRule>
  </conditionalFormatting>
  <conditionalFormatting sqref="F19">
    <cfRule type="expression" dxfId="108" priority="19" stopIfTrue="1">
      <formula>$D$13&lt;3</formula>
    </cfRule>
  </conditionalFormatting>
  <conditionalFormatting sqref="F20">
    <cfRule type="expression" dxfId="107" priority="18" stopIfTrue="1">
      <formula>$D$13&lt;3</formula>
    </cfRule>
  </conditionalFormatting>
  <conditionalFormatting sqref="G15">
    <cfRule type="expression" dxfId="106" priority="17" stopIfTrue="1">
      <formula>$D$13&lt;4</formula>
    </cfRule>
  </conditionalFormatting>
  <conditionalFormatting sqref="G16">
    <cfRule type="expression" dxfId="105" priority="16" stopIfTrue="1">
      <formula>$D$13&lt;4</formula>
    </cfRule>
  </conditionalFormatting>
  <conditionalFormatting sqref="G17">
    <cfRule type="expression" dxfId="104" priority="15" stopIfTrue="1">
      <formula>$D$13&lt;4</formula>
    </cfRule>
  </conditionalFormatting>
  <conditionalFormatting sqref="G18">
    <cfRule type="expression" dxfId="103" priority="14" stopIfTrue="1">
      <formula>$D$13&lt;4</formula>
    </cfRule>
  </conditionalFormatting>
  <conditionalFormatting sqref="G19">
    <cfRule type="expression" dxfId="102" priority="13" stopIfTrue="1">
      <formula>$D$13&lt;4</formula>
    </cfRule>
  </conditionalFormatting>
  <conditionalFormatting sqref="G20">
    <cfRule type="expression" dxfId="101" priority="12" stopIfTrue="1">
      <formula>$D$13&lt;4</formula>
    </cfRule>
  </conditionalFormatting>
  <conditionalFormatting sqref="H15">
    <cfRule type="expression" dxfId="100" priority="11" stopIfTrue="1">
      <formula>$D$13&lt;5</formula>
    </cfRule>
  </conditionalFormatting>
  <conditionalFormatting sqref="H16">
    <cfRule type="expression" dxfId="99" priority="10" stopIfTrue="1">
      <formula>$D$13&lt;5</formula>
    </cfRule>
  </conditionalFormatting>
  <conditionalFormatting sqref="H17">
    <cfRule type="expression" dxfId="98" priority="9" stopIfTrue="1">
      <formula>$D$13&lt;5</formula>
    </cfRule>
  </conditionalFormatting>
  <conditionalFormatting sqref="H18">
    <cfRule type="expression" dxfId="97" priority="8" stopIfTrue="1">
      <formula>$D$13&lt;5</formula>
    </cfRule>
  </conditionalFormatting>
  <conditionalFormatting sqref="H19">
    <cfRule type="expression" dxfId="96" priority="7" stopIfTrue="1">
      <formula>$D$13&lt;5</formula>
    </cfRule>
  </conditionalFormatting>
  <conditionalFormatting sqref="H20">
    <cfRule type="expression" dxfId="95" priority="6" stopIfTrue="1">
      <formula>$D$13&lt;5</formula>
    </cfRule>
  </conditionalFormatting>
  <conditionalFormatting sqref="D26:E26">
    <cfRule type="cellIs" dxfId="94" priority="5" operator="equal">
      <formula>0</formula>
    </cfRule>
  </conditionalFormatting>
  <conditionalFormatting sqref="D29">
    <cfRule type="cellIs" dxfId="93" priority="2" operator="equal">
      <formula>0</formula>
    </cfRule>
  </conditionalFormatting>
  <dataValidations count="1">
    <dataValidation type="list" allowBlank="1" showInputMessage="1" showErrorMessage="1" sqref="D13">
      <formula1>"1,2,3,4,5"</formula1>
    </dataValidation>
  </dataValidations>
  <pageMargins left="0.75" right="0.74" top="0.93" bottom="0.76" header="0.5" footer="0.5"/>
  <pageSetup scale="68" orientation="landscape" horizontalDpi="4294967292" r:id="rId1"/>
  <headerFooter alignWithMargins="0">
    <oddHeader xml:space="preserve">&amp;LProcess Heating Equipment&amp;C&amp;"Arial,Bold"&amp;1process Heating Assessment and Survey Tool (PHAST) v2.0 - US Units
&amp;12Data Collection Form </oddHeader>
    <oddFooter>&amp;LUS Department of Energy&amp;R&amp;D</oddFooter>
  </headerFooter>
  <drawing r:id="rId2"/>
  <legacyDrawing r:id="rId3"/>
  <controls>
    <mc:AlternateContent xmlns:mc="http://schemas.openxmlformats.org/markup-compatibility/2006">
      <mc:Choice Requires="x14">
        <control shapeId="5271554" r:id="rId4" name="CommandButtonProcessDataDone">
          <controlPr defaultSize="0" print="0" autoLine="0" r:id="rId5">
            <anchor moveWithCells="1">
              <from>
                <xdr:col>9</xdr:col>
                <xdr:colOff>9525</xdr:colOff>
                <xdr:row>3</xdr:row>
                <xdr:rowOff>0</xdr:rowOff>
              </from>
              <to>
                <xdr:col>10</xdr:col>
                <xdr:colOff>361950</xdr:colOff>
                <xdr:row>5</xdr:row>
                <xdr:rowOff>133350</xdr:rowOff>
              </to>
            </anchor>
          </controlPr>
        </control>
      </mc:Choice>
      <mc:Fallback>
        <control shapeId="5271554" r:id="rId4" name="CommandButtonProcessDataDone"/>
      </mc:Fallback>
    </mc:AlternateContent>
    <mc:AlternateContent xmlns:mc="http://schemas.openxmlformats.org/markup-compatibility/2006">
      <mc:Choice Requires="x14">
        <control shapeId="5271555" r:id="rId6" name="CommandButton1">
          <controlPr defaultSize="0" autoLine="0" r:id="rId7">
            <anchor moveWithCells="1">
              <from>
                <xdr:col>9</xdr:col>
                <xdr:colOff>0</xdr:colOff>
                <xdr:row>6</xdr:row>
                <xdr:rowOff>238125</xdr:rowOff>
              </from>
              <to>
                <xdr:col>10</xdr:col>
                <xdr:colOff>361950</xdr:colOff>
                <xdr:row>9</xdr:row>
                <xdr:rowOff>0</xdr:rowOff>
              </to>
            </anchor>
          </controlPr>
        </control>
      </mc:Choice>
      <mc:Fallback>
        <control shapeId="5271555"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Q93"/>
  <sheetViews>
    <sheetView topLeftCell="A7" workbookViewId="0">
      <selection activeCell="D23" sqref="D23"/>
    </sheetView>
  </sheetViews>
  <sheetFormatPr defaultColWidth="0" defaultRowHeight="12.75" zeroHeight="1"/>
  <cols>
    <col min="1" max="1" width="4.140625" style="1177" customWidth="1"/>
    <col min="2" max="2" width="9.140625" style="1215" customWidth="1"/>
    <col min="3" max="3" width="42.42578125" style="1215" customWidth="1"/>
    <col min="4" max="4" width="15.140625" style="1215" customWidth="1"/>
    <col min="5" max="5" width="14.7109375" style="1215" customWidth="1"/>
    <col min="6" max="6" width="13.7109375" style="1215" customWidth="1"/>
    <col min="7" max="8" width="14.7109375" style="1215" customWidth="1"/>
    <col min="9" max="9" width="14.28515625" style="1215" customWidth="1"/>
    <col min="10" max="10" width="11.140625" style="1177" customWidth="1"/>
    <col min="11" max="11" width="4.140625" style="1177" hidden="1" customWidth="1"/>
    <col min="12" max="12" width="13.5703125" style="1177" customWidth="1"/>
    <col min="13" max="13" width="13.28515625" style="1177" customWidth="1"/>
    <col min="14" max="14" width="14" style="1215" hidden="1" customWidth="1"/>
    <col min="15" max="16" width="9.140625" style="1215" hidden="1" customWidth="1"/>
    <col min="17" max="17" width="9.140625" style="1214" hidden="1" customWidth="1"/>
    <col min="18" max="16384" width="9.140625" style="1215" hidden="1"/>
  </cols>
  <sheetData>
    <row r="1" spans="1:17" s="1214" customFormat="1" ht="33" customHeight="1">
      <c r="A1" s="1182"/>
      <c r="B1" s="2367" t="s">
        <v>1638</v>
      </c>
      <c r="C1" s="2368"/>
      <c r="D1" s="2368"/>
      <c r="E1" s="2368"/>
      <c r="F1" s="2368"/>
      <c r="G1" s="2368"/>
      <c r="H1" s="2368"/>
      <c r="I1" s="2369"/>
      <c r="J1" s="1182"/>
      <c r="K1" s="1182"/>
      <c r="L1" s="1182"/>
      <c r="M1" s="1182"/>
    </row>
    <row r="2" spans="1:17" ht="20.100000000000001" customHeight="1" thickBot="1">
      <c r="B2" s="2370" t="s">
        <v>1618</v>
      </c>
      <c r="C2" s="2371"/>
      <c r="D2" s="2371"/>
      <c r="E2" s="2371"/>
      <c r="F2" s="2371"/>
      <c r="G2" s="2371"/>
      <c r="H2" s="2371"/>
      <c r="I2" s="2372"/>
    </row>
    <row r="3" spans="1:17" ht="20.100000000000001" customHeight="1" thickBot="1">
      <c r="B3" s="1277"/>
      <c r="C3" s="1278"/>
      <c r="D3" s="1278"/>
      <c r="E3" s="1278"/>
      <c r="F3" s="1278"/>
      <c r="G3" s="1278"/>
      <c r="H3" s="1278"/>
      <c r="I3" s="1279"/>
    </row>
    <row r="4" spans="1:17" s="1219" customFormat="1" ht="33" customHeight="1" thickBot="1">
      <c r="A4" s="1216"/>
      <c r="B4" s="2373" t="s">
        <v>1322</v>
      </c>
      <c r="C4" s="2374"/>
      <c r="D4" s="2374"/>
      <c r="E4" s="2374"/>
      <c r="F4" s="2374"/>
      <c r="G4" s="2374"/>
      <c r="H4" s="2374"/>
      <c r="I4" s="2375"/>
      <c r="J4" s="1216"/>
      <c r="K4" s="1216"/>
      <c r="L4" s="1216"/>
      <c r="M4" s="1217"/>
      <c r="N4" s="1218"/>
    </row>
    <row r="5" spans="1:17" s="1219" customFormat="1" ht="33" customHeight="1" thickBot="1">
      <c r="A5" s="1216"/>
      <c r="B5" s="2376" t="s">
        <v>1092</v>
      </c>
      <c r="C5" s="2377"/>
      <c r="D5" s="2377"/>
      <c r="E5" s="2377"/>
      <c r="F5" s="2377"/>
      <c r="G5" s="2377"/>
      <c r="H5" s="2377"/>
      <c r="I5" s="2378"/>
      <c r="J5" s="1216"/>
      <c r="K5" s="1216"/>
      <c r="L5" s="1216"/>
      <c r="M5" s="1217"/>
      <c r="N5" s="1218"/>
    </row>
    <row r="6" spans="1:17" s="1224" customFormat="1" ht="20.100000000000001" customHeight="1">
      <c r="A6" s="1220"/>
      <c r="B6" s="2381" t="s">
        <v>1254</v>
      </c>
      <c r="C6" s="2382"/>
      <c r="D6" s="2383" t="str">
        <f>IF('Plant general info'!B9="","",'Plant general info'!B9)</f>
        <v/>
      </c>
      <c r="E6" s="2384"/>
      <c r="F6" s="2385"/>
      <c r="G6" s="2111" t="s">
        <v>461</v>
      </c>
      <c r="H6" s="2379" t="str">
        <f>IF('Plant general info'!E5=0,"",'Plant general info'!E5)</f>
        <v/>
      </c>
      <c r="I6" s="2380"/>
      <c r="J6" s="1221"/>
      <c r="K6" s="1220" t="s">
        <v>493</v>
      </c>
      <c r="L6" s="1220"/>
      <c r="M6" s="1222"/>
      <c r="N6" s="1223"/>
    </row>
    <row r="7" spans="1:17" s="1224" customFormat="1" ht="20.100000000000001" customHeight="1" thickBot="1">
      <c r="A7" s="1220"/>
      <c r="B7" s="2362" t="s">
        <v>1255</v>
      </c>
      <c r="C7" s="2363"/>
      <c r="D7" s="2364" t="str">
        <f>IF('Plant general info'!B10="","",'Plant general info'!B10)</f>
        <v/>
      </c>
      <c r="E7" s="2365"/>
      <c r="F7" s="2366"/>
      <c r="G7" s="2392" t="s">
        <v>462</v>
      </c>
      <c r="H7" s="2393"/>
      <c r="I7" s="2394"/>
      <c r="J7" s="1220"/>
      <c r="K7" s="1220" t="s">
        <v>492</v>
      </c>
      <c r="L7" s="1220"/>
      <c r="M7" s="1222"/>
      <c r="N7" s="1223"/>
    </row>
    <row r="8" spans="1:17" s="1224" customFormat="1" ht="20.100000000000001" customHeight="1">
      <c r="A8" s="1220"/>
      <c r="B8" s="2362" t="s">
        <v>728</v>
      </c>
      <c r="C8" s="2363"/>
      <c r="D8" s="2364" t="str">
        <f>IF('Process Heating Equipment'!C6="","",'Process Heating Equipment'!C6)</f>
        <v/>
      </c>
      <c r="E8" s="2365"/>
      <c r="F8" s="2366"/>
      <c r="G8" s="2395"/>
      <c r="H8" s="2396"/>
      <c r="I8" s="2397"/>
      <c r="J8" s="1220"/>
      <c r="K8" s="1225" t="s">
        <v>494</v>
      </c>
      <c r="L8" s="2386" t="s">
        <v>565</v>
      </c>
      <c r="M8" s="1222"/>
      <c r="N8" s="1223"/>
    </row>
    <row r="9" spans="1:17" s="1224" customFormat="1" ht="20.100000000000001" customHeight="1" thickBot="1">
      <c r="A9" s="1220"/>
      <c r="B9" s="2412" t="s">
        <v>463</v>
      </c>
      <c r="C9" s="2413"/>
      <c r="D9" s="2414"/>
      <c r="E9" s="2415"/>
      <c r="F9" s="2416"/>
      <c r="G9" s="2398"/>
      <c r="H9" s="2399"/>
      <c r="I9" s="2400"/>
      <c r="J9" s="1220"/>
      <c r="K9" s="1216" t="s">
        <v>774</v>
      </c>
      <c r="L9" s="2387"/>
      <c r="M9" s="1222"/>
      <c r="N9" s="1223"/>
    </row>
    <row r="10" spans="1:17" s="1220" customFormat="1" ht="20.100000000000001" customHeight="1" thickBot="1">
      <c r="B10" s="1132"/>
      <c r="C10" s="1133"/>
      <c r="D10" s="1133"/>
      <c r="E10" s="1133"/>
      <c r="F10" s="1133"/>
      <c r="G10" s="1133"/>
      <c r="H10" s="1133"/>
      <c r="I10" s="1133"/>
      <c r="L10" s="2388"/>
      <c r="M10" s="1222"/>
      <c r="N10" s="1226"/>
    </row>
    <row r="11" spans="1:17" s="1219" customFormat="1" ht="20.100000000000001" customHeight="1" thickBot="1">
      <c r="A11" s="1216"/>
      <c r="B11" s="2389"/>
      <c r="C11" s="2390"/>
      <c r="D11" s="2390"/>
      <c r="E11" s="2390"/>
      <c r="F11" s="2390"/>
      <c r="G11" s="2390"/>
      <c r="H11" s="2390"/>
      <c r="I11" s="2391"/>
      <c r="J11" s="1216"/>
      <c r="K11" s="1216"/>
      <c r="L11" s="1152" t="s">
        <v>1631</v>
      </c>
      <c r="M11" s="1217"/>
      <c r="N11" s="1218"/>
    </row>
    <row r="12" spans="1:17" s="1218" customFormat="1" ht="20.100000000000001" customHeight="1">
      <c r="A12" s="1181"/>
      <c r="B12" s="2417" t="s">
        <v>1241</v>
      </c>
      <c r="C12" s="2408" t="s">
        <v>1242</v>
      </c>
      <c r="D12" s="2410" t="s">
        <v>1239</v>
      </c>
      <c r="E12" s="2410"/>
      <c r="F12" s="2410"/>
      <c r="G12" s="2410" t="s">
        <v>1240</v>
      </c>
      <c r="H12" s="2410"/>
      <c r="I12" s="2411"/>
      <c r="J12" s="1181"/>
      <c r="K12" s="1181"/>
      <c r="L12" s="1181"/>
      <c r="M12" s="1181"/>
      <c r="Q12" s="1219"/>
    </row>
    <row r="13" spans="1:17" s="1219" customFormat="1" ht="20.100000000000001" customHeight="1" thickBot="1">
      <c r="A13" s="1216"/>
      <c r="B13" s="2418"/>
      <c r="C13" s="2409"/>
      <c r="D13" s="1150" t="s">
        <v>1373</v>
      </c>
      <c r="E13" s="1150" t="str">
        <f>IF($L$11="kgce", "kgce/hour", IF($L$11="kcal","kCal/hour", IF($L$11="kgoe","kgoe/hour",IF($L$11="MMBtu","MMBtu/hour","Btu/hour"))))</f>
        <v>kCal/hour</v>
      </c>
      <c r="F13" s="1150" t="s">
        <v>1116</v>
      </c>
      <c r="G13" s="1150" t="str">
        <f>D13</f>
        <v>Btu/hour</v>
      </c>
      <c r="H13" s="1150" t="str">
        <f>E13</f>
        <v>kCal/hour</v>
      </c>
      <c r="I13" s="1151" t="s">
        <v>1116</v>
      </c>
      <c r="J13" s="1216"/>
      <c r="K13" s="1216"/>
      <c r="L13" s="1216"/>
      <c r="M13" s="1216"/>
    </row>
    <row r="14" spans="1:17" s="1219" customFormat="1" ht="20.100000000000001" customHeight="1">
      <c r="A14" s="1216"/>
      <c r="B14" s="2117">
        <v>1</v>
      </c>
      <c r="C14" s="2112" t="s">
        <v>464</v>
      </c>
      <c r="D14" s="2170">
        <f>'Load Charge Solid-1'!E156 + 'Load Charge Liquid-1'!E120+'Load Charge Gas-1'!E105</f>
        <v>0</v>
      </c>
      <c r="E14" s="2171">
        <f>D14 / IF($L$11="kcal", $H$28, IF($L$11="kgce",$I$28,IF($L$11="kgoe",$H$27,IF($L$11="MMBtu", $G$27))))</f>
        <v>0</v>
      </c>
      <c r="F14" s="2172" t="str">
        <f>IFERROR(D14/$D$25,"-")</f>
        <v>-</v>
      </c>
      <c r="G14" s="2170">
        <f>'Load Charge Solid-1'!F156+'Load Charge Liquid-1'!F120+'Load Charge Gas-1'!F105</f>
        <v>0</v>
      </c>
      <c r="H14" s="2171">
        <f>G14 / IF($L$11="kcal", $H$28, IF($L$11="kgce",$I$28,IF($L$11="kgoe",$H$27,IF($L$11="MMBtu", $G$27))))</f>
        <v>0</v>
      </c>
      <c r="I14" s="2173" t="str">
        <f>IFERROR(G14/$G$25,"-")</f>
        <v>-</v>
      </c>
      <c r="J14" s="1216"/>
      <c r="K14" s="1216"/>
      <c r="L14" s="1216"/>
      <c r="M14" s="1216"/>
    </row>
    <row r="15" spans="1:17" s="1219" customFormat="1" ht="20.100000000000001" customHeight="1">
      <c r="A15" s="1216"/>
      <c r="B15" s="2118">
        <f>1+B14</f>
        <v>2</v>
      </c>
      <c r="C15" s="2113" t="s">
        <v>466</v>
      </c>
      <c r="D15" s="2174">
        <f>'Fixture losses '!D65</f>
        <v>0</v>
      </c>
      <c r="E15" s="2175">
        <f t="shared" ref="E15:E21" si="0">D15 / IF($L$11="kcal", $H$28, IF($L$11="kgce",$I$28,IF($L$11="kgoe",$H$27,IF($L$11="MMBtu", $G$27))))</f>
        <v>0</v>
      </c>
      <c r="F15" s="2176" t="str">
        <f t="shared" ref="F15:F24" si="1">IFERROR(D15/$D$25,"-")</f>
        <v>-</v>
      </c>
      <c r="G15" s="2174">
        <f>'Fixture losses '!E65</f>
        <v>0</v>
      </c>
      <c r="H15" s="2175">
        <f t="shared" ref="H15:H20" si="2">G15 / IF($L$11="kcal", $H$28, IF($L$11="kgce",$I$28,IF($L$11="kgoe",$H$27,IF($L$11="MMBtu", $G$27))))</f>
        <v>0</v>
      </c>
      <c r="I15" s="2177" t="str">
        <f t="shared" ref="I15:I24" si="3">IFERROR(G15/$G$25,"-")</f>
        <v>-</v>
      </c>
      <c r="J15" s="1216"/>
      <c r="K15" s="1216"/>
      <c r="L15" s="1216"/>
      <c r="M15" s="1216"/>
    </row>
    <row r="16" spans="1:17" s="1219" customFormat="1" ht="20.100000000000001" customHeight="1">
      <c r="A16" s="1216"/>
      <c r="B16" s="2118">
        <f t="shared" ref="B16:B23" si="4">1+B15</f>
        <v>3</v>
      </c>
      <c r="C16" s="2114" t="s">
        <v>956</v>
      </c>
      <c r="D16" s="2174">
        <f>'Wall losses'!D129</f>
        <v>0</v>
      </c>
      <c r="E16" s="2175">
        <f t="shared" si="0"/>
        <v>0</v>
      </c>
      <c r="F16" s="2176" t="str">
        <f t="shared" si="1"/>
        <v>-</v>
      </c>
      <c r="G16" s="2174">
        <f>'Wall losses'!E129</f>
        <v>0</v>
      </c>
      <c r="H16" s="2175">
        <f t="shared" si="2"/>
        <v>0</v>
      </c>
      <c r="I16" s="2177" t="str">
        <f t="shared" si="3"/>
        <v>-</v>
      </c>
      <c r="J16" s="1216"/>
      <c r="K16" s="1216"/>
      <c r="L16" s="1216"/>
      <c r="M16" s="1216"/>
    </row>
    <row r="17" spans="1:17" s="1219" customFormat="1" ht="20.100000000000001" customHeight="1">
      <c r="A17" s="1216"/>
      <c r="B17" s="2118">
        <f t="shared" si="4"/>
        <v>4</v>
      </c>
      <c r="C17" s="2114" t="s">
        <v>469</v>
      </c>
      <c r="D17" s="2174">
        <f>'Water-Air cooling'!D233</f>
        <v>0</v>
      </c>
      <c r="E17" s="2175">
        <f t="shared" si="0"/>
        <v>0</v>
      </c>
      <c r="F17" s="2176" t="str">
        <f t="shared" si="1"/>
        <v>-</v>
      </c>
      <c r="G17" s="2174">
        <f>'Water-Air cooling'!E233</f>
        <v>0</v>
      </c>
      <c r="H17" s="2175">
        <f t="shared" si="2"/>
        <v>0</v>
      </c>
      <c r="I17" s="2177" t="str">
        <f t="shared" si="3"/>
        <v>-</v>
      </c>
      <c r="J17" s="1216"/>
      <c r="K17" s="1216"/>
      <c r="L17" s="1216"/>
      <c r="M17" s="1216"/>
    </row>
    <row r="18" spans="1:17" s="1219" customFormat="1" ht="20.100000000000001" customHeight="1">
      <c r="A18" s="1216"/>
      <c r="B18" s="2118">
        <f t="shared" si="4"/>
        <v>5</v>
      </c>
      <c r="C18" s="2114" t="s">
        <v>471</v>
      </c>
      <c r="D18" s="2174">
        <f>'Atmosphere losses'!D50</f>
        <v>0</v>
      </c>
      <c r="E18" s="2175">
        <f t="shared" si="0"/>
        <v>0</v>
      </c>
      <c r="F18" s="2176" t="str">
        <f t="shared" si="1"/>
        <v>-</v>
      </c>
      <c r="G18" s="2174">
        <f>'Atmosphere losses'!E50</f>
        <v>0</v>
      </c>
      <c r="H18" s="2175">
        <f t="shared" si="2"/>
        <v>0</v>
      </c>
      <c r="I18" s="2177" t="str">
        <f t="shared" si="3"/>
        <v>-</v>
      </c>
      <c r="J18" s="1216"/>
      <c r="K18" s="1216"/>
      <c r="L18" s="1216"/>
      <c r="M18" s="1216"/>
    </row>
    <row r="19" spans="1:17" s="1219" customFormat="1" ht="20.100000000000001" customHeight="1">
      <c r="A19" s="1216"/>
      <c r="B19" s="2118">
        <f t="shared" si="4"/>
        <v>6</v>
      </c>
      <c r="C19" s="2114" t="s">
        <v>473</v>
      </c>
      <c r="D19" s="2178">
        <f>'Radiation losses from opening'!D160</f>
        <v>0</v>
      </c>
      <c r="E19" s="2175">
        <f t="shared" si="0"/>
        <v>0</v>
      </c>
      <c r="F19" s="2176" t="str">
        <f t="shared" si="1"/>
        <v>-</v>
      </c>
      <c r="G19" s="2178">
        <f>'Radiation losses from opening'!E160</f>
        <v>0</v>
      </c>
      <c r="H19" s="2175">
        <f t="shared" si="2"/>
        <v>0</v>
      </c>
      <c r="I19" s="2177" t="str">
        <f t="shared" si="3"/>
        <v>-</v>
      </c>
      <c r="J19" s="1216"/>
      <c r="K19" s="1216"/>
      <c r="L19" s="1216"/>
      <c r="M19" s="1216"/>
    </row>
    <row r="20" spans="1:17" s="1219" customFormat="1" ht="20.100000000000001" customHeight="1">
      <c r="A20" s="1216"/>
      <c r="B20" s="2118">
        <f t="shared" si="4"/>
        <v>7</v>
      </c>
      <c r="C20" s="2114" t="s">
        <v>474</v>
      </c>
      <c r="D20" s="2178">
        <f>'9- Other heat loss'!E59</f>
        <v>0</v>
      </c>
      <c r="E20" s="2175">
        <f t="shared" si="0"/>
        <v>0</v>
      </c>
      <c r="F20" s="2176" t="str">
        <f t="shared" si="1"/>
        <v>-</v>
      </c>
      <c r="G20" s="2178">
        <f>'9- Other heat loss'!F59</f>
        <v>0</v>
      </c>
      <c r="H20" s="2175">
        <f t="shared" si="2"/>
        <v>0</v>
      </c>
      <c r="I20" s="2177" t="str">
        <f t="shared" si="3"/>
        <v>-</v>
      </c>
      <c r="J20" s="1216"/>
      <c r="K20" s="1216"/>
      <c r="L20" s="1216"/>
      <c r="M20" s="1216"/>
    </row>
    <row r="21" spans="1:17" s="1218" customFormat="1" ht="20.100000000000001" customHeight="1">
      <c r="A21" s="1181"/>
      <c r="B21" s="2119">
        <f t="shared" si="4"/>
        <v>8</v>
      </c>
      <c r="C21" s="2115" t="s">
        <v>478</v>
      </c>
      <c r="D21" s="2179">
        <f>SUM(D14:D20)</f>
        <v>0</v>
      </c>
      <c r="E21" s="2180">
        <f t="shared" si="0"/>
        <v>0</v>
      </c>
      <c r="F21" s="2176"/>
      <c r="G21" s="2179">
        <f>SUM(G14:G20)</f>
        <v>0</v>
      </c>
      <c r="H21" s="2180">
        <f>G21 / IF($L$11="kcal", $H$28, IF($L$11="kgce",$I$28,IF($L$11="kgoe",$H$27,IF($L$11="MMBtu", $G$27))))</f>
        <v>0</v>
      </c>
      <c r="I21" s="2177"/>
      <c r="J21" s="1181"/>
      <c r="K21" s="1181"/>
      <c r="L21" s="1181"/>
      <c r="M21" s="1181"/>
      <c r="Q21" s="1219"/>
    </row>
    <row r="22" spans="1:17" s="1218" customFormat="1" ht="20.100000000000001" customHeight="1">
      <c r="A22" s="1181"/>
      <c r="B22" s="2118">
        <f t="shared" si="4"/>
        <v>9</v>
      </c>
      <c r="C22" s="2114" t="s">
        <v>39</v>
      </c>
      <c r="D22" s="2181">
        <f>'Flue gases'!D14/100</f>
        <v>0.90133904135354603</v>
      </c>
      <c r="E22" s="2181">
        <f>D22</f>
        <v>0.90133904135354603</v>
      </c>
      <c r="F22" s="2176"/>
      <c r="G22" s="2181">
        <f>'Flue gases'!E14/100</f>
        <v>0.93921085999999998</v>
      </c>
      <c r="H22" s="2181">
        <f>G22</f>
        <v>0.93921085999999998</v>
      </c>
      <c r="I22" s="2177"/>
      <c r="J22" s="1181"/>
      <c r="K22" s="1181"/>
      <c r="L22" s="1181"/>
      <c r="M22" s="1181"/>
      <c r="Q22" s="1219"/>
    </row>
    <row r="23" spans="1:17" s="1218" customFormat="1" ht="20.100000000000001" customHeight="1">
      <c r="A23" s="1181"/>
      <c r="B23" s="2118">
        <f t="shared" si="4"/>
        <v>10</v>
      </c>
      <c r="C23" s="2114" t="s">
        <v>480</v>
      </c>
      <c r="D23" s="2178">
        <f>D21/(D22)-D21</f>
        <v>0</v>
      </c>
      <c r="E23" s="2182">
        <f>E21/(E22)-E21</f>
        <v>0</v>
      </c>
      <c r="F23" s="2176" t="str">
        <f t="shared" si="1"/>
        <v>-</v>
      </c>
      <c r="G23" s="2178">
        <f>G21/(G22)-G21</f>
        <v>0</v>
      </c>
      <c r="H23" s="2175">
        <f>G23 / IF($L$11="kcal", $H$28, IF($L$11="kgce",$I$28,IF($L$11="kgoe",$H$27,IF($L$11="MMBtu", $G$27))))</f>
        <v>0</v>
      </c>
      <c r="I23" s="2177" t="str">
        <f t="shared" si="3"/>
        <v>-</v>
      </c>
      <c r="J23" s="1181"/>
      <c r="K23" s="1181"/>
      <c r="L23" s="1131"/>
      <c r="M23" s="1181"/>
      <c r="Q23" s="137"/>
    </row>
    <row r="24" spans="1:17" s="1218" customFormat="1" ht="20.100000000000001" customHeight="1" thickBot="1">
      <c r="A24" s="1181"/>
      <c r="B24" s="2120"/>
      <c r="C24" s="2116" t="s">
        <v>476</v>
      </c>
      <c r="D24" s="2183">
        <f>-1*('Load Charge Solid-1'!K156+'Load Charge Liquid-1'!K120+'Load Charge Gas-1'!K105)</f>
        <v>0</v>
      </c>
      <c r="E24" s="2184">
        <f>D24 / IF($L$11="kcal", $H$28, IF($L$11="kgce",$I$28,IF($L$11="kgoe",$H$27,IF($L$11="MMBtu", $G$27))))</f>
        <v>0</v>
      </c>
      <c r="F24" s="2185" t="str">
        <f t="shared" si="1"/>
        <v>-</v>
      </c>
      <c r="G24" s="2183">
        <f>-1*('Load Charge Solid-1'!L156+'Load Charge Liquid-1'!L120+'Load Charge Gas-1'!L105)</f>
        <v>0</v>
      </c>
      <c r="H24" s="2184">
        <f>G24 / IF($L$11="kcal", $H$28, IF($L$11="kgce",$I$28,IF($L$11="kgoe",$H$27,IF($L$11="MMBtu", $G$27))))</f>
        <v>0</v>
      </c>
      <c r="I24" s="2186" t="str">
        <f t="shared" si="3"/>
        <v>-</v>
      </c>
      <c r="J24" s="1181"/>
      <c r="K24" s="1181"/>
      <c r="L24" s="1131"/>
      <c r="M24" s="1181"/>
      <c r="Q24" s="137"/>
    </row>
    <row r="25" spans="1:17" s="1218" customFormat="1" ht="20.100000000000001" customHeight="1" thickBot="1">
      <c r="A25" s="1181"/>
      <c r="B25" s="1227"/>
      <c r="C25" s="1228" t="s">
        <v>481</v>
      </c>
      <c r="D25" s="1229">
        <f>D21+D23+D24</f>
        <v>0</v>
      </c>
      <c r="E25" s="2151">
        <f>D25 / IF($L$11="kcal", $H$28, IF($L$11="kgce",$I$28,IF($L$11="kgoe",$H$27,IF($L$11="MMBtu", $G$27))))</f>
        <v>0</v>
      </c>
      <c r="F25" s="1230">
        <f>SUM(F14:F24)</f>
        <v>0</v>
      </c>
      <c r="G25" s="1229">
        <f>G21+G23+G24</f>
        <v>0</v>
      </c>
      <c r="H25" s="2151">
        <f>G25 / IF($L$11="kcal", $H$28, IF($L$11="kgce",$I$28,IF($L$11="kgoe",$H$27,IF($L$11="MMBtu", $G$27))))</f>
        <v>0</v>
      </c>
      <c r="I25" s="1231">
        <f>SUM(I14:I24)</f>
        <v>0</v>
      </c>
      <c r="J25" s="1181"/>
      <c r="K25" s="1232"/>
      <c r="L25" s="1181"/>
      <c r="M25" s="1181"/>
      <c r="Q25" s="1219"/>
    </row>
    <row r="26" spans="1:17" s="1218" customFormat="1" ht="20.100000000000001" customHeight="1" thickBot="1">
      <c r="A26" s="1181"/>
      <c r="B26" s="1233"/>
      <c r="C26" s="1270"/>
      <c r="D26" s="1237"/>
      <c r="E26" s="1237"/>
      <c r="F26" s="1238"/>
      <c r="G26" s="1237"/>
      <c r="H26" s="1237"/>
      <c r="I26" s="1238"/>
      <c r="J26" s="1181"/>
      <c r="K26" s="1181"/>
      <c r="L26" s="1181"/>
      <c r="M26" s="1181"/>
      <c r="Q26" s="1219"/>
    </row>
    <row r="27" spans="1:17" s="1218" customFormat="1" ht="20.100000000000001" hidden="1" customHeight="1">
      <c r="A27" s="1181"/>
      <c r="B27" s="987"/>
      <c r="C27" s="1234"/>
      <c r="D27" s="1235"/>
      <c r="E27" s="1235"/>
      <c r="F27" s="1236"/>
      <c r="G27" s="1239">
        <f>10^6</f>
        <v>1000000</v>
      </c>
      <c r="H27" s="1239">
        <v>39683</v>
      </c>
      <c r="I27" s="1240">
        <v>3.9652599999999998</v>
      </c>
      <c r="J27" s="1241">
        <v>2.2050000000000001</v>
      </c>
      <c r="K27" s="1181"/>
      <c r="L27" s="1181"/>
      <c r="M27" s="1181"/>
      <c r="Q27" s="1219"/>
    </row>
    <row r="28" spans="1:17" s="1218" customFormat="1" ht="17.25" hidden="1" customHeight="1" thickBot="1">
      <c r="A28" s="1181"/>
      <c r="B28" s="987"/>
      <c r="C28" s="1234"/>
      <c r="D28" s="1235"/>
      <c r="E28" s="1242">
        <f>'Load Charge Solid-1'!I156+'Load Charge Liquid-1'!I120+'Load Charge Gas-1'!I105</f>
        <v>0</v>
      </c>
      <c r="F28" s="1242">
        <f>'Load Charge Solid-1'!J156+'Load Charge Liquid-1'!J120+'Load Charge Gas-1'!J105</f>
        <v>0</v>
      </c>
      <c r="G28" s="1237"/>
      <c r="H28" s="1243">
        <v>3.9683000000000002</v>
      </c>
      <c r="I28" s="1244">
        <v>27766</v>
      </c>
      <c r="J28" s="1181"/>
      <c r="K28" s="1181"/>
      <c r="L28" s="1181"/>
      <c r="M28" s="1181"/>
      <c r="Q28" s="1219"/>
    </row>
    <row r="29" spans="1:17" s="1218" customFormat="1" ht="33" customHeight="1" thickBot="1">
      <c r="A29" s="1181"/>
      <c r="B29" s="2211"/>
      <c r="C29" s="1146" t="s">
        <v>1243</v>
      </c>
      <c r="D29" s="1147" t="s">
        <v>482</v>
      </c>
      <c r="E29" s="1147" t="s">
        <v>483</v>
      </c>
      <c r="F29" s="1148" t="s">
        <v>760</v>
      </c>
      <c r="G29" s="1134"/>
      <c r="H29" s="1135"/>
      <c r="I29" s="1136"/>
      <c r="J29" s="1246"/>
      <c r="K29" s="1181"/>
      <c r="L29" s="1181"/>
      <c r="M29" s="1181"/>
      <c r="Q29" s="1219"/>
    </row>
    <row r="30" spans="1:17" s="1219" customFormat="1" ht="20.100000000000001" customHeight="1">
      <c r="A30" s="1216"/>
      <c r="B30" s="2211"/>
      <c r="C30" s="1153" t="s">
        <v>484</v>
      </c>
      <c r="D30" s="1154"/>
      <c r="E30" s="1154"/>
      <c r="F30" s="1155"/>
      <c r="G30" s="1137"/>
      <c r="H30" s="1135"/>
      <c r="I30" s="1138"/>
      <c r="J30" s="1216"/>
      <c r="K30" s="1216"/>
      <c r="L30" s="1216"/>
      <c r="M30" s="1216"/>
    </row>
    <row r="31" spans="1:17" s="1219" customFormat="1" ht="20.100000000000001" customHeight="1">
      <c r="A31" s="1216"/>
      <c r="B31" s="2211"/>
      <c r="C31" s="2406" t="s">
        <v>1612</v>
      </c>
      <c r="D31" s="1247" t="s">
        <v>1347</v>
      </c>
      <c r="E31" s="1248" t="str">
        <f>IF(E28 &gt; 0, D25/E28, "-")</f>
        <v>-</v>
      </c>
      <c r="F31" s="1249" t="str">
        <f>IF(F28 &gt; 0, G25/F28, "-")</f>
        <v>-</v>
      </c>
      <c r="G31" s="1250"/>
      <c r="H31" s="1135"/>
      <c r="I31" s="1251"/>
      <c r="J31" s="1216"/>
      <c r="K31" s="1216"/>
      <c r="L31" s="1216"/>
      <c r="M31" s="1216"/>
    </row>
    <row r="32" spans="1:17" s="1219" customFormat="1" ht="20.100000000000001" customHeight="1">
      <c r="A32" s="1216"/>
      <c r="B32" s="2211"/>
      <c r="C32" s="2407"/>
      <c r="D32" s="1247" t="str">
        <f>IF($L$11="kgce","kgce/kg",IF($L$11="kgoe","kgoe/kg",IF($L$11="kcal","kcal/lb",IF($L$11="MMBtu","MMBtu/lb","Btu/lb"))))</f>
        <v>kcal/lb</v>
      </c>
      <c r="E32" s="2153" t="str">
        <f>IFERROR(IF($D$32="kgce/kg", E31/$I$28*$J$27,IF($D$32="kgoe/kg", E31/$H$27*$J$27,  IF($D$32="kcal/lb",E31/$I$27,IF($D$32="MMBtu/lb",E31/$G$27,"-")))),"-")</f>
        <v>-</v>
      </c>
      <c r="F32" s="2154" t="str">
        <f>IFERROR(IF($D$32="kgce/kg", F31/$I$28*$J$27,IF($D$32="kgoe/kg", F31/$H$27*$J$27,  IF($D$32="kcal/lb",F31/$I$27,IF($D$32="MMBtu/lb",F31/$G$27,"-")))),"-")</f>
        <v>-</v>
      </c>
      <c r="G32" s="1250"/>
      <c r="H32" s="1135"/>
      <c r="I32" s="1251"/>
      <c r="J32" s="1216"/>
      <c r="K32" s="1216"/>
      <c r="L32" s="1216"/>
      <c r="M32" s="1216"/>
    </row>
    <row r="33" spans="1:17" s="1219" customFormat="1" ht="20.100000000000001" customHeight="1">
      <c r="A33" s="1216"/>
      <c r="B33" s="2211"/>
      <c r="C33" s="2405" t="s">
        <v>1613</v>
      </c>
      <c r="D33" s="1252" t="s">
        <v>1373</v>
      </c>
      <c r="E33" s="1253">
        <f>D25</f>
        <v>0</v>
      </c>
      <c r="F33" s="1254">
        <f>G25</f>
        <v>0</v>
      </c>
      <c r="G33" s="1250"/>
      <c r="H33" s="1135"/>
      <c r="I33" s="1251"/>
      <c r="J33" s="1216"/>
      <c r="K33" s="1216"/>
      <c r="L33" s="1216"/>
      <c r="M33" s="1216"/>
    </row>
    <row r="34" spans="1:17" s="1219" customFormat="1" ht="20.100000000000001" customHeight="1">
      <c r="A34" s="1216"/>
      <c r="B34" s="2211"/>
      <c r="C34" s="2356"/>
      <c r="D34" s="1252" t="str">
        <f>IF($L$11="kgce", "kgce/hour", IF($L$11="kcal","kcal/hour", IF($L$11="kgoe","kgoe/hour",IF($L$11="MMBtu","MMBtu/hour","Btu/hour"))))</f>
        <v>kcal/hour</v>
      </c>
      <c r="E34" s="2152">
        <f>E33/ IF($L$11="kcal", $H$28, IF($L$11="kgce",$I$28,IF($L$11="kgoe",$H$27,IF($L$11="MMBtu", $G$27))))</f>
        <v>0</v>
      </c>
      <c r="F34" s="2152">
        <f>F33/ IF($L$11="kcal", $H$28, IF($L$11="kgce",$I$28,IF($L$11="kgoe",$H$27,IF($L$11="MMBtu", $G$27))))</f>
        <v>0</v>
      </c>
      <c r="G34" s="1250"/>
      <c r="H34" s="1135"/>
      <c r="I34" s="1251"/>
      <c r="J34" s="1216"/>
      <c r="K34" s="1216"/>
      <c r="L34" s="1216"/>
      <c r="M34" s="1216"/>
    </row>
    <row r="35" spans="1:17" s="1219" customFormat="1" ht="20.100000000000001" customHeight="1">
      <c r="A35" s="1216"/>
      <c r="B35" s="2211"/>
      <c r="C35" s="1157" t="s">
        <v>1614</v>
      </c>
      <c r="D35" s="1255" t="s">
        <v>1163</v>
      </c>
      <c r="E35" s="1256">
        <f>'8- Power- Motor driven  systems'!D83</f>
        <v>0</v>
      </c>
      <c r="F35" s="1257">
        <f>'8- Power- Motor driven  systems'!E83</f>
        <v>0</v>
      </c>
      <c r="G35" s="1250"/>
      <c r="H35" s="1135"/>
      <c r="I35" s="1251"/>
      <c r="J35" s="1216"/>
      <c r="K35" s="1216"/>
      <c r="L35" s="1216"/>
      <c r="M35" s="1216"/>
    </row>
    <row r="36" spans="1:17" s="1219" customFormat="1" ht="20.100000000000001" customHeight="1">
      <c r="A36" s="1216"/>
      <c r="B36" s="2211"/>
      <c r="C36" s="1158" t="s">
        <v>1641</v>
      </c>
      <c r="D36" s="1258"/>
      <c r="E36" s="2212"/>
      <c r="F36" s="1259"/>
      <c r="G36" s="1250"/>
      <c r="H36" s="1135"/>
      <c r="I36" s="1251"/>
      <c r="J36" s="1216"/>
      <c r="K36" s="1216"/>
      <c r="L36" s="1216"/>
      <c r="M36" s="1216"/>
    </row>
    <row r="37" spans="1:17" s="1219" customFormat="1" ht="20.100000000000001" customHeight="1">
      <c r="A37" s="1216"/>
      <c r="B37" s="2211"/>
      <c r="C37" s="2355" t="s">
        <v>1616</v>
      </c>
      <c r="D37" s="1260" t="s">
        <v>1373</v>
      </c>
      <c r="E37" s="1261" t="str">
        <f>IFERROR('Process Heating Equipment'!D20/'Process Heating Equipment'!D12*10^6,"-")</f>
        <v>-</v>
      </c>
      <c r="F37" s="2357"/>
      <c r="G37" s="1250"/>
      <c r="H37" s="1135"/>
      <c r="I37" s="1251"/>
      <c r="J37" s="1216"/>
      <c r="K37" s="1216"/>
      <c r="L37" s="1216"/>
      <c r="M37" s="1216"/>
    </row>
    <row r="38" spans="1:17" s="1219" customFormat="1" ht="20.100000000000001" customHeight="1">
      <c r="A38" s="1216"/>
      <c r="B38" s="2211"/>
      <c r="C38" s="2356"/>
      <c r="D38" s="1262" t="str">
        <f>IF($L$11="kgce", "kgce/hour", IF($L$11="kcal","kcal/hour", IF($L$11="kgoe","kgoe/hour",IF($L$11="MMBtu","MMBtu/hour","Btu/hour"))))</f>
        <v>kcal/hour</v>
      </c>
      <c r="E38" s="2152" t="str">
        <f>IFERROR(E37/ IF($L$11="kcal", $H$28, IF($L$11="kgce",$I$28,IF($L$11="kgoe",$H$27,IF($L$11="MMBtu", $G$27)))),"-")</f>
        <v>-</v>
      </c>
      <c r="F38" s="2358"/>
      <c r="G38" s="1250"/>
      <c r="H38" s="1135"/>
      <c r="I38" s="1251"/>
      <c r="J38" s="1216"/>
      <c r="K38" s="1216"/>
      <c r="L38" s="1216"/>
      <c r="M38" s="1216"/>
    </row>
    <row r="39" spans="1:17" s="1219" customFormat="1" ht="20.100000000000001" customHeight="1">
      <c r="A39" s="1216"/>
      <c r="B39" s="2211"/>
      <c r="C39" s="1156" t="s">
        <v>1642</v>
      </c>
      <c r="D39" s="1263" t="s">
        <v>1163</v>
      </c>
      <c r="E39" s="1256">
        <f>E35</f>
        <v>0</v>
      </c>
      <c r="F39" s="2358"/>
      <c r="G39" s="1250"/>
      <c r="H39" s="1135"/>
      <c r="I39" s="1251"/>
      <c r="J39" s="1216"/>
      <c r="K39" s="1216"/>
      <c r="L39" s="1216"/>
      <c r="M39" s="1216"/>
    </row>
    <row r="40" spans="1:17" s="1219" customFormat="1" ht="20.100000000000001" customHeight="1">
      <c r="A40" s="1216"/>
      <c r="B40" s="2211"/>
      <c r="C40" s="2360" t="s">
        <v>1612</v>
      </c>
      <c r="D40" s="1265" t="s">
        <v>1347</v>
      </c>
      <c r="E40" s="1266" t="str">
        <f>IFERROR(IF(E28 &gt; 0, E37/E28, "-"),"")</f>
        <v>-</v>
      </c>
      <c r="F40" s="2358"/>
      <c r="G40" s="1250"/>
      <c r="H40" s="1135"/>
      <c r="I40" s="1251"/>
      <c r="J40" s="1216"/>
      <c r="K40" s="1216"/>
      <c r="L40" s="1216"/>
      <c r="M40" s="1216"/>
    </row>
    <row r="41" spans="1:17" s="1219" customFormat="1" ht="20.100000000000001" customHeight="1" thickBot="1">
      <c r="A41" s="1216"/>
      <c r="B41" s="2211"/>
      <c r="C41" s="2361"/>
      <c r="D41" s="1268" t="str">
        <f>IF($L$11="kgce","kgce/kg",IF($L$11="kgoe","kgoe/kg",IF($L$11="kcal","kcal/lb",IF($L$11="MMBtu","MMBtu/lb","Btu/lb"))))</f>
        <v>kcal/lb</v>
      </c>
      <c r="E41" s="2155" t="str">
        <f>IFERROR(IF($D$41="kgce/kg", E40/$I$28*$J$27,IF($D$41="kgoe/kg", E40/$H$27*$J$27,  IF($D$41="kcal/lb",E40/$I$27,IF($D$41="MMBtu/lb",E40/$G$27,"-")))),"-")</f>
        <v>-</v>
      </c>
      <c r="F41" s="2359"/>
      <c r="G41" s="1250"/>
      <c r="H41" s="1135"/>
      <c r="I41" s="1251"/>
      <c r="J41" s="1216"/>
      <c r="K41" s="1216"/>
      <c r="L41" s="1216"/>
      <c r="M41" s="1216"/>
    </row>
    <row r="42" spans="1:17" s="1219" customFormat="1" ht="20.100000000000001" customHeight="1">
      <c r="A42" s="1216"/>
      <c r="B42" s="2211"/>
      <c r="C42" s="1158" t="s">
        <v>485</v>
      </c>
      <c r="D42" s="1258"/>
      <c r="E42" s="2212"/>
      <c r="F42" s="1259"/>
      <c r="G42" s="1237"/>
      <c r="H42" s="1135"/>
      <c r="I42" s="1251"/>
      <c r="J42" s="1216"/>
      <c r="K42" s="1216"/>
      <c r="L42" s="1216"/>
      <c r="M42" s="1216"/>
    </row>
    <row r="43" spans="1:17" s="1219" customFormat="1" ht="20.100000000000001" customHeight="1">
      <c r="A43" s="1216"/>
      <c r="B43" s="2211" t="s">
        <v>1113</v>
      </c>
      <c r="C43" s="2403" t="s">
        <v>1616</v>
      </c>
      <c r="D43" s="1260" t="s">
        <v>1373</v>
      </c>
      <c r="E43" s="1261">
        <f>'Process Heating Equipment'!D26+'Process Heating Equipment'!E26</f>
        <v>0</v>
      </c>
      <c r="F43" s="2357"/>
      <c r="G43" s="1237"/>
      <c r="H43" s="1135"/>
      <c r="I43" s="1238"/>
      <c r="J43" s="1216"/>
      <c r="K43" s="1216"/>
      <c r="L43" s="1216"/>
      <c r="M43" s="1216"/>
    </row>
    <row r="44" spans="1:17" s="1219" customFormat="1" ht="20.100000000000001" customHeight="1">
      <c r="A44" s="1216"/>
      <c r="B44" s="2211"/>
      <c r="C44" s="2404"/>
      <c r="D44" s="1262" t="str">
        <f>IF($L$11="kgce", "kgce/hour", IF($L$11="kcal","kcal/hour", IF($L$11="kgoe","kgoe/hour",IF($L$11="MMBtu","MMBtu/hour","Btu/hour"))))</f>
        <v>kcal/hour</v>
      </c>
      <c r="E44" s="2152">
        <f>E43/ IF($L$11="kcal", $H$28, IF($L$11="kgce",$I$28,IF($L$11="kgoe",$H$27,IF($L$11="MMBtu", $G$27))))</f>
        <v>0</v>
      </c>
      <c r="F44" s="2358"/>
      <c r="G44" s="1237"/>
      <c r="H44" s="1135"/>
      <c r="I44" s="1238"/>
      <c r="J44" s="1216"/>
      <c r="K44" s="1216"/>
      <c r="L44" s="1216"/>
      <c r="M44" s="1216"/>
    </row>
    <row r="45" spans="1:17" s="1219" customFormat="1" ht="20.100000000000001" customHeight="1">
      <c r="A45" s="1216"/>
      <c r="B45" s="2211"/>
      <c r="C45" s="1156" t="s">
        <v>1615</v>
      </c>
      <c r="D45" s="1263" t="s">
        <v>1163</v>
      </c>
      <c r="E45" s="1256" t="str">
        <f>'Process Heating Equipment'!D29</f>
        <v/>
      </c>
      <c r="F45" s="2358"/>
      <c r="G45" s="1264"/>
      <c r="H45" s="1139"/>
      <c r="I45" s="1238"/>
      <c r="J45" s="1216"/>
      <c r="K45" s="1216"/>
      <c r="L45" s="1216"/>
      <c r="M45" s="1216"/>
    </row>
    <row r="46" spans="1:17" s="1219" customFormat="1" ht="20.100000000000001" customHeight="1">
      <c r="A46" s="1216"/>
      <c r="B46" s="987"/>
      <c r="C46" s="2401" t="s">
        <v>1617</v>
      </c>
      <c r="D46" s="1265" t="s">
        <v>1347</v>
      </c>
      <c r="E46" s="1266" t="str">
        <f>IF(E28 &gt; 0, E43/E28, "-")</f>
        <v>-</v>
      </c>
      <c r="F46" s="2358"/>
      <c r="G46" s="1267"/>
      <c r="H46" s="1140"/>
      <c r="I46" s="1238"/>
      <c r="J46" s="1216"/>
      <c r="K46" s="1216"/>
      <c r="L46" s="1216"/>
      <c r="M46" s="1216"/>
    </row>
    <row r="47" spans="1:17" s="1218" customFormat="1" ht="20.100000000000001" customHeight="1" thickBot="1">
      <c r="A47" s="1181"/>
      <c r="B47" s="987"/>
      <c r="C47" s="2402"/>
      <c r="D47" s="1268" t="str">
        <f>IF($L$11="kgce","kgce/kg",IF($L$11="kgoe","kgoe/kg",IF($L$11="kcal","kcal/lb",IF($L$11="MMBtu","MMBtu/lb","Btu/lb"))))</f>
        <v>kcal/lb</v>
      </c>
      <c r="E47" s="2155" t="str">
        <f>IFERROR(IF($D$47="kgce/kg", E46/$I$28*$J$27,IF($D$47="kgoe/kg", E46/$H$27*$J$27,  IF($D$47="kcal/lb",E46/$I$27,IF($D$47="MMBtu/lb",E46/$G$27,"-")))),"-")</f>
        <v>-</v>
      </c>
      <c r="F47" s="2359"/>
      <c r="G47" s="1267"/>
      <c r="H47" s="1238"/>
      <c r="I47" s="1269"/>
      <c r="J47" s="1181"/>
      <c r="K47" s="1181"/>
      <c r="L47" s="1181"/>
      <c r="M47" s="1181"/>
      <c r="Q47" s="1219"/>
    </row>
    <row r="48" spans="1:17" s="1181" customFormat="1" ht="20.100000000000001" customHeight="1">
      <c r="B48" s="987"/>
      <c r="C48" s="1270"/>
      <c r="D48" s="1267"/>
      <c r="E48" s="1267"/>
      <c r="F48" s="1238"/>
      <c r="G48" s="1267"/>
      <c r="H48" s="1267"/>
      <c r="I48" s="1238"/>
      <c r="Q48" s="1216"/>
    </row>
    <row r="49" spans="2:17" s="1181" customFormat="1" hidden="1">
      <c r="G49" s="1226"/>
      <c r="H49" s="1226"/>
      <c r="I49" s="1226"/>
      <c r="Q49" s="1216"/>
    </row>
    <row r="50" spans="2:17" s="1177" customFormat="1" ht="27.75" hidden="1" customHeight="1">
      <c r="F50" s="1271"/>
      <c r="I50" s="1272"/>
      <c r="Q50" s="1182"/>
    </row>
    <row r="51" spans="2:17" s="1177" customFormat="1" hidden="1">
      <c r="Q51" s="1182"/>
    </row>
    <row r="52" spans="2:17" s="1177" customFormat="1" hidden="1">
      <c r="B52" s="1273" t="s">
        <v>773</v>
      </c>
      <c r="I52" s="1274" t="s">
        <v>771</v>
      </c>
      <c r="Q52" s="1182"/>
    </row>
    <row r="53" spans="2:17" s="1177" customFormat="1" hidden="1">
      <c r="B53" s="1273" t="s">
        <v>13</v>
      </c>
      <c r="I53" s="1274" t="s">
        <v>772</v>
      </c>
      <c r="Q53" s="1182"/>
    </row>
    <row r="54" spans="2:17" s="1177" customFormat="1" hidden="1">
      <c r="B54" s="1273" t="s">
        <v>14</v>
      </c>
      <c r="I54" s="1274" t="s">
        <v>770</v>
      </c>
      <c r="Q54" s="1182"/>
    </row>
    <row r="55" spans="2:17" s="1177" customFormat="1" hidden="1">
      <c r="B55" s="1273" t="s">
        <v>13</v>
      </c>
      <c r="Q55" s="1182"/>
    </row>
    <row r="56" spans="2:17" s="1177" customFormat="1" hidden="1">
      <c r="B56" s="1273" t="s">
        <v>14</v>
      </c>
      <c r="Q56" s="1182"/>
    </row>
    <row r="57" spans="2:17" s="1177" customFormat="1" hidden="1">
      <c r="B57" s="1273" t="s">
        <v>771</v>
      </c>
      <c r="Q57" s="1182"/>
    </row>
    <row r="58" spans="2:17" s="1177" customFormat="1" hidden="1">
      <c r="B58" s="1273" t="s">
        <v>772</v>
      </c>
      <c r="Q58" s="1182"/>
    </row>
    <row r="59" spans="2:17" s="1177" customFormat="1" hidden="1">
      <c r="B59" s="1275" t="s">
        <v>770</v>
      </c>
      <c r="Q59" s="1182"/>
    </row>
    <row r="60" spans="2:17" s="1177" customFormat="1" hidden="1">
      <c r="Q60" s="1182"/>
    </row>
    <row r="61" spans="2:17" s="1177" customFormat="1" hidden="1">
      <c r="Q61" s="1182"/>
    </row>
    <row r="62" spans="2:17" s="1177" customFormat="1" hidden="1">
      <c r="Q62" s="1182"/>
    </row>
    <row r="63" spans="2:17" s="1177" customFormat="1" hidden="1">
      <c r="Q63" s="1182"/>
    </row>
    <row r="64" spans="2:17" s="1177" customFormat="1" hidden="1">
      <c r="Q64" s="1182"/>
    </row>
    <row r="65" hidden="1"/>
    <row r="66" hidden="1"/>
    <row r="67" hidden="1"/>
    <row r="68" hidden="1"/>
    <row r="69" hidden="1"/>
    <row r="70" hidden="1"/>
    <row r="71" hidden="1"/>
    <row r="72" hidden="1"/>
    <row r="73" hidden="1"/>
    <row r="74" hidden="1"/>
    <row r="75" hidden="1"/>
    <row r="76" hidden="1"/>
    <row r="77" hidden="1"/>
    <row r="78" hidden="1"/>
    <row r="79" hidden="1"/>
    <row r="80" hidden="1"/>
    <row r="81" spans="9:9" hidden="1"/>
    <row r="82" spans="9:9" hidden="1"/>
    <row r="83" spans="9:9" hidden="1"/>
    <row r="84" spans="9:9" hidden="1"/>
    <row r="85" spans="9:9" hidden="1"/>
    <row r="86" spans="9:9" hidden="1"/>
    <row r="87" spans="9:9" hidden="1"/>
    <row r="88" spans="9:9" hidden="1"/>
    <row r="89" spans="9:9" hidden="1"/>
    <row r="90" spans="9:9" hidden="1"/>
    <row r="91" spans="9:9" hidden="1"/>
    <row r="92" spans="9:9" ht="13.5" hidden="1" thickBot="1"/>
    <row r="93" spans="9:9" ht="13.5" hidden="1" thickBot="1">
      <c r="I93" s="1276"/>
    </row>
  </sheetData>
  <sheetProtection password="B61E" sheet="1" objects="1" scenarios="1"/>
  <mergeCells count="28">
    <mergeCell ref="L8:L10"/>
    <mergeCell ref="B11:I11"/>
    <mergeCell ref="F43:F47"/>
    <mergeCell ref="G7:I9"/>
    <mergeCell ref="C46:C47"/>
    <mergeCell ref="C43:C44"/>
    <mergeCell ref="D7:F7"/>
    <mergeCell ref="C33:C34"/>
    <mergeCell ref="C31:C32"/>
    <mergeCell ref="C12:C13"/>
    <mergeCell ref="D12:F12"/>
    <mergeCell ref="G12:I12"/>
    <mergeCell ref="B7:C7"/>
    <mergeCell ref="B9:C9"/>
    <mergeCell ref="D9:F9"/>
    <mergeCell ref="B12:B13"/>
    <mergeCell ref="B1:I1"/>
    <mergeCell ref="B2:I2"/>
    <mergeCell ref="B4:I4"/>
    <mergeCell ref="B5:I5"/>
    <mergeCell ref="H6:I6"/>
    <mergeCell ref="B6:C6"/>
    <mergeCell ref="D6:F6"/>
    <mergeCell ref="C37:C38"/>
    <mergeCell ref="F37:F41"/>
    <mergeCell ref="C40:C41"/>
    <mergeCell ref="B8:C8"/>
    <mergeCell ref="D8:F8"/>
  </mergeCells>
  <phoneticPr fontId="84" type="noConversion"/>
  <dataValidations count="1">
    <dataValidation type="list" allowBlank="1" showInputMessage="1" showErrorMessage="1" sqref="L11">
      <formula1>"kgce,kgoe,kcal,MMBtu"</formula1>
    </dataValidation>
  </dataValidations>
  <hyperlinks>
    <hyperlink ref="B59" r:id="rId1" display="mailto:athekdi@e3minc.com"/>
  </hyperlinks>
  <printOptions horizontalCentered="1" verticalCentered="1"/>
  <pageMargins left="0.75" right="0.75" top="0.66" bottom="0.57999999999999996" header="0.5" footer="0.5"/>
  <pageSetup scale="63" orientation="landscape" r:id="rId2"/>
  <headerFooter alignWithMargins="0">
    <oddHeader>&amp;LSummary Report</oddHeader>
    <oddFooter>&amp;LUS Department of Energy&amp;C&amp;P&amp;R&amp;D</oddFooter>
  </headerFooter>
  <drawing r:id="rId3"/>
  <legacyDrawing r:id="rId4"/>
  <controls>
    <mc:AlternateContent xmlns:mc="http://schemas.openxmlformats.org/markup-compatibility/2006">
      <mc:Choice Requires="x14">
        <control shapeId="5275405" r:id="rId5" name="CommandButton1">
          <controlPr defaultSize="0" autoLine="0" r:id="rId6">
            <anchor moveWithCells="1">
              <from>
                <xdr:col>11</xdr:col>
                <xdr:colOff>0</xdr:colOff>
                <xdr:row>22</xdr:row>
                <xdr:rowOff>238125</xdr:rowOff>
              </from>
              <to>
                <xdr:col>12</xdr:col>
                <xdr:colOff>85725</xdr:colOff>
                <xdr:row>25</xdr:row>
                <xdr:rowOff>0</xdr:rowOff>
              </to>
            </anchor>
          </controlPr>
        </control>
      </mc:Choice>
      <mc:Fallback>
        <control shapeId="5275405" r:id="rId5" name="CommandButton1"/>
      </mc:Fallback>
    </mc:AlternateContent>
    <mc:AlternateContent xmlns:mc="http://schemas.openxmlformats.org/markup-compatibility/2006">
      <mc:Choice Requires="x14">
        <control shapeId="5275088" r:id="rId7" name="CommandButtonNextPage">
          <controlPr defaultSize="0" print="0" autoLine="0" r:id="rId8">
            <anchor moveWithCells="1">
              <from>
                <xdr:col>11</xdr:col>
                <xdr:colOff>38100</xdr:colOff>
                <xdr:row>15</xdr:row>
                <xdr:rowOff>190500</xdr:rowOff>
              </from>
              <to>
                <xdr:col>12</xdr:col>
                <xdr:colOff>114300</xdr:colOff>
                <xdr:row>17</xdr:row>
                <xdr:rowOff>200025</xdr:rowOff>
              </to>
            </anchor>
          </controlPr>
        </control>
      </mc:Choice>
      <mc:Fallback>
        <control shapeId="5275088" r:id="rId7" name="CommandButtonNextPage"/>
      </mc:Fallback>
    </mc:AlternateContent>
    <mc:AlternateContent xmlns:mc="http://schemas.openxmlformats.org/markup-compatibility/2006">
      <mc:Choice Requires="x14">
        <control shapeId="5275087" r:id="rId9" name="CommandButtonReturn">
          <controlPr defaultSize="0" print="0" autoLine="0" r:id="rId10">
            <anchor moveWithCells="1">
              <from>
                <xdr:col>11</xdr:col>
                <xdr:colOff>28575</xdr:colOff>
                <xdr:row>19</xdr:row>
                <xdr:rowOff>19050</xdr:rowOff>
              </from>
              <to>
                <xdr:col>12</xdr:col>
                <xdr:colOff>104775</xdr:colOff>
                <xdr:row>21</xdr:row>
                <xdr:rowOff>28575</xdr:rowOff>
              </to>
            </anchor>
          </controlPr>
        </control>
      </mc:Choice>
      <mc:Fallback>
        <control shapeId="5275087" r:id="rId9" name="CommandButtonRetur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B51"/>
  <sheetViews>
    <sheetView topLeftCell="A7" workbookViewId="0">
      <selection activeCell="U25" sqref="U25"/>
    </sheetView>
  </sheetViews>
  <sheetFormatPr defaultColWidth="0" defaultRowHeight="12.75" zeroHeight="1"/>
  <cols>
    <col min="1" max="1" width="5" style="1215" customWidth="1"/>
    <col min="2" max="17" width="9.140625" style="1215" customWidth="1"/>
    <col min="18" max="18" width="11" style="1177" customWidth="1"/>
    <col min="19" max="19" width="14.140625" style="1177" customWidth="1"/>
    <col min="20" max="20" width="8.7109375" style="1177" hidden="1" customWidth="1"/>
    <col min="21" max="21" width="35.5703125" style="1177" hidden="1" customWidth="1"/>
    <col min="22" max="22" width="15.28515625" style="1177" hidden="1" customWidth="1"/>
    <col min="23" max="25" width="9.140625" style="1177" hidden="1" customWidth="1"/>
    <col min="26" max="26" width="13.140625" style="1177" hidden="1" customWidth="1"/>
    <col min="27" max="27" width="14" style="1177" hidden="1" customWidth="1"/>
    <col min="28" max="28" width="8.85546875" style="1177" hidden="1" customWidth="1"/>
    <col min="29" max="16384" width="9.140625" style="1177" hidden="1"/>
  </cols>
  <sheetData>
    <row r="1" spans="1:26" s="1182" customFormat="1" ht="33" customHeight="1">
      <c r="B1" s="2423" t="s">
        <v>1638</v>
      </c>
      <c r="C1" s="2424"/>
      <c r="D1" s="2424"/>
      <c r="E1" s="2424"/>
      <c r="F1" s="2424"/>
      <c r="G1" s="2424"/>
      <c r="H1" s="2424"/>
      <c r="I1" s="2424"/>
      <c r="J1" s="2424"/>
      <c r="K1" s="2424"/>
      <c r="L1" s="2424"/>
      <c r="M1" s="2424"/>
      <c r="N1" s="2424"/>
      <c r="O1" s="2424"/>
      <c r="P1" s="2424"/>
      <c r="Q1" s="2425"/>
    </row>
    <row r="2" spans="1:26" s="1182" customFormat="1" ht="20.100000000000001" customHeight="1" thickBot="1">
      <c r="B2" s="2430" t="s">
        <v>1618</v>
      </c>
      <c r="C2" s="2431"/>
      <c r="D2" s="2431"/>
      <c r="E2" s="2431"/>
      <c r="F2" s="2431"/>
      <c r="G2" s="2431"/>
      <c r="H2" s="2431"/>
      <c r="I2" s="2431"/>
      <c r="J2" s="2431"/>
      <c r="K2" s="2431"/>
      <c r="L2" s="2431"/>
      <c r="M2" s="2431"/>
      <c r="N2" s="2431"/>
      <c r="O2" s="2431"/>
      <c r="P2" s="2431"/>
      <c r="Q2" s="2432"/>
    </row>
    <row r="3" spans="1:26">
      <c r="A3" s="1177"/>
      <c r="B3" s="1177"/>
      <c r="C3" s="1177"/>
      <c r="D3" s="1177"/>
      <c r="E3" s="1177"/>
      <c r="F3" s="1177"/>
      <c r="G3" s="1177"/>
      <c r="H3" s="1177"/>
      <c r="I3" s="1177"/>
      <c r="J3" s="1177"/>
      <c r="K3" s="1177"/>
      <c r="L3" s="1177"/>
      <c r="M3" s="1177"/>
      <c r="N3" s="1177"/>
      <c r="O3" s="1177"/>
      <c r="P3" s="1177"/>
      <c r="Q3" s="1177"/>
    </row>
    <row r="4" spans="1:26" ht="13.5" thickBot="1">
      <c r="A4" s="1177"/>
      <c r="B4" s="1177"/>
      <c r="C4" s="1177"/>
      <c r="D4" s="1177"/>
      <c r="E4" s="1177"/>
      <c r="F4" s="1177"/>
      <c r="G4" s="1177"/>
      <c r="H4" s="1177"/>
      <c r="I4" s="1177"/>
      <c r="J4" s="1177"/>
      <c r="K4" s="1177"/>
      <c r="L4" s="1177"/>
      <c r="M4" s="1177"/>
      <c r="N4" s="1177"/>
      <c r="O4" s="1177"/>
      <c r="P4" s="1177"/>
      <c r="Q4" s="1177"/>
      <c r="Y4" s="1280"/>
      <c r="Z4" s="1280"/>
    </row>
    <row r="5" spans="1:26" ht="12.75" customHeight="1">
      <c r="A5" s="1177"/>
      <c r="B5" s="1177"/>
      <c r="C5" s="2429" t="s">
        <v>761</v>
      </c>
      <c r="D5" s="2429"/>
      <c r="E5" s="2429"/>
      <c r="F5" s="2429"/>
      <c r="G5" s="2429"/>
      <c r="H5" s="2429"/>
      <c r="I5" s="2429"/>
      <c r="J5" s="2429"/>
      <c r="K5" s="2429"/>
      <c r="L5" s="2429"/>
      <c r="M5" s="2429"/>
      <c r="N5" s="2429"/>
      <c r="O5" s="2429"/>
      <c r="P5" s="2429"/>
      <c r="Q5" s="1177"/>
      <c r="R5" s="2419" t="s">
        <v>1009</v>
      </c>
    </row>
    <row r="6" spans="1:26" ht="12.75" customHeight="1">
      <c r="A6" s="1177"/>
      <c r="B6" s="1177"/>
      <c r="C6" s="2429"/>
      <c r="D6" s="2429"/>
      <c r="E6" s="2429"/>
      <c r="F6" s="2429"/>
      <c r="G6" s="2429"/>
      <c r="H6" s="2429"/>
      <c r="I6" s="2429"/>
      <c r="J6" s="2429"/>
      <c r="K6" s="2429"/>
      <c r="L6" s="2429"/>
      <c r="M6" s="2429"/>
      <c r="N6" s="2429"/>
      <c r="O6" s="2429"/>
      <c r="P6" s="2429"/>
      <c r="Q6" s="1177"/>
      <c r="R6" s="2420"/>
      <c r="S6" s="1196"/>
    </row>
    <row r="7" spans="1:26">
      <c r="A7" s="1177"/>
      <c r="B7" s="1177"/>
      <c r="C7" s="1177"/>
      <c r="D7" s="1177"/>
      <c r="E7" s="1177"/>
      <c r="F7" s="1177"/>
      <c r="G7" s="1177"/>
      <c r="H7" s="1177"/>
      <c r="I7" s="1177"/>
      <c r="J7" s="1177"/>
      <c r="K7" s="1177"/>
      <c r="L7" s="1177"/>
      <c r="M7" s="1177"/>
      <c r="N7" s="1177"/>
      <c r="O7" s="1177"/>
      <c r="P7" s="1177"/>
      <c r="Q7" s="1196"/>
      <c r="R7" s="2420"/>
      <c r="S7" s="1196"/>
      <c r="U7" s="1177">
        <f>'Process Heating Equipment'!C6</f>
        <v>0</v>
      </c>
    </row>
    <row r="8" spans="1:26" ht="13.5" thickBot="1">
      <c r="A8" s="1177"/>
      <c r="B8" s="1177"/>
      <c r="C8" s="1177"/>
      <c r="D8" s="1177"/>
      <c r="E8" s="1177"/>
      <c r="F8" s="1177"/>
      <c r="G8" s="1177"/>
      <c r="H8" s="1177"/>
      <c r="I8" s="1177"/>
      <c r="J8" s="1177"/>
      <c r="K8" s="1177"/>
      <c r="L8" s="1177"/>
      <c r="M8" s="1177"/>
      <c r="N8" s="1177"/>
      <c r="O8" s="1177"/>
      <c r="P8" s="1177"/>
      <c r="Q8" s="1196"/>
      <c r="R8" s="2421"/>
      <c r="S8" s="1196"/>
      <c r="Z8" s="1177" t="s">
        <v>517</v>
      </c>
    </row>
    <row r="9" spans="1:26" ht="21.75" customHeight="1" thickBot="1">
      <c r="A9" s="1177"/>
      <c r="B9" s="1177"/>
      <c r="C9" s="1177"/>
      <c r="D9" s="1177"/>
      <c r="E9" s="1177"/>
      <c r="F9" s="1177"/>
      <c r="G9" s="1177"/>
      <c r="H9" s="1177"/>
      <c r="I9" s="1177"/>
      <c r="J9" s="1177"/>
      <c r="K9" s="1177"/>
      <c r="L9" s="1177"/>
      <c r="M9" s="1177"/>
      <c r="N9" s="1177"/>
      <c r="O9" s="1177"/>
      <c r="P9" s="1177"/>
      <c r="Q9" s="1177"/>
      <c r="R9" s="1149" t="s">
        <v>1630</v>
      </c>
      <c r="U9" s="1281" t="s">
        <v>464</v>
      </c>
      <c r="V9" s="2035">
        <f>'PHASTEx summary report'!D14/ $Z$9</f>
        <v>0</v>
      </c>
      <c r="W9" s="1177">
        <f>V9/1000000</f>
        <v>0</v>
      </c>
      <c r="Z9" s="1177">
        <f xml:space="preserve"> IF($R$9="Btu", 1, IF($R$9="kgce", 'PHASTEx summary report'!$I$28, IF($R$9="kcal",'PHASTEx summary report'!$H$28,IF($R$9="kgoe",'PHASTEx summary report'!$H$27,IF($R$9="MMBtu",'PHASTEx summary report'!G27,'PHASTEx summary report'!I28)))))</f>
        <v>27766</v>
      </c>
    </row>
    <row r="10" spans="1:26" ht="14.25">
      <c r="A10" s="1177"/>
      <c r="B10" s="1177"/>
      <c r="C10" s="1177"/>
      <c r="D10" s="1177"/>
      <c r="E10" s="1177"/>
      <c r="F10" s="1177"/>
      <c r="G10" s="1177"/>
      <c r="H10" s="1177"/>
      <c r="I10" s="1177"/>
      <c r="J10" s="1177"/>
      <c r="K10" s="1177"/>
      <c r="L10" s="1177"/>
      <c r="M10" s="1177"/>
      <c r="N10" s="1177"/>
      <c r="O10" s="1177"/>
      <c r="P10" s="1177"/>
      <c r="Q10" s="1177"/>
      <c r="U10" s="1281" t="s">
        <v>466</v>
      </c>
      <c r="V10" s="2035">
        <f>'PHASTEx summary report'!D15/ $Z$9</f>
        <v>0</v>
      </c>
      <c r="W10" s="1177">
        <f t="shared" ref="W10:W20" si="0">V10/1000000</f>
        <v>0</v>
      </c>
      <c r="Z10" s="1177" t="str">
        <f xml:space="preserve"> IF($R$9="kgce", "All quantities are in units of kgce/Hr.", IF($R$9="kgoe", "All quantities are in units of kgoe/Hr.", IF($R$9="kcal", "All quantities are in units of kcal/Hr.",IF(R9="Btu","All quantities are in units of Btu/Hr.",IF(R9="MMBtu","All quantities are in units of MMBtu/Hr.","All quantities are in units of Btu/Hr.")))))</f>
        <v>All quantities are in units of kgce/Hr.</v>
      </c>
    </row>
    <row r="11" spans="1:26" ht="14.25">
      <c r="A11" s="1177"/>
      <c r="B11" s="1177"/>
      <c r="C11" s="1177"/>
      <c r="D11" s="1177"/>
      <c r="E11" s="1177"/>
      <c r="F11" s="1177"/>
      <c r="G11" s="1177"/>
      <c r="H11" s="1177"/>
      <c r="I11" s="1177"/>
      <c r="J11" s="1177"/>
      <c r="K11" s="1177"/>
      <c r="L11" s="1177"/>
      <c r="M11" s="1177"/>
      <c r="N11" s="1177"/>
      <c r="O11" s="1177"/>
      <c r="P11" s="1177"/>
      <c r="Q11" s="1177"/>
      <c r="U11" s="1281" t="s">
        <v>956</v>
      </c>
      <c r="V11" s="2035">
        <f>'PHASTEx summary report'!D16/ $Z$9</f>
        <v>0</v>
      </c>
      <c r="W11" s="1177">
        <f t="shared" si="0"/>
        <v>0</v>
      </c>
    </row>
    <row r="12" spans="1:26" ht="14.25">
      <c r="A12" s="1177"/>
      <c r="B12" s="1177"/>
      <c r="C12" s="1177"/>
      <c r="D12" s="1177"/>
      <c r="E12" s="1177"/>
      <c r="F12" s="1177"/>
      <c r="G12" s="1177"/>
      <c r="H12" s="1177"/>
      <c r="I12" s="1177"/>
      <c r="J12" s="1177"/>
      <c r="K12" s="1177"/>
      <c r="L12" s="1177"/>
      <c r="M12" s="1177"/>
      <c r="N12" s="1177"/>
      <c r="O12" s="1177"/>
      <c r="P12" s="1177"/>
      <c r="Q12" s="1177"/>
      <c r="U12" s="1281" t="s">
        <v>469</v>
      </c>
      <c r="V12" s="2035">
        <f>'PHASTEx summary report'!D17/ $Z$9</f>
        <v>0</v>
      </c>
      <c r="W12" s="1177">
        <f t="shared" si="0"/>
        <v>0</v>
      </c>
    </row>
    <row r="13" spans="1:26" ht="14.25">
      <c r="A13" s="1177"/>
      <c r="B13" s="1177"/>
      <c r="C13" s="1177"/>
      <c r="D13" s="1177"/>
      <c r="E13" s="1177"/>
      <c r="F13" s="1177"/>
      <c r="G13" s="1177"/>
      <c r="H13" s="1177"/>
      <c r="I13" s="1177"/>
      <c r="J13" s="1177"/>
      <c r="K13" s="1177"/>
      <c r="L13" s="1177"/>
      <c r="M13" s="1177"/>
      <c r="N13" s="1177"/>
      <c r="O13" s="1177"/>
      <c r="P13" s="1177"/>
      <c r="Q13" s="1177"/>
      <c r="U13" s="1281" t="s">
        <v>471</v>
      </c>
      <c r="V13" s="2035">
        <f>'PHASTEx summary report'!D18/ $Z$9</f>
        <v>0</v>
      </c>
      <c r="W13" s="1177">
        <f t="shared" si="0"/>
        <v>0</v>
      </c>
    </row>
    <row r="14" spans="1:26" ht="14.25">
      <c r="A14" s="1177"/>
      <c r="B14" s="1177"/>
      <c r="C14" s="1177"/>
      <c r="D14" s="1177"/>
      <c r="E14" s="1177"/>
      <c r="F14" s="1177"/>
      <c r="G14" s="1177"/>
      <c r="H14" s="1177"/>
      <c r="I14" s="1177"/>
      <c r="J14" s="1177"/>
      <c r="K14" s="1177"/>
      <c r="L14" s="1177"/>
      <c r="M14" s="1177"/>
      <c r="N14" s="1177"/>
      <c r="O14" s="1177"/>
      <c r="P14" s="1177"/>
      <c r="Q14" s="1177"/>
      <c r="U14" s="1281" t="s">
        <v>473</v>
      </c>
      <c r="V14" s="2035">
        <f>'PHASTEx summary report'!D19/ $Z$9</f>
        <v>0</v>
      </c>
      <c r="W14" s="1177">
        <f t="shared" si="0"/>
        <v>0</v>
      </c>
    </row>
    <row r="15" spans="1:26" ht="14.25">
      <c r="A15" s="1177"/>
      <c r="B15" s="1177"/>
      <c r="C15" s="1177"/>
      <c r="D15" s="1177"/>
      <c r="E15" s="1177"/>
      <c r="F15" s="1177"/>
      <c r="G15" s="1177"/>
      <c r="H15" s="1177"/>
      <c r="I15" s="1177"/>
      <c r="J15" s="1177"/>
      <c r="K15" s="1177"/>
      <c r="L15" s="1177"/>
      <c r="M15" s="1177"/>
      <c r="N15" s="1177"/>
      <c r="O15" s="1177"/>
      <c r="P15" s="1177"/>
      <c r="Q15" s="1177"/>
      <c r="U15" s="1281" t="s">
        <v>474</v>
      </c>
      <c r="V15" s="2035">
        <f>'PHASTEx summary report'!D20/ $Z$9</f>
        <v>0</v>
      </c>
      <c r="W15" s="1177">
        <f t="shared" si="0"/>
        <v>0</v>
      </c>
    </row>
    <row r="16" spans="1:26" ht="14.25">
      <c r="A16" s="1177"/>
      <c r="B16" s="1177"/>
      <c r="C16" s="1177"/>
      <c r="D16" s="1177"/>
      <c r="E16" s="1177"/>
      <c r="F16" s="1177"/>
      <c r="G16" s="1177"/>
      <c r="H16" s="1177"/>
      <c r="I16" s="1177"/>
      <c r="J16" s="1177"/>
      <c r="K16" s="1177"/>
      <c r="L16" s="1177"/>
      <c r="M16" s="1177"/>
      <c r="N16" s="1177"/>
      <c r="O16" s="1177"/>
      <c r="P16" s="1177"/>
      <c r="Q16" s="1177"/>
      <c r="U16" s="1281" t="s">
        <v>478</v>
      </c>
      <c r="V16" s="2035">
        <f>'PHASTEx summary report'!D21/ $Z$9</f>
        <v>0</v>
      </c>
      <c r="W16" s="1177">
        <f t="shared" si="0"/>
        <v>0</v>
      </c>
    </row>
    <row r="17" spans="1:23" ht="14.25">
      <c r="A17" s="1177"/>
      <c r="B17" s="1177"/>
      <c r="C17" s="1177"/>
      <c r="D17" s="1177"/>
      <c r="E17" s="1177"/>
      <c r="F17" s="1177"/>
      <c r="G17" s="1177"/>
      <c r="H17" s="1177"/>
      <c r="I17" s="1177"/>
      <c r="J17" s="1177"/>
      <c r="K17" s="1177"/>
      <c r="L17" s="1177"/>
      <c r="M17" s="1177"/>
      <c r="N17" s="1177"/>
      <c r="O17" s="1177"/>
      <c r="P17" s="1177"/>
      <c r="Q17" s="1177"/>
      <c r="U17" s="1281" t="s">
        <v>479</v>
      </c>
      <c r="V17" s="2035">
        <f>'PHASTEx summary report'!D22/ $Z$9</f>
        <v>3.2461969363737879E-5</v>
      </c>
      <c r="W17" s="1177">
        <f t="shared" si="0"/>
        <v>3.2461969363737878E-11</v>
      </c>
    </row>
    <row r="18" spans="1:23" ht="14.25">
      <c r="A18" s="1177"/>
      <c r="B18" s="1177"/>
      <c r="C18" s="1177"/>
      <c r="D18" s="1177"/>
      <c r="E18" s="1177"/>
      <c r="F18" s="1177"/>
      <c r="G18" s="1177"/>
      <c r="H18" s="1177"/>
      <c r="I18" s="1177"/>
      <c r="J18" s="1177"/>
      <c r="K18" s="1177"/>
      <c r="L18" s="1177"/>
      <c r="M18" s="1177"/>
      <c r="N18" s="1177"/>
      <c r="O18" s="1177"/>
      <c r="P18" s="1177"/>
      <c r="Q18" s="1177"/>
      <c r="U18" s="1281" t="s">
        <v>480</v>
      </c>
      <c r="V18" s="2035">
        <f>'PHASTEx summary report'!D23/ $Z$9</f>
        <v>0</v>
      </c>
      <c r="W18" s="1177">
        <f t="shared" si="0"/>
        <v>0</v>
      </c>
    </row>
    <row r="19" spans="1:23" ht="14.25">
      <c r="A19" s="1177"/>
      <c r="B19" s="1177"/>
      <c r="C19" s="1177"/>
      <c r="D19" s="1177"/>
      <c r="E19" s="1177"/>
      <c r="F19" s="1177"/>
      <c r="G19" s="1177"/>
      <c r="H19" s="1177"/>
      <c r="I19" s="1177"/>
      <c r="J19" s="1177"/>
      <c r="K19" s="1177"/>
      <c r="L19" s="1177"/>
      <c r="M19" s="1177"/>
      <c r="N19" s="1177"/>
      <c r="O19" s="1177"/>
      <c r="P19" s="1177"/>
      <c r="Q19" s="1177"/>
      <c r="U19" s="1281" t="s">
        <v>476</v>
      </c>
      <c r="V19" s="2035">
        <f>'PHASTEx summary report'!D24/ $Z$9</f>
        <v>0</v>
      </c>
      <c r="W19" s="1177">
        <f t="shared" si="0"/>
        <v>0</v>
      </c>
    </row>
    <row r="20" spans="1:23" ht="15">
      <c r="A20" s="1177"/>
      <c r="B20" s="1177"/>
      <c r="C20" s="1177"/>
      <c r="D20" s="1177"/>
      <c r="E20" s="1177"/>
      <c r="F20" s="1177"/>
      <c r="G20" s="1177"/>
      <c r="H20" s="1177"/>
      <c r="I20" s="1177"/>
      <c r="J20" s="1177"/>
      <c r="K20" s="1177"/>
      <c r="L20" s="1177"/>
      <c r="M20" s="1177"/>
      <c r="N20" s="1177"/>
      <c r="O20" s="1177"/>
      <c r="P20" s="1177"/>
      <c r="Q20" s="1177"/>
      <c r="U20" s="1282" t="s">
        <v>481</v>
      </c>
      <c r="V20" s="2035">
        <f>'PHASTEx summary report'!D25/ $Z$9</f>
        <v>0</v>
      </c>
      <c r="W20" s="1177">
        <f t="shared" si="0"/>
        <v>0</v>
      </c>
    </row>
    <row r="21" spans="1:23">
      <c r="A21" s="1177"/>
      <c r="B21" s="1177"/>
      <c r="C21" s="1177"/>
      <c r="D21" s="1177"/>
      <c r="E21" s="1177"/>
      <c r="F21" s="1177"/>
      <c r="G21" s="1177"/>
      <c r="H21" s="1177"/>
      <c r="I21" s="1177"/>
      <c r="J21" s="1177"/>
      <c r="K21" s="1177"/>
      <c r="L21" s="1177"/>
      <c r="M21" s="1177"/>
      <c r="N21" s="1177"/>
      <c r="O21" s="1177"/>
      <c r="P21" s="1177"/>
      <c r="Q21" s="1177"/>
      <c r="V21" s="1283"/>
    </row>
    <row r="22" spans="1:23">
      <c r="A22" s="1177"/>
      <c r="B22" s="1177"/>
      <c r="C22" s="1177"/>
      <c r="D22" s="1177"/>
      <c r="E22" s="1177"/>
      <c r="F22" s="1177"/>
      <c r="G22" s="1177"/>
      <c r="H22" s="1177"/>
      <c r="I22" s="1177"/>
      <c r="J22" s="1177"/>
      <c r="K22" s="1177"/>
      <c r="L22" s="1177"/>
      <c r="M22" s="1177"/>
      <c r="N22" s="1177"/>
      <c r="O22" s="1177"/>
      <c r="P22" s="1177"/>
      <c r="Q22" s="1177"/>
      <c r="V22" s="1283"/>
    </row>
    <row r="23" spans="1:23">
      <c r="A23" s="1177"/>
      <c r="B23" s="1177"/>
      <c r="C23" s="1177"/>
      <c r="D23" s="1177"/>
      <c r="E23" s="1177"/>
      <c r="F23" s="1177"/>
      <c r="G23" s="1177"/>
      <c r="H23" s="1177"/>
      <c r="I23" s="1177"/>
      <c r="J23" s="1177"/>
      <c r="K23" s="1177"/>
      <c r="L23" s="1177"/>
      <c r="M23" s="1177"/>
      <c r="N23" s="1177"/>
      <c r="O23" s="1177"/>
      <c r="P23" s="1177"/>
      <c r="Q23" s="1177"/>
      <c r="U23" s="1284" t="s">
        <v>493</v>
      </c>
      <c r="V23" s="1283"/>
    </row>
    <row r="24" spans="1:23">
      <c r="A24" s="1177"/>
      <c r="B24" s="1177"/>
      <c r="C24" s="1177"/>
      <c r="D24" s="1177"/>
      <c r="E24" s="1177"/>
      <c r="F24" s="1177"/>
      <c r="G24" s="1177"/>
      <c r="H24" s="1177"/>
      <c r="I24" s="1177"/>
      <c r="J24" s="1177"/>
      <c r="K24" s="1177"/>
      <c r="L24" s="1177"/>
      <c r="M24" s="1177"/>
      <c r="N24" s="1177"/>
      <c r="O24" s="1177"/>
      <c r="P24" s="1177"/>
      <c r="Q24" s="1177"/>
      <c r="U24" s="1207" t="s">
        <v>492</v>
      </c>
      <c r="V24" s="1283"/>
    </row>
    <row r="25" spans="1:23">
      <c r="A25" s="1177"/>
      <c r="B25" s="1177"/>
      <c r="C25" s="1177"/>
      <c r="D25" s="1177"/>
      <c r="E25" s="1177"/>
      <c r="F25" s="1177"/>
      <c r="G25" s="1177"/>
      <c r="H25" s="1177"/>
      <c r="I25" s="1177"/>
      <c r="J25" s="1177"/>
      <c r="K25" s="1177"/>
      <c r="L25" s="1177"/>
      <c r="M25" s="1177"/>
      <c r="N25" s="1177"/>
      <c r="O25" s="1177"/>
      <c r="P25" s="1177"/>
      <c r="Q25" s="1177"/>
      <c r="U25" s="1207" t="s">
        <v>494</v>
      </c>
      <c r="V25" s="1283"/>
    </row>
    <row r="26" spans="1:23">
      <c r="A26" s="1177"/>
      <c r="B26" s="1177"/>
      <c r="C26" s="1177"/>
      <c r="D26" s="1177"/>
      <c r="E26" s="1177"/>
      <c r="F26" s="1177"/>
      <c r="G26" s="1177"/>
      <c r="H26" s="1177"/>
      <c r="I26" s="1177"/>
      <c r="J26" s="1177"/>
      <c r="K26" s="1177"/>
      <c r="L26" s="1177"/>
      <c r="M26" s="1177"/>
      <c r="N26" s="1177"/>
      <c r="O26" s="1177"/>
      <c r="P26" s="1177"/>
      <c r="Q26" s="1177"/>
      <c r="U26" s="1207" t="s">
        <v>774</v>
      </c>
    </row>
    <row r="27" spans="1:23">
      <c r="A27" s="1177"/>
      <c r="B27" s="1177"/>
      <c r="C27" s="1177"/>
      <c r="D27" s="1177"/>
      <c r="E27" s="1177"/>
      <c r="F27" s="1177"/>
      <c r="G27" s="1177"/>
      <c r="H27" s="1177"/>
      <c r="I27" s="1177"/>
      <c r="J27" s="1177"/>
      <c r="K27" s="1177"/>
      <c r="L27" s="1177"/>
      <c r="M27" s="1177"/>
      <c r="N27" s="1177"/>
      <c r="O27" s="1177"/>
      <c r="P27" s="1177"/>
      <c r="Q27" s="1177"/>
    </row>
    <row r="28" spans="1:23">
      <c r="A28" s="1177"/>
      <c r="B28" s="1177"/>
      <c r="C28" s="1177"/>
      <c r="D28" s="1177"/>
      <c r="E28" s="1177"/>
      <c r="F28" s="1177"/>
      <c r="G28" s="1177"/>
      <c r="H28" s="1177"/>
      <c r="I28" s="1177"/>
      <c r="J28" s="1177"/>
      <c r="K28" s="1177"/>
      <c r="L28" s="1177"/>
      <c r="M28" s="1177"/>
      <c r="N28" s="1177"/>
      <c r="O28" s="1177"/>
      <c r="P28" s="1177"/>
      <c r="Q28" s="1177"/>
    </row>
    <row r="29" spans="1:23">
      <c r="A29" s="1177"/>
      <c r="B29" s="1177"/>
      <c r="C29" s="1177"/>
      <c r="D29" s="1177"/>
      <c r="E29" s="1177"/>
      <c r="F29" s="1177"/>
      <c r="G29" s="1177"/>
      <c r="H29" s="1177"/>
      <c r="I29" s="1177"/>
      <c r="J29" s="1177"/>
      <c r="K29" s="1177"/>
      <c r="L29" s="1177"/>
      <c r="M29" s="1177"/>
      <c r="N29" s="1177"/>
      <c r="O29" s="1177"/>
      <c r="P29" s="1177"/>
      <c r="Q29" s="1177"/>
    </row>
    <row r="30" spans="1:23">
      <c r="A30" s="1177"/>
      <c r="B30" s="1177"/>
      <c r="C30" s="1177"/>
      <c r="D30" s="1177"/>
      <c r="E30" s="1177"/>
      <c r="F30" s="1177"/>
      <c r="G30" s="1177"/>
      <c r="H30" s="1177"/>
      <c r="I30" s="1177"/>
      <c r="J30" s="1177"/>
      <c r="K30" s="1177"/>
      <c r="L30" s="1177"/>
      <c r="M30" s="1177"/>
      <c r="N30" s="1177"/>
      <c r="O30" s="1177"/>
      <c r="P30" s="1177"/>
      <c r="Q30" s="1177"/>
    </row>
    <row r="31" spans="1:23">
      <c r="A31" s="1177"/>
      <c r="B31" s="1177"/>
      <c r="C31" s="1177"/>
      <c r="D31" s="1177"/>
      <c r="E31" s="1177"/>
      <c r="F31" s="1177"/>
      <c r="G31" s="1177"/>
      <c r="H31" s="1177"/>
      <c r="I31" s="1177"/>
      <c r="J31" s="1177"/>
      <c r="K31" s="1177"/>
      <c r="L31" s="1177"/>
      <c r="M31" s="1177"/>
      <c r="N31" s="1177"/>
      <c r="O31" s="1177"/>
      <c r="P31" s="1177"/>
      <c r="Q31" s="1177"/>
    </row>
    <row r="32" spans="1:23">
      <c r="A32" s="1177"/>
      <c r="B32" s="1177"/>
      <c r="C32" s="1177"/>
      <c r="D32" s="1177"/>
      <c r="E32" s="1177"/>
      <c r="F32" s="1177"/>
      <c r="G32" s="1177"/>
      <c r="H32" s="1177"/>
      <c r="I32" s="1177"/>
      <c r="J32" s="1177"/>
      <c r="K32" s="1177"/>
      <c r="L32" s="1177"/>
      <c r="M32" s="1177"/>
      <c r="N32" s="1177"/>
      <c r="O32" s="1177"/>
      <c r="P32" s="1177"/>
      <c r="Q32" s="1177"/>
    </row>
    <row r="33" spans="1:23">
      <c r="A33" s="1177"/>
      <c r="B33" s="1177"/>
      <c r="C33" s="1177"/>
      <c r="D33" s="1177"/>
      <c r="E33" s="1177"/>
      <c r="F33" s="1177"/>
      <c r="G33" s="1177"/>
      <c r="H33" s="1177"/>
      <c r="I33" s="1177"/>
      <c r="J33" s="1177"/>
      <c r="K33" s="1177"/>
      <c r="L33" s="1177"/>
      <c r="M33" s="1177"/>
      <c r="N33" s="1177"/>
      <c r="O33" s="1177"/>
      <c r="P33" s="1177"/>
      <c r="Q33" s="1177"/>
    </row>
    <row r="34" spans="1:23">
      <c r="A34" s="1177"/>
      <c r="B34" s="1177"/>
      <c r="C34" s="1177"/>
      <c r="D34" s="1246"/>
      <c r="E34" s="1177"/>
      <c r="F34" s="1177"/>
      <c r="G34" s="1177"/>
      <c r="H34" s="1177"/>
      <c r="I34" s="1177"/>
      <c r="J34" s="1177"/>
      <c r="K34" s="1177"/>
      <c r="L34" s="1177"/>
      <c r="M34" s="1177"/>
      <c r="N34" s="1177"/>
      <c r="O34" s="1177"/>
      <c r="P34" s="1177"/>
      <c r="Q34" s="1177"/>
    </row>
    <row r="35" spans="1:23">
      <c r="A35" s="1177"/>
      <c r="B35" s="1177"/>
      <c r="C35" s="1177"/>
      <c r="D35" s="1177"/>
      <c r="E35" s="1177"/>
      <c r="F35" s="1177"/>
      <c r="G35" s="1177"/>
      <c r="H35" s="1177"/>
      <c r="I35" s="1177"/>
      <c r="J35" s="1177"/>
      <c r="K35" s="1177"/>
      <c r="L35" s="1177"/>
      <c r="M35" s="1177"/>
      <c r="N35" s="1177"/>
      <c r="O35" s="1177"/>
      <c r="P35" s="1177"/>
      <c r="Q35" s="1177"/>
    </row>
    <row r="36" spans="1:23">
      <c r="A36" s="1177"/>
      <c r="B36" s="1177"/>
      <c r="C36" s="1177"/>
      <c r="D36" s="1177"/>
      <c r="E36" s="1177"/>
      <c r="F36" s="1177"/>
      <c r="G36" s="1177"/>
      <c r="H36" s="1177"/>
      <c r="I36" s="1177"/>
      <c r="J36" s="1177"/>
      <c r="K36" s="1177"/>
      <c r="L36" s="1177"/>
      <c r="M36" s="1177"/>
      <c r="N36" s="1177"/>
      <c r="O36" s="1177"/>
      <c r="P36" s="1177"/>
      <c r="Q36" s="1177"/>
    </row>
    <row r="37" spans="1:23">
      <c r="A37" s="1177"/>
      <c r="B37" s="1177"/>
      <c r="C37" s="1177"/>
      <c r="D37" s="1177"/>
      <c r="E37" s="1177"/>
      <c r="F37" s="1177"/>
      <c r="G37" s="1177"/>
      <c r="H37" s="1177"/>
      <c r="I37" s="1177"/>
      <c r="J37" s="1177"/>
      <c r="K37" s="1177"/>
      <c r="L37" s="1177"/>
      <c r="M37" s="1177"/>
      <c r="N37" s="1177"/>
      <c r="O37" s="1177"/>
      <c r="P37" s="1177"/>
      <c r="Q37" s="1177"/>
    </row>
    <row r="38" spans="1:23" ht="20.25">
      <c r="A38" s="1177"/>
      <c r="B38" s="1177"/>
      <c r="C38" s="1177"/>
      <c r="D38" s="1177"/>
      <c r="E38" s="1177"/>
      <c r="F38" s="1285"/>
      <c r="G38" s="1177"/>
      <c r="H38" s="1177"/>
      <c r="I38" s="1177"/>
      <c r="J38" s="1177"/>
      <c r="K38" s="1177"/>
      <c r="L38" s="1177"/>
      <c r="M38" s="1177"/>
      <c r="N38" s="1177"/>
      <c r="O38" s="1177"/>
      <c r="P38" s="1177"/>
      <c r="Q38" s="1177"/>
    </row>
    <row r="39" spans="1:23" ht="13.5" thickBot="1">
      <c r="A39" s="1177"/>
      <c r="B39" s="1177"/>
      <c r="C39" s="1177"/>
      <c r="D39" s="1177"/>
      <c r="E39" s="1177"/>
      <c r="F39" s="1177"/>
      <c r="G39" s="1177"/>
      <c r="H39" s="1177"/>
      <c r="I39" s="1177"/>
      <c r="J39" s="1177"/>
      <c r="K39" s="1177"/>
      <c r="L39" s="1177"/>
      <c r="M39" s="1177"/>
      <c r="N39" s="1177"/>
      <c r="O39" s="1177"/>
      <c r="P39" s="1177"/>
      <c r="Q39" s="1177"/>
    </row>
    <row r="40" spans="1:23" ht="14.25">
      <c r="A40" s="1177"/>
      <c r="B40" s="1286" t="s">
        <v>1296</v>
      </c>
      <c r="C40" s="2426" t="s">
        <v>762</v>
      </c>
      <c r="D40" s="2426"/>
      <c r="E40" s="2426"/>
      <c r="F40" s="2426"/>
      <c r="G40" s="2426"/>
      <c r="H40" s="2426"/>
      <c r="I40" s="2426"/>
      <c r="J40" s="2426"/>
      <c r="K40" s="2426"/>
      <c r="L40" s="2426"/>
      <c r="M40" s="1287"/>
      <c r="N40" s="1177"/>
      <c r="O40" s="1177"/>
      <c r="P40" s="1177"/>
      <c r="Q40" s="1177"/>
      <c r="U40" s="1281" t="s">
        <v>464</v>
      </c>
      <c r="V40" s="2035">
        <f>'PHASTEx summary report'!G14 / $Z$9</f>
        <v>0</v>
      </c>
      <c r="W40" s="1177">
        <f>V40/1000000</f>
        <v>0</v>
      </c>
    </row>
    <row r="41" spans="1:23" ht="14.25">
      <c r="A41" s="1177"/>
      <c r="B41" s="1288"/>
      <c r="C41" s="2427" t="str">
        <f xml:space="preserve"> IF( $R$9="kJ", "The value shown for each arrow represents heat input or use or loss in terms of kJ/hour", IF($R$9="kgce", "The value shown for each arrow represents heat input or use or loss in terms of kgce/hour", IF($R$9="TCE", "The value shown for each arrow represents heat input or use or loss in terms of TCE/hour", IF($R$9="kgoe", "The value shown for each arrow represents heat input or use or loss in terms of kgoe/hour",IF($R$9="Btu", "The value shown for each arrow represents heat input or use or loss in terms of Btu/hour", "The value shown for each arrow represents heat input or use or loss in terms of kcal/hour")))))</f>
        <v>The value shown for each arrow represents heat input or use or loss in terms of kgce/hour</v>
      </c>
      <c r="D41" s="2427"/>
      <c r="E41" s="2427"/>
      <c r="F41" s="2427"/>
      <c r="G41" s="2427"/>
      <c r="H41" s="2427"/>
      <c r="I41" s="2427"/>
      <c r="J41" s="2427"/>
      <c r="K41" s="2427"/>
      <c r="L41" s="2427"/>
      <c r="M41" s="2428"/>
      <c r="N41" s="1177"/>
      <c r="O41" s="1177"/>
      <c r="P41" s="1177"/>
      <c r="Q41" s="1177"/>
      <c r="U41" s="1281" t="s">
        <v>466</v>
      </c>
      <c r="V41" s="2035">
        <f>'PHASTEx summary report'!G15 / $Z$9</f>
        <v>0</v>
      </c>
      <c r="W41" s="1177">
        <f t="shared" ref="W41:W51" si="1">V41/1000000</f>
        <v>0</v>
      </c>
    </row>
    <row r="42" spans="1:23" ht="15" thickBot="1">
      <c r="A42" s="1177"/>
      <c r="B42" s="1289"/>
      <c r="C42" s="2422" t="s">
        <v>766</v>
      </c>
      <c r="D42" s="2422"/>
      <c r="E42" s="2422"/>
      <c r="F42" s="2422"/>
      <c r="G42" s="2422"/>
      <c r="H42" s="2422"/>
      <c r="I42" s="2422"/>
      <c r="J42" s="2422"/>
      <c r="K42" s="2422"/>
      <c r="L42" s="2422"/>
      <c r="M42" s="1290"/>
      <c r="N42" s="1177"/>
      <c r="O42" s="1177"/>
      <c r="P42" s="1177"/>
      <c r="Q42" s="1177"/>
      <c r="U42" s="1281" t="s">
        <v>956</v>
      </c>
      <c r="V42" s="2035">
        <f>'PHASTEx summary report'!G16 / $Z$9</f>
        <v>0</v>
      </c>
      <c r="W42" s="1177">
        <f t="shared" si="1"/>
        <v>0</v>
      </c>
    </row>
    <row r="43" spans="1:23" ht="14.25">
      <c r="A43" s="1177"/>
      <c r="B43" s="1177"/>
      <c r="C43" s="1177"/>
      <c r="D43" s="1177"/>
      <c r="E43" s="1177"/>
      <c r="F43" s="1177"/>
      <c r="G43" s="1177"/>
      <c r="H43" s="1177"/>
      <c r="I43" s="1177"/>
      <c r="J43" s="1177"/>
      <c r="K43" s="1177"/>
      <c r="L43" s="1177"/>
      <c r="M43" s="1177"/>
      <c r="N43" s="1177"/>
      <c r="O43" s="1177"/>
      <c r="P43" s="1177"/>
      <c r="Q43" s="1177"/>
      <c r="U43" s="1281" t="s">
        <v>469</v>
      </c>
      <c r="V43" s="2035">
        <f>'PHASTEx summary report'!G17 / $Z$9</f>
        <v>0</v>
      </c>
      <c r="W43" s="1177">
        <f t="shared" si="1"/>
        <v>0</v>
      </c>
    </row>
    <row r="44" spans="1:23" ht="14.25">
      <c r="A44" s="1177"/>
      <c r="B44" s="1177"/>
      <c r="C44" s="1177"/>
      <c r="D44" s="1177"/>
      <c r="E44" s="1177"/>
      <c r="F44" s="1177"/>
      <c r="G44" s="1177"/>
      <c r="H44" s="1177"/>
      <c r="I44" s="1177"/>
      <c r="J44" s="1177"/>
      <c r="K44" s="1177"/>
      <c r="L44" s="1177"/>
      <c r="M44" s="1177"/>
      <c r="N44" s="1177"/>
      <c r="O44" s="1177"/>
      <c r="P44" s="1177"/>
      <c r="Q44" s="1177"/>
      <c r="U44" s="1281" t="s">
        <v>471</v>
      </c>
      <c r="V44" s="2035">
        <f>'PHASTEx summary report'!G18 / $Z$9</f>
        <v>0</v>
      </c>
      <c r="W44" s="1177">
        <f t="shared" si="1"/>
        <v>0</v>
      </c>
    </row>
    <row r="45" spans="1:23" ht="14.25" hidden="1">
      <c r="A45" s="1177"/>
      <c r="B45" s="1177"/>
      <c r="C45" s="1177"/>
      <c r="D45" s="1177"/>
      <c r="E45" s="1177"/>
      <c r="F45" s="1177"/>
      <c r="G45" s="1177"/>
      <c r="H45" s="1177"/>
      <c r="I45" s="1177"/>
      <c r="J45" s="1177"/>
      <c r="K45" s="1177"/>
      <c r="L45" s="1177"/>
      <c r="M45" s="1177"/>
      <c r="N45" s="1177"/>
      <c r="O45" s="1177"/>
      <c r="P45" s="1177"/>
      <c r="Q45" s="1177"/>
      <c r="U45" s="1281" t="s">
        <v>473</v>
      </c>
      <c r="V45" s="2035">
        <f>'PHASTEx summary report'!G19 / $Z$9</f>
        <v>0</v>
      </c>
      <c r="W45" s="1177">
        <f t="shared" si="1"/>
        <v>0</v>
      </c>
    </row>
    <row r="46" spans="1:23" ht="14.25" hidden="1">
      <c r="A46" s="1177"/>
      <c r="B46" s="1177"/>
      <c r="C46" s="1177"/>
      <c r="D46" s="1177"/>
      <c r="E46" s="1177"/>
      <c r="F46" s="1177"/>
      <c r="G46" s="1177"/>
      <c r="H46" s="1177"/>
      <c r="I46" s="1177"/>
      <c r="J46" s="1177"/>
      <c r="K46" s="1177"/>
      <c r="L46" s="1177"/>
      <c r="M46" s="1177"/>
      <c r="N46" s="1177"/>
      <c r="O46" s="1177"/>
      <c r="P46" s="1177"/>
      <c r="Q46" s="1177"/>
      <c r="U46" s="1281" t="s">
        <v>474</v>
      </c>
      <c r="V46" s="2035">
        <f>'PHASTEx summary report'!G20 / $Z$9</f>
        <v>0</v>
      </c>
      <c r="W46" s="1177">
        <f t="shared" si="1"/>
        <v>0</v>
      </c>
    </row>
    <row r="47" spans="1:23" ht="14.25" hidden="1">
      <c r="A47" s="1177"/>
      <c r="B47" s="1177"/>
      <c r="C47" s="1177"/>
      <c r="D47" s="1177"/>
      <c r="E47" s="1177"/>
      <c r="F47" s="1177"/>
      <c r="G47" s="1177"/>
      <c r="H47" s="1177"/>
      <c r="I47" s="1177"/>
      <c r="J47" s="1177"/>
      <c r="K47" s="1177"/>
      <c r="L47" s="1177"/>
      <c r="M47" s="1177"/>
      <c r="N47" s="1177"/>
      <c r="O47" s="1177"/>
      <c r="P47" s="1177"/>
      <c r="Q47" s="1177"/>
      <c r="U47" s="1281" t="s">
        <v>478</v>
      </c>
      <c r="V47" s="2035">
        <f>'PHASTEx summary report'!G21 / $Z$9</f>
        <v>0</v>
      </c>
      <c r="W47" s="1177">
        <f t="shared" si="1"/>
        <v>0</v>
      </c>
    </row>
    <row r="48" spans="1:23" ht="14.25" hidden="1">
      <c r="A48" s="1177"/>
      <c r="B48" s="1177"/>
      <c r="C48" s="1177"/>
      <c r="D48" s="1177"/>
      <c r="E48" s="1177"/>
      <c r="F48" s="1177"/>
      <c r="G48" s="1177"/>
      <c r="H48" s="1177"/>
      <c r="I48" s="1177"/>
      <c r="J48" s="1177"/>
      <c r="K48" s="1177"/>
      <c r="L48" s="1177"/>
      <c r="M48" s="1177"/>
      <c r="N48" s="1177"/>
      <c r="O48" s="1177"/>
      <c r="P48" s="1177"/>
      <c r="Q48" s="1177"/>
      <c r="U48" s="1281" t="s">
        <v>479</v>
      </c>
      <c r="V48" s="2035">
        <f>'PHASTEx summary report'!G22 / $Z$9</f>
        <v>3.3825933155657999E-5</v>
      </c>
      <c r="W48" s="1177">
        <f t="shared" si="1"/>
        <v>3.3825933155658E-11</v>
      </c>
    </row>
    <row r="49" spans="1:23" ht="14.25" hidden="1">
      <c r="A49" s="1177"/>
      <c r="B49" s="1177"/>
      <c r="C49" s="1177"/>
      <c r="D49" s="1177"/>
      <c r="E49" s="1177"/>
      <c r="F49" s="1177"/>
      <c r="G49" s="1177"/>
      <c r="H49" s="1177"/>
      <c r="I49" s="1177"/>
      <c r="J49" s="1177"/>
      <c r="K49" s="1177"/>
      <c r="L49" s="1177"/>
      <c r="M49" s="1177"/>
      <c r="N49" s="1177"/>
      <c r="O49" s="1177"/>
      <c r="P49" s="1177"/>
      <c r="Q49" s="1177"/>
      <c r="U49" s="1281" t="s">
        <v>480</v>
      </c>
      <c r="V49" s="2035">
        <f>'PHASTEx summary report'!G23 / $Z$9</f>
        <v>0</v>
      </c>
      <c r="W49" s="1177">
        <f t="shared" si="1"/>
        <v>0</v>
      </c>
    </row>
    <row r="50" spans="1:23" ht="14.25" hidden="1">
      <c r="U50" s="1281" t="s">
        <v>476</v>
      </c>
      <c r="V50" s="2035">
        <f>'PHASTEx summary report'!G24 / $Z$9</f>
        <v>0</v>
      </c>
      <c r="W50" s="1177">
        <f t="shared" si="1"/>
        <v>0</v>
      </c>
    </row>
    <row r="51" spans="1:23" ht="15" hidden="1">
      <c r="U51" s="1282" t="s">
        <v>481</v>
      </c>
      <c r="V51" s="2035">
        <f>'PHASTEx summary report'!G25 / $Z$9</f>
        <v>0</v>
      </c>
      <c r="W51" s="1177">
        <f t="shared" si="1"/>
        <v>0</v>
      </c>
    </row>
  </sheetData>
  <sheetProtection password="B61E" sheet="1" objects="1" scenarios="1"/>
  <mergeCells count="7">
    <mergeCell ref="R5:R8"/>
    <mergeCell ref="C42:L42"/>
    <mergeCell ref="B1:Q1"/>
    <mergeCell ref="C40:L40"/>
    <mergeCell ref="C41:M41"/>
    <mergeCell ref="C5:P6"/>
    <mergeCell ref="B2:Q2"/>
  </mergeCells>
  <phoneticPr fontId="84" type="noConversion"/>
  <dataValidations count="1">
    <dataValidation type="list" allowBlank="1" showInputMessage="1" showErrorMessage="1" sqref="R9">
      <formula1>"kgce,kgoe,kcal,Btu,MMBtu"</formula1>
    </dataValidation>
  </dataValidations>
  <pageMargins left="0.7" right="0.7" top="0.75" bottom="0.75" header="0.3" footer="0.3"/>
  <pageSetup scale="85" orientation="landscape" verticalDpi="2" r:id="rId1"/>
  <headerFooter>
    <oddHeader>&amp;LSankey Diagram</oddHeader>
    <oddFooter>&amp;LUS Department of Energy&amp;C&amp;P&amp;R&amp;D</oddFooter>
  </headerFooter>
  <drawing r:id="rId2"/>
  <legacyDrawing r:id="rId3"/>
  <controls>
    <mc:AlternateContent xmlns:mc="http://schemas.openxmlformats.org/markup-compatibility/2006">
      <mc:Choice Requires="x14">
        <control shapeId="6962225" r:id="rId4" name="CommandButtonReturn">
          <controlPr defaultSize="0" print="0" autoLine="0" r:id="rId5">
            <anchor moveWithCells="1">
              <from>
                <xdr:col>17</xdr:col>
                <xdr:colOff>342900</xdr:colOff>
                <xdr:row>19</xdr:row>
                <xdr:rowOff>161925</xdr:rowOff>
              </from>
              <to>
                <xdr:col>18</xdr:col>
                <xdr:colOff>609600</xdr:colOff>
                <xdr:row>22</xdr:row>
                <xdr:rowOff>152400</xdr:rowOff>
              </to>
            </anchor>
          </controlPr>
        </control>
      </mc:Choice>
      <mc:Fallback>
        <control shapeId="6962225" r:id="rId4" name="CommandButtonReturn"/>
      </mc:Fallback>
    </mc:AlternateContent>
    <mc:AlternateContent xmlns:mc="http://schemas.openxmlformats.org/markup-compatibility/2006">
      <mc:Choice Requires="x14">
        <control shapeId="6962226" r:id="rId6" name="CommandButtonNextPage">
          <controlPr defaultSize="0" print="0" autoLine="0" r:id="rId7">
            <anchor moveWithCells="1">
              <from>
                <xdr:col>17</xdr:col>
                <xdr:colOff>342900</xdr:colOff>
                <xdr:row>15</xdr:row>
                <xdr:rowOff>171450</xdr:rowOff>
              </from>
              <to>
                <xdr:col>18</xdr:col>
                <xdr:colOff>609600</xdr:colOff>
                <xdr:row>18</xdr:row>
                <xdr:rowOff>133350</xdr:rowOff>
              </to>
            </anchor>
          </controlPr>
        </control>
      </mc:Choice>
      <mc:Fallback>
        <control shapeId="6962226" r:id="rId6" name="CommandButtonNextPage"/>
      </mc:Fallback>
    </mc:AlternateContent>
    <mc:AlternateContent xmlns:mc="http://schemas.openxmlformats.org/markup-compatibility/2006">
      <mc:Choice Requires="x14">
        <control shapeId="6962227" r:id="rId8" name="CommandButtonPrevPage">
          <controlPr defaultSize="0" print="0" autoLine="0" r:id="rId9">
            <anchor moveWithCells="1">
              <from>
                <xdr:col>17</xdr:col>
                <xdr:colOff>323850</xdr:colOff>
                <xdr:row>12</xdr:row>
                <xdr:rowOff>38100</xdr:rowOff>
              </from>
              <to>
                <xdr:col>18</xdr:col>
                <xdr:colOff>590550</xdr:colOff>
                <xdr:row>15</xdr:row>
                <xdr:rowOff>0</xdr:rowOff>
              </to>
            </anchor>
          </controlPr>
        </control>
      </mc:Choice>
      <mc:Fallback>
        <control shapeId="6962227" r:id="rId8" name="CommandButtonPrevPage"/>
      </mc:Fallback>
    </mc:AlternateContent>
    <mc:AlternateContent xmlns:mc="http://schemas.openxmlformats.org/markup-compatibility/2006">
      <mc:Choice Requires="x14">
        <control shapeId="7197945" r:id="rId10" name="CommandButton1">
          <controlPr defaultSize="0" autoLine="0" r:id="rId11">
            <anchor moveWithCells="1">
              <from>
                <xdr:col>17</xdr:col>
                <xdr:colOff>323850</xdr:colOff>
                <xdr:row>24</xdr:row>
                <xdr:rowOff>142875</xdr:rowOff>
              </from>
              <to>
                <xdr:col>18</xdr:col>
                <xdr:colOff>590550</xdr:colOff>
                <xdr:row>28</xdr:row>
                <xdr:rowOff>0</xdr:rowOff>
              </to>
            </anchor>
          </controlPr>
        </control>
      </mc:Choice>
      <mc:Fallback>
        <control shapeId="7197945" r:id="rId10"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V51"/>
  <sheetViews>
    <sheetView topLeftCell="K10" workbookViewId="0">
      <selection activeCell="Q10" sqref="Q10"/>
    </sheetView>
  </sheetViews>
  <sheetFormatPr defaultColWidth="0" defaultRowHeight="12.75" zeroHeight="1"/>
  <cols>
    <col min="1" max="1" width="6.7109375" style="1177" customWidth="1"/>
    <col min="2" max="15" width="13.28515625" style="1177" customWidth="1"/>
    <col min="16" max="16" width="9.85546875" style="1177" customWidth="1"/>
    <col min="17" max="17" width="35.140625" style="1177" hidden="1" customWidth="1"/>
    <col min="18" max="16384" width="9.140625" style="1177" hidden="1"/>
  </cols>
  <sheetData>
    <row r="1" spans="2:22" ht="13.5" thickBot="1"/>
    <row r="2" spans="2:22" s="1182" customFormat="1" ht="33" customHeight="1">
      <c r="B2" s="2438" t="s">
        <v>1638</v>
      </c>
      <c r="C2" s="2439"/>
      <c r="D2" s="2439"/>
      <c r="E2" s="2439"/>
      <c r="F2" s="2439"/>
      <c r="G2" s="2439"/>
      <c r="H2" s="2439"/>
      <c r="I2" s="2439"/>
      <c r="J2" s="2439"/>
      <c r="K2" s="2439"/>
      <c r="L2" s="2439"/>
      <c r="M2" s="2439"/>
      <c r="N2" s="2439"/>
      <c r="O2" s="2440"/>
    </row>
    <row r="3" spans="2:22" s="1182" customFormat="1" ht="20.100000000000001" customHeight="1" thickBot="1">
      <c r="B3" s="2441" t="s">
        <v>1618</v>
      </c>
      <c r="C3" s="2442"/>
      <c r="D3" s="2442"/>
      <c r="E3" s="2442"/>
      <c r="F3" s="2442"/>
      <c r="G3" s="2442"/>
      <c r="H3" s="2442"/>
      <c r="I3" s="2442"/>
      <c r="J3" s="2442"/>
      <c r="K3" s="2442"/>
      <c r="L3" s="2442"/>
      <c r="M3" s="2442"/>
      <c r="N3" s="2442"/>
      <c r="O3" s="2443"/>
    </row>
    <row r="4" spans="2:22" s="1182" customFormat="1" ht="15" customHeight="1">
      <c r="B4" s="1291"/>
      <c r="C4" s="1205"/>
      <c r="D4" s="1205"/>
      <c r="E4" s="1205"/>
      <c r="F4" s="1205"/>
      <c r="G4" s="1205"/>
      <c r="H4" s="1205"/>
      <c r="I4" s="1205"/>
      <c r="J4" s="1205"/>
      <c r="K4" s="1205"/>
      <c r="L4" s="1205"/>
      <c r="M4" s="1205"/>
    </row>
    <row r="5" spans="2:22" ht="33" customHeight="1">
      <c r="D5" s="2444" t="s">
        <v>763</v>
      </c>
      <c r="E5" s="2445"/>
      <c r="F5" s="2445"/>
      <c r="G5" s="2445"/>
      <c r="H5" s="2445"/>
      <c r="I5" s="2445"/>
      <c r="J5" s="2445"/>
      <c r="K5" s="2445"/>
      <c r="L5" s="2445"/>
      <c r="M5" s="2446"/>
    </row>
    <row r="6" spans="2:22" s="1182" customFormat="1" ht="29.1" customHeight="1">
      <c r="D6" s="2447" t="s">
        <v>702</v>
      </c>
      <c r="E6" s="2447"/>
      <c r="F6" s="2447"/>
      <c r="G6" s="2447"/>
      <c r="H6" s="2447"/>
      <c r="I6" s="2447"/>
      <c r="J6" s="2447"/>
      <c r="K6" s="2447"/>
      <c r="L6" s="2447"/>
      <c r="M6" s="2447"/>
    </row>
    <row r="7" spans="2:22" ht="15" customHeight="1"/>
    <row r="8" spans="2:22" ht="15" customHeight="1"/>
    <row r="9" spans="2:22" ht="15" customHeight="1">
      <c r="V9" s="1292"/>
    </row>
    <row r="10" spans="2:22" ht="15" customHeight="1">
      <c r="Q10" s="1177" t="s">
        <v>492</v>
      </c>
      <c r="R10" s="1177" t="str">
        <f>IF('Sankey Diagram'!$R$9="kgce","Heat loss or use (kgce/hour)",IF('Sankey Diagram'!$R$9="kgoe","Heat loss or use (kgoe/hour)",IF('Sankey Diagram'!$R$9="kcal","Heat loss or use (kcal/hour)",IF('Sankey Diagram'!$R$9="Btu","Heat loss or use (Btu/hour)",IF('Sankey Diagram'!$R$9="MMBtu","Heat loss or use (MMBtu/hour)","Heat loss or use (kcal/hour)")))))</f>
        <v>Heat loss or use (kgce/hour)</v>
      </c>
      <c r="V10" s="1292"/>
    </row>
    <row r="11" spans="2:22" ht="15" customHeight="1">
      <c r="Q11" s="925" t="s">
        <v>493</v>
      </c>
      <c r="R11" s="1177" t="str">
        <f xml:space="preserve"> IF('Sankey Diagram'!$R$9="kgce", "kgce/Hr.", IF('Sankey Diagram'!$R$9="kgoe", "kgoe/Hr.", IF('Sankey Diagram'!$R$9="kcal","kcal/Hr.", IF('Sankey Diagram'!$R$9="Btu","Btu/Hr.",IF('Sankey Diagram'!$R$9="MMBtu","MMBtu/Hr.","Btu/hr.")))))</f>
        <v>kgce/Hr.</v>
      </c>
      <c r="V11" s="1292"/>
    </row>
    <row r="12" spans="2:22" ht="15" customHeight="1">
      <c r="Q12" s="1208" t="s">
        <v>494</v>
      </c>
      <c r="V12" s="1292"/>
    </row>
    <row r="13" spans="2:22" ht="15" customHeight="1">
      <c r="Q13" s="1182" t="s">
        <v>774</v>
      </c>
      <c r="V13" s="1292"/>
    </row>
    <row r="14" spans="2:22" ht="15" customHeight="1">
      <c r="V14" s="1292"/>
    </row>
    <row r="15" spans="2:22" ht="15" customHeight="1">
      <c r="V15" s="1292"/>
    </row>
    <row r="16" spans="2:22" ht="15" customHeight="1">
      <c r="V16" s="1292"/>
    </row>
    <row r="17" spans="13:22" ht="15" customHeight="1">
      <c r="M17" s="1284"/>
      <c r="V17" s="1292"/>
    </row>
    <row r="18" spans="13:22" ht="15" customHeight="1">
      <c r="V18" s="1292"/>
    </row>
    <row r="19" spans="13:22" ht="15" customHeight="1">
      <c r="V19" s="1292"/>
    </row>
    <row r="20" spans="13:22" ht="15" customHeight="1">
      <c r="V20" s="1292"/>
    </row>
    <row r="21" spans="13:22" ht="15" customHeight="1"/>
    <row r="22" spans="13:22" ht="15" customHeight="1"/>
    <row r="23" spans="13:22" ht="15" customHeight="1"/>
    <row r="24" spans="13:22" ht="15" customHeight="1"/>
    <row r="25" spans="13:22" ht="15" customHeight="1"/>
    <row r="26" spans="13:22" ht="15" customHeight="1"/>
    <row r="27" spans="13:22" ht="15" customHeight="1"/>
    <row r="28" spans="13:22" ht="15" customHeight="1"/>
    <row r="29" spans="13:22" ht="15" customHeight="1"/>
    <row r="30" spans="13:22" ht="15" customHeight="1"/>
    <row r="31" spans="13:22" ht="15" customHeight="1"/>
    <row r="32" spans="13:22" ht="15" customHeight="1"/>
    <row r="33" spans="9:22" ht="15" customHeight="1"/>
    <row r="34" spans="9:22" ht="18" customHeight="1">
      <c r="I34" s="2437" t="s">
        <v>1619</v>
      </c>
      <c r="J34" s="2437"/>
      <c r="K34" s="1293" t="s">
        <v>1171</v>
      </c>
      <c r="L34" s="1293" t="s">
        <v>1119</v>
      </c>
    </row>
    <row r="35" spans="9:22" ht="15" customHeight="1">
      <c r="I35" s="2436" t="s">
        <v>465</v>
      </c>
      <c r="J35" s="2436"/>
      <c r="K35" s="2036">
        <f>'PHASTEx summary report'!D14 / 'Sankey Diagram'!Z9</f>
        <v>0</v>
      </c>
      <c r="L35" s="2036">
        <f>'PHASTEx summary report'!G14 / 'Sankey Diagram'!Z9</f>
        <v>0</v>
      </c>
    </row>
    <row r="36" spans="9:22" ht="15" customHeight="1">
      <c r="I36" s="2436" t="s">
        <v>467</v>
      </c>
      <c r="J36" s="2436"/>
      <c r="K36" s="2036">
        <f>'PHASTEx summary report'!D15 / 'Sankey Diagram'!Z9</f>
        <v>0</v>
      </c>
      <c r="L36" s="2036">
        <f>'PHASTEx summary report'!G15 / 'Sankey Diagram'!Z9</f>
        <v>0</v>
      </c>
    </row>
    <row r="37" spans="9:22" ht="15" customHeight="1">
      <c r="I37" s="2433" t="s">
        <v>468</v>
      </c>
      <c r="J37" s="2433"/>
      <c r="K37" s="2036">
        <f>'PHASTEx summary report'!D16 / 'Sankey Diagram'!Z9</f>
        <v>0</v>
      </c>
      <c r="L37" s="2036">
        <f>'PHASTEx summary report'!G16 / 'Sankey Diagram'!Z9</f>
        <v>0</v>
      </c>
    </row>
    <row r="38" spans="9:22" ht="15" customHeight="1">
      <c r="I38" s="2433" t="s">
        <v>470</v>
      </c>
      <c r="J38" s="2433"/>
      <c r="K38" s="2036">
        <f>'PHASTEx summary report'!D17 / 'Sankey Diagram'!Z9</f>
        <v>0</v>
      </c>
      <c r="L38" s="2036">
        <f>'PHASTEx summary report'!G17 / 'Sankey Diagram'!Z9</f>
        <v>0</v>
      </c>
    </row>
    <row r="39" spans="9:22" ht="15" customHeight="1">
      <c r="I39" s="2433" t="s">
        <v>472</v>
      </c>
      <c r="J39" s="2433"/>
      <c r="K39" s="2036">
        <f>'PHASTEx summary report'!D18 / 'Sankey Diagram'!Z9</f>
        <v>0</v>
      </c>
      <c r="L39" s="2036">
        <f>'PHASTEx summary report'!G18 / 'Sankey Diagram'!Z9</f>
        <v>0</v>
      </c>
    </row>
    <row r="40" spans="9:22" ht="15" customHeight="1">
      <c r="I40" s="2433" t="s">
        <v>974</v>
      </c>
      <c r="J40" s="2433"/>
      <c r="K40" s="2036">
        <f>'PHASTEx summary report'!D19 / 'Sankey Diagram'!Z9</f>
        <v>0</v>
      </c>
      <c r="L40" s="2036">
        <f>'PHASTEx summary report'!G19 / 'Sankey Diagram'!Z9</f>
        <v>0</v>
      </c>
      <c r="V40" s="1292"/>
    </row>
    <row r="41" spans="9:22" ht="15" customHeight="1">
      <c r="I41" s="2433" t="s">
        <v>475</v>
      </c>
      <c r="J41" s="2433"/>
      <c r="K41" s="2036">
        <f>'PHASTEx summary report'!D20 / 'Sankey Diagram'!Z9</f>
        <v>0</v>
      </c>
      <c r="L41" s="2036">
        <f>'PHASTEx summary report'!G20 / 'Sankey Diagram'!Z9</f>
        <v>0</v>
      </c>
      <c r="V41" s="1292"/>
    </row>
    <row r="42" spans="9:22" ht="15" customHeight="1">
      <c r="I42" s="2433" t="s">
        <v>477</v>
      </c>
      <c r="J42" s="2433"/>
      <c r="K42" s="2036">
        <f>'PHASTEx summary report'!D23 / 'Sankey Diagram'!Z9</f>
        <v>0</v>
      </c>
      <c r="L42" s="2036">
        <f>'PHASTEx summary report'!G23 / 'Sankey Diagram'!Z9</f>
        <v>0</v>
      </c>
      <c r="V42" s="1292"/>
    </row>
    <row r="43" spans="9:22" ht="15" customHeight="1">
      <c r="I43" s="2434" t="s">
        <v>1172</v>
      </c>
      <c r="J43" s="2434"/>
      <c r="K43" s="2037">
        <f>SUM(K35:K42)</f>
        <v>0</v>
      </c>
      <c r="L43" s="2037">
        <f>SUM(L35:L42)</f>
        <v>0</v>
      </c>
      <c r="V43" s="1292"/>
    </row>
    <row r="44" spans="9:22" ht="15" customHeight="1">
      <c r="I44" s="2435" t="str">
        <f>'Sankey Diagram'!$Z$10</f>
        <v>All quantities are in units of kgce/Hr.</v>
      </c>
      <c r="J44" s="2435"/>
      <c r="K44" s="2435"/>
      <c r="L44" s="2435"/>
      <c r="V44" s="1292"/>
    </row>
    <row r="45" spans="9:22" ht="15" customHeight="1">
      <c r="V45" s="1292"/>
    </row>
    <row r="46" spans="9:22" ht="15" customHeight="1">
      <c r="V46" s="1292"/>
    </row>
    <row r="47" spans="9:22" ht="15" customHeight="1">
      <c r="V47" s="1292"/>
    </row>
    <row r="48" spans="9:22" ht="15" customHeight="1">
      <c r="V48" s="1292"/>
    </row>
    <row r="49" spans="22:22" ht="15" customHeight="1">
      <c r="V49" s="1292"/>
    </row>
    <row r="50" spans="22:22" hidden="1">
      <c r="V50" s="1292"/>
    </row>
    <row r="51" spans="22:22" hidden="1">
      <c r="V51" s="1292"/>
    </row>
  </sheetData>
  <sheetProtection password="B61E" sheet="1" objects="1" scenarios="1"/>
  <mergeCells count="15">
    <mergeCell ref="I34:J34"/>
    <mergeCell ref="B2:O2"/>
    <mergeCell ref="B3:O3"/>
    <mergeCell ref="D5:M5"/>
    <mergeCell ref="D6:M6"/>
    <mergeCell ref="I35:J35"/>
    <mergeCell ref="I36:J36"/>
    <mergeCell ref="I37:J37"/>
    <mergeCell ref="I38:J38"/>
    <mergeCell ref="I39:J39"/>
    <mergeCell ref="I40:J40"/>
    <mergeCell ref="I41:J41"/>
    <mergeCell ref="I42:J42"/>
    <mergeCell ref="I43:J43"/>
    <mergeCell ref="I44:L44"/>
  </mergeCells>
  <phoneticPr fontId="84" type="noConversion"/>
  <pageMargins left="0.7" right="0.7" top="0.75" bottom="0.75" header="0.3" footer="0.3"/>
  <pageSetup scale="61" orientation="landscape" r:id="rId1"/>
  <headerFooter>
    <oddHeader>&amp;LEnergy Use Distribution - Current Condition</oddHeader>
    <oddFooter>&amp;LUS Department of Energy&amp;C&amp;P&amp;R&amp;D</oddFooter>
  </headerFooter>
  <drawing r:id="rId2"/>
  <legacyDrawing r:id="rId3"/>
  <controls>
    <mc:AlternateContent xmlns:mc="http://schemas.openxmlformats.org/markup-compatibility/2006">
      <mc:Choice Requires="x14">
        <control shapeId="5654546" r:id="rId4" name="CommandButtonReturn">
          <controlPr defaultSize="0" print="0" autoLine="0" r:id="rId5">
            <anchor moveWithCells="1">
              <from>
                <xdr:col>4</xdr:col>
                <xdr:colOff>666750</xdr:colOff>
                <xdr:row>45</xdr:row>
                <xdr:rowOff>9525</xdr:rowOff>
              </from>
              <to>
                <xdr:col>5</xdr:col>
                <xdr:colOff>771525</xdr:colOff>
                <xdr:row>47</xdr:row>
                <xdr:rowOff>133350</xdr:rowOff>
              </to>
            </anchor>
          </controlPr>
        </control>
      </mc:Choice>
      <mc:Fallback>
        <control shapeId="5654546" r:id="rId4" name="CommandButtonReturn"/>
      </mc:Fallback>
    </mc:AlternateContent>
    <mc:AlternateContent xmlns:mc="http://schemas.openxmlformats.org/markup-compatibility/2006">
      <mc:Choice Requires="x14">
        <control shapeId="5654547" r:id="rId6" name="CommandButtonPrevPage">
          <controlPr defaultSize="0" print="0" autoLine="0" r:id="rId7">
            <anchor moveWithCells="1">
              <from>
                <xdr:col>2</xdr:col>
                <xdr:colOff>47625</xdr:colOff>
                <xdr:row>45</xdr:row>
                <xdr:rowOff>19050</xdr:rowOff>
              </from>
              <to>
                <xdr:col>3</xdr:col>
                <xdr:colOff>152400</xdr:colOff>
                <xdr:row>47</xdr:row>
                <xdr:rowOff>142875</xdr:rowOff>
              </to>
            </anchor>
          </controlPr>
        </control>
      </mc:Choice>
      <mc:Fallback>
        <control shapeId="5654547" r:id="rId6" name="CommandButtonPrevPage"/>
      </mc:Fallback>
    </mc:AlternateContent>
    <mc:AlternateContent xmlns:mc="http://schemas.openxmlformats.org/markup-compatibility/2006">
      <mc:Choice Requires="x14">
        <control shapeId="5654960" r:id="rId8" name="CommandButtonNextPage">
          <controlPr defaultSize="0" print="0" autoLine="0" r:id="rId9">
            <anchor moveWithCells="1">
              <from>
                <xdr:col>3</xdr:col>
                <xdr:colOff>390525</xdr:colOff>
                <xdr:row>45</xdr:row>
                <xdr:rowOff>28575</xdr:rowOff>
              </from>
              <to>
                <xdr:col>4</xdr:col>
                <xdr:colOff>495300</xdr:colOff>
                <xdr:row>47</xdr:row>
                <xdr:rowOff>152400</xdr:rowOff>
              </to>
            </anchor>
          </controlPr>
        </control>
      </mc:Choice>
      <mc:Fallback>
        <control shapeId="5654960" r:id="rId8" name="CommandButtonNextPage"/>
      </mc:Fallback>
    </mc:AlternateContent>
    <mc:AlternateContent xmlns:mc="http://schemas.openxmlformats.org/markup-compatibility/2006">
      <mc:Choice Requires="x14">
        <control shapeId="5655227" r:id="rId10" name="CommandButton1">
          <controlPr defaultSize="0" autoLine="0" r:id="rId11">
            <anchor moveWithCells="1">
              <from>
                <xdr:col>6</xdr:col>
                <xdr:colOff>142875</xdr:colOff>
                <xdr:row>45</xdr:row>
                <xdr:rowOff>9525</xdr:rowOff>
              </from>
              <to>
                <xdr:col>7</xdr:col>
                <xdr:colOff>257175</xdr:colOff>
                <xdr:row>47</xdr:row>
                <xdr:rowOff>133350</xdr:rowOff>
              </to>
            </anchor>
          </controlPr>
        </control>
      </mc:Choice>
      <mc:Fallback>
        <control shapeId="5655227" r:id="rId10"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Q59"/>
  <sheetViews>
    <sheetView topLeftCell="K7" workbookViewId="0">
      <selection activeCell="Q13" sqref="Q13"/>
    </sheetView>
  </sheetViews>
  <sheetFormatPr defaultColWidth="0" defaultRowHeight="15" customHeight="1" zeroHeight="1"/>
  <cols>
    <col min="1" max="1" width="6.7109375" style="1177" customWidth="1"/>
    <col min="2" max="15" width="13.28515625" style="1177" customWidth="1"/>
    <col min="16" max="16" width="11.28515625" style="1177" customWidth="1"/>
    <col min="17" max="16384" width="9.140625" style="1177" hidden="1"/>
  </cols>
  <sheetData>
    <row r="1" spans="2:17" ht="13.5" thickBot="1"/>
    <row r="2" spans="2:17" s="1205" customFormat="1" ht="33" customHeight="1">
      <c r="B2" s="2438" t="s">
        <v>1638</v>
      </c>
      <c r="C2" s="2439"/>
      <c r="D2" s="2439"/>
      <c r="E2" s="2439"/>
      <c r="F2" s="2439"/>
      <c r="G2" s="2439"/>
      <c r="H2" s="2439"/>
      <c r="I2" s="2439"/>
      <c r="J2" s="2439"/>
      <c r="K2" s="2439"/>
      <c r="L2" s="2439"/>
      <c r="M2" s="2439"/>
      <c r="N2" s="2439"/>
      <c r="O2" s="2440"/>
      <c r="P2" s="1294"/>
    </row>
    <row r="3" spans="2:17" s="1205" customFormat="1" ht="20.100000000000001" customHeight="1" thickBot="1">
      <c r="B3" s="2441" t="s">
        <v>1618</v>
      </c>
      <c r="C3" s="2442"/>
      <c r="D3" s="2442"/>
      <c r="E3" s="2442"/>
      <c r="F3" s="2442"/>
      <c r="G3" s="2442"/>
      <c r="H3" s="2442"/>
      <c r="I3" s="2442"/>
      <c r="J3" s="2442"/>
      <c r="K3" s="2442"/>
      <c r="L3" s="2442"/>
      <c r="M3" s="2442"/>
      <c r="N3" s="2442"/>
      <c r="O3" s="2443"/>
      <c r="P3" s="1295"/>
    </row>
    <row r="4" spans="2:17" s="1205" customFormat="1" ht="15" customHeight="1">
      <c r="B4" s="1291"/>
      <c r="C4" s="1291"/>
      <c r="D4" s="1291"/>
      <c r="E4" s="1291"/>
      <c r="F4" s="1291"/>
      <c r="G4" s="1291"/>
      <c r="H4" s="1291"/>
      <c r="I4" s="1291"/>
      <c r="J4" s="1291"/>
      <c r="K4" s="1291"/>
      <c r="L4" s="1291"/>
      <c r="M4" s="1291"/>
      <c r="N4" s="1291"/>
    </row>
    <row r="5" spans="2:17" ht="33" customHeight="1">
      <c r="D5" s="2444" t="s">
        <v>764</v>
      </c>
      <c r="E5" s="2445"/>
      <c r="F5" s="2445"/>
      <c r="G5" s="2445"/>
      <c r="H5" s="2445"/>
      <c r="I5" s="2445"/>
      <c r="J5" s="2445"/>
      <c r="K5" s="2445"/>
      <c r="L5" s="2445"/>
      <c r="M5" s="2445"/>
      <c r="N5" s="1296"/>
    </row>
    <row r="6" spans="2:17" ht="29.1" customHeight="1">
      <c r="D6" s="2453" t="s">
        <v>703</v>
      </c>
      <c r="E6" s="2453"/>
      <c r="F6" s="2453"/>
      <c r="G6" s="2453"/>
      <c r="H6" s="2453"/>
      <c r="I6" s="2453"/>
      <c r="J6" s="2453"/>
      <c r="K6" s="2453"/>
      <c r="L6" s="2453"/>
      <c r="M6" s="2453"/>
    </row>
    <row r="7" spans="2:17" ht="15" customHeight="1"/>
    <row r="8" spans="2:17" ht="15" customHeight="1"/>
    <row r="9" spans="2:17" ht="15" customHeight="1"/>
    <row r="10" spans="2:17" ht="15" customHeight="1">
      <c r="Q10" s="1177" t="s">
        <v>492</v>
      </c>
    </row>
    <row r="11" spans="2:17" ht="15" customHeight="1">
      <c r="Q11" s="925" t="s">
        <v>493</v>
      </c>
    </row>
    <row r="12" spans="2:17" ht="15" customHeight="1">
      <c r="Q12" s="1208" t="s">
        <v>494</v>
      </c>
    </row>
    <row r="13" spans="2:17" ht="15" customHeight="1">
      <c r="Q13" s="1182" t="s">
        <v>774</v>
      </c>
    </row>
    <row r="14" spans="2:17" ht="15" customHeight="1"/>
    <row r="15" spans="2:17" ht="15" customHeight="1"/>
    <row r="16" spans="2:17" ht="15" customHeight="1">
      <c r="Q16" s="1297"/>
    </row>
    <row r="17" spans="10:16" ht="15" customHeight="1">
      <c r="M17" s="1284"/>
    </row>
    <row r="18" spans="10:16" ht="15" customHeight="1"/>
    <row r="19" spans="10:16" ht="15" customHeight="1"/>
    <row r="20" spans="10:16" ht="15" customHeight="1"/>
    <row r="21" spans="10:16" ht="15" customHeight="1"/>
    <row r="22" spans="10:16" ht="15" customHeight="1">
      <c r="P22" s="1297"/>
    </row>
    <row r="23" spans="10:16" ht="15" customHeight="1"/>
    <row r="24" spans="10:16" ht="15" customHeight="1"/>
    <row r="25" spans="10:16" ht="15" customHeight="1"/>
    <row r="26" spans="10:16" ht="15" customHeight="1"/>
    <row r="27" spans="10:16" ht="15" customHeight="1"/>
    <row r="28" spans="10:16" ht="15" customHeight="1"/>
    <row r="29" spans="10:16" ht="15" customHeight="1"/>
    <row r="30" spans="10:16" ht="15" customHeight="1"/>
    <row r="31" spans="10:16" ht="15" customHeight="1"/>
    <row r="32" spans="10:16" ht="18" customHeight="1">
      <c r="J32" s="2452" t="s">
        <v>1619</v>
      </c>
      <c r="K32" s="2452"/>
      <c r="L32" s="1293" t="s">
        <v>1171</v>
      </c>
      <c r="M32" s="1293" t="s">
        <v>1119</v>
      </c>
    </row>
    <row r="33" spans="2:13" ht="15" customHeight="1">
      <c r="J33" s="2436" t="s">
        <v>465</v>
      </c>
      <c r="K33" s="2436"/>
      <c r="L33" s="2090">
        <f>'PHASTEx summary report'!D14 / 'Sankey Diagram'!Z9</f>
        <v>0</v>
      </c>
      <c r="M33" s="2090">
        <f>'PHASTEx summary report'!G14 / 'Sankey Diagram'!Z9</f>
        <v>0</v>
      </c>
    </row>
    <row r="34" spans="2:13" ht="15" customHeight="1">
      <c r="J34" s="2436" t="s">
        <v>467</v>
      </c>
      <c r="K34" s="2436"/>
      <c r="L34" s="2090">
        <f>'PHASTEx summary report'!D15 / 'Sankey Diagram'!Z9</f>
        <v>0</v>
      </c>
      <c r="M34" s="2090">
        <f>'PHASTEx summary report'!G15 / 'Sankey Diagram'!Z9</f>
        <v>0</v>
      </c>
    </row>
    <row r="35" spans="2:13" ht="15" customHeight="1">
      <c r="J35" s="2433" t="s">
        <v>468</v>
      </c>
      <c r="K35" s="2433"/>
      <c r="L35" s="2090">
        <f>'PHASTEx summary report'!D16 / 'Sankey Diagram'!Z9</f>
        <v>0</v>
      </c>
      <c r="M35" s="2090">
        <f>'PHASTEx summary report'!G16 / 'Sankey Diagram'!Z9</f>
        <v>0</v>
      </c>
    </row>
    <row r="36" spans="2:13" ht="15" customHeight="1">
      <c r="J36" s="2433" t="s">
        <v>470</v>
      </c>
      <c r="K36" s="2433"/>
      <c r="L36" s="2090">
        <f>'PHASTEx summary report'!D17 / 'Sankey Diagram'!Z9</f>
        <v>0</v>
      </c>
      <c r="M36" s="2090">
        <f>'PHASTEx summary report'!G17 / 'Sankey Diagram'!Z9</f>
        <v>0</v>
      </c>
    </row>
    <row r="37" spans="2:13" ht="15" customHeight="1">
      <c r="J37" s="2433" t="s">
        <v>472</v>
      </c>
      <c r="K37" s="2433"/>
      <c r="L37" s="2090">
        <f>'PHASTEx summary report'!D18 / 'Sankey Diagram'!Z9</f>
        <v>0</v>
      </c>
      <c r="M37" s="2090">
        <f>'PHASTEx summary report'!G18 / 'Sankey Diagram'!Z9</f>
        <v>0</v>
      </c>
    </row>
    <row r="38" spans="2:13" ht="15" customHeight="1">
      <c r="J38" s="2433" t="s">
        <v>974</v>
      </c>
      <c r="K38" s="2433"/>
      <c r="L38" s="2090">
        <f>'PHASTEx summary report'!D19 / 'Sankey Diagram'!Z9</f>
        <v>0</v>
      </c>
      <c r="M38" s="2090">
        <f>'PHASTEx summary report'!G19 / 'Sankey Diagram'!Z9</f>
        <v>0</v>
      </c>
    </row>
    <row r="39" spans="2:13" ht="15" customHeight="1">
      <c r="J39" s="2433" t="s">
        <v>475</v>
      </c>
      <c r="K39" s="2433"/>
      <c r="L39" s="2090">
        <f>'PHASTEx summary report'!D20 / 'Sankey Diagram'!Z9</f>
        <v>0</v>
      </c>
      <c r="M39" s="2090">
        <f>'PHASTEx summary report'!G20 / 'Sankey Diagram'!Z9</f>
        <v>0</v>
      </c>
    </row>
    <row r="40" spans="2:13" ht="15" customHeight="1">
      <c r="J40" s="2433" t="s">
        <v>477</v>
      </c>
      <c r="K40" s="2433"/>
      <c r="L40" s="2090">
        <f>'PHASTEx summary report'!D23 / 'Sankey Diagram'!Z9</f>
        <v>0</v>
      </c>
      <c r="M40" s="2090">
        <f>'PHASTEx summary report'!G23 / 'Sankey Diagram'!Z9</f>
        <v>0</v>
      </c>
    </row>
    <row r="41" spans="2:13" ht="15" customHeight="1">
      <c r="J41" s="2434" t="s">
        <v>1172</v>
      </c>
      <c r="K41" s="2434"/>
      <c r="L41" s="2091">
        <f>SUM(L33:L40)</f>
        <v>0</v>
      </c>
      <c r="M41" s="2091">
        <f>SUM(M33:M40)</f>
        <v>0</v>
      </c>
    </row>
    <row r="42" spans="2:13" ht="15" customHeight="1">
      <c r="J42" s="2454" t="str">
        <f>'Sankey Diagram'!$Z$10</f>
        <v>All quantities are in units of kgce/Hr.</v>
      </c>
      <c r="K42" s="2454"/>
      <c r="L42" s="2454"/>
      <c r="M42" s="2454"/>
    </row>
    <row r="43" spans="2:13" ht="15" customHeight="1"/>
    <row r="44" spans="2:13" ht="15" customHeight="1"/>
    <row r="45" spans="2:13" ht="15" customHeight="1"/>
    <row r="46" spans="2:13" ht="15" customHeight="1">
      <c r="B46" s="2448"/>
      <c r="C46" s="2449"/>
      <c r="D46" s="2449"/>
      <c r="E46" s="2449"/>
      <c r="F46" s="2449"/>
      <c r="G46" s="2449"/>
    </row>
    <row r="47" spans="2:13" ht="15" customHeight="1">
      <c r="B47" s="1298"/>
      <c r="C47" s="1178"/>
      <c r="D47" s="1178"/>
      <c r="E47" s="1178"/>
      <c r="F47" s="1178"/>
      <c r="G47" s="2450"/>
      <c r="H47" s="2451"/>
      <c r="I47" s="2451"/>
      <c r="J47" s="2451"/>
      <c r="K47" s="1283"/>
      <c r="L47" s="1284"/>
    </row>
    <row r="48" spans="2:13" ht="15" customHeight="1">
      <c r="B48" s="1299"/>
    </row>
    <row r="49" spans="2:2" ht="15" customHeight="1">
      <c r="B49" s="1299"/>
    </row>
    <row r="50" spans="2:2" ht="15" hidden="1" customHeight="1">
      <c r="B50" s="1299"/>
    </row>
    <row r="51" spans="2:2" ht="15" hidden="1" customHeight="1">
      <c r="B51" s="1299"/>
    </row>
    <row r="52" spans="2:2" ht="15" hidden="1" customHeight="1">
      <c r="B52" s="1299"/>
    </row>
    <row r="53" spans="2:2" ht="15" hidden="1" customHeight="1">
      <c r="B53" s="1299"/>
    </row>
    <row r="54" spans="2:2" ht="15" hidden="1" customHeight="1">
      <c r="B54" s="1299"/>
    </row>
    <row r="55" spans="2:2" ht="15" hidden="1" customHeight="1">
      <c r="B55" s="1299"/>
    </row>
    <row r="56" spans="2:2" ht="15" hidden="1" customHeight="1">
      <c r="B56" s="1299"/>
    </row>
    <row r="57" spans="2:2" ht="15" hidden="1" customHeight="1">
      <c r="B57" s="1299"/>
    </row>
    <row r="58" spans="2:2" ht="15" hidden="1" customHeight="1">
      <c r="B58" s="1299"/>
    </row>
    <row r="59" spans="2:2" ht="15" hidden="1" customHeight="1">
      <c r="B59" s="1299"/>
    </row>
  </sheetData>
  <sheetProtection password="B61E" sheet="1" objects="1" scenarios="1"/>
  <mergeCells count="17">
    <mergeCell ref="D6:M6"/>
    <mergeCell ref="B3:O3"/>
    <mergeCell ref="B2:O2"/>
    <mergeCell ref="J41:K41"/>
    <mergeCell ref="J42:M42"/>
    <mergeCell ref="D5:M5"/>
    <mergeCell ref="B46:G46"/>
    <mergeCell ref="G47:J47"/>
    <mergeCell ref="J32:K32"/>
    <mergeCell ref="J33:K33"/>
    <mergeCell ref="J34:K34"/>
    <mergeCell ref="J35:K35"/>
    <mergeCell ref="J36:K36"/>
    <mergeCell ref="J37:K37"/>
    <mergeCell ref="J38:K38"/>
    <mergeCell ref="J39:K39"/>
    <mergeCell ref="J40:K40"/>
  </mergeCells>
  <phoneticPr fontId="84" type="noConversion"/>
  <pageMargins left="0.7" right="0.7" top="0.75" bottom="0.75" header="0.3" footer="0.3"/>
  <pageSetup scale="61" orientation="landscape" r:id="rId1"/>
  <headerFooter>
    <oddHeader>&amp;LEnergy Use Distribution - Modified Condition</oddHeader>
    <oddFooter>&amp;LUS Department of Energy&amp;C&amp;P&amp;R&amp;D</oddFooter>
  </headerFooter>
  <drawing r:id="rId2"/>
  <legacyDrawing r:id="rId3"/>
  <controls>
    <mc:AlternateContent xmlns:mc="http://schemas.openxmlformats.org/markup-compatibility/2006">
      <mc:Choice Requires="x14">
        <control shapeId="6251522" r:id="rId4" name="CommandButtonReturn">
          <controlPr defaultSize="0" print="0" autoLine="0" r:id="rId5">
            <anchor moveWithCells="1">
              <from>
                <xdr:col>5</xdr:col>
                <xdr:colOff>457200</xdr:colOff>
                <xdr:row>44</xdr:row>
                <xdr:rowOff>76200</xdr:rowOff>
              </from>
              <to>
                <xdr:col>6</xdr:col>
                <xdr:colOff>561975</xdr:colOff>
                <xdr:row>47</xdr:row>
                <xdr:rowOff>9525</xdr:rowOff>
              </to>
            </anchor>
          </controlPr>
        </control>
      </mc:Choice>
      <mc:Fallback>
        <control shapeId="6251522" r:id="rId4" name="CommandButtonReturn"/>
      </mc:Fallback>
    </mc:AlternateContent>
    <mc:AlternateContent xmlns:mc="http://schemas.openxmlformats.org/markup-compatibility/2006">
      <mc:Choice Requires="x14">
        <control shapeId="6251523" r:id="rId6" name="CommandButtonPrevPage">
          <controlPr defaultSize="0" print="0" autoLine="0" r:id="rId7">
            <anchor moveWithCells="1">
              <from>
                <xdr:col>2</xdr:col>
                <xdr:colOff>628650</xdr:colOff>
                <xdr:row>44</xdr:row>
                <xdr:rowOff>76200</xdr:rowOff>
              </from>
              <to>
                <xdr:col>3</xdr:col>
                <xdr:colOff>733425</xdr:colOff>
                <xdr:row>47</xdr:row>
                <xdr:rowOff>9525</xdr:rowOff>
              </to>
            </anchor>
          </controlPr>
        </control>
      </mc:Choice>
      <mc:Fallback>
        <control shapeId="6251523" r:id="rId6" name="CommandButtonPrevPage"/>
      </mc:Fallback>
    </mc:AlternateContent>
    <mc:AlternateContent xmlns:mc="http://schemas.openxmlformats.org/markup-compatibility/2006">
      <mc:Choice Requires="x14">
        <control shapeId="6251704" r:id="rId8" name="CommandButtonNextPage">
          <controlPr defaultSize="0" print="0" autoLine="0" r:id="rId9">
            <anchor moveWithCells="1">
              <from>
                <xdr:col>4</xdr:col>
                <xdr:colOff>47625</xdr:colOff>
                <xdr:row>44</xdr:row>
                <xdr:rowOff>76200</xdr:rowOff>
              </from>
              <to>
                <xdr:col>5</xdr:col>
                <xdr:colOff>152400</xdr:colOff>
                <xdr:row>47</xdr:row>
                <xdr:rowOff>9525</xdr:rowOff>
              </to>
            </anchor>
          </controlPr>
        </control>
      </mc:Choice>
      <mc:Fallback>
        <control shapeId="6251704" r:id="rId8" name="CommandButtonNextPage"/>
      </mc:Fallback>
    </mc:AlternateContent>
    <mc:AlternateContent xmlns:mc="http://schemas.openxmlformats.org/markup-compatibility/2006">
      <mc:Choice Requires="x14">
        <control shapeId="6251879" r:id="rId10" name="CommandButton1">
          <controlPr defaultSize="0" autoLine="0" r:id="rId11">
            <anchor moveWithCells="1">
              <from>
                <xdr:col>7</xdr:col>
                <xdr:colOff>152400</xdr:colOff>
                <xdr:row>44</xdr:row>
                <xdr:rowOff>66675</xdr:rowOff>
              </from>
              <to>
                <xdr:col>8</xdr:col>
                <xdr:colOff>266700</xdr:colOff>
                <xdr:row>47</xdr:row>
                <xdr:rowOff>0</xdr:rowOff>
              </to>
            </anchor>
          </controlPr>
        </control>
      </mc:Choice>
      <mc:Fallback>
        <control shapeId="6251879" r:id="rId10"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N74"/>
  <sheetViews>
    <sheetView topLeftCell="E1" workbookViewId="0">
      <selection activeCell="J8" sqref="J8"/>
    </sheetView>
  </sheetViews>
  <sheetFormatPr defaultColWidth="0" defaultRowHeight="12.75" zeroHeight="1"/>
  <cols>
    <col min="1" max="1" width="9.140625" style="1215" customWidth="1"/>
    <col min="2" max="2" width="29.28515625" style="1215" customWidth="1"/>
    <col min="3" max="3" width="69" style="1215" customWidth="1"/>
    <col min="4" max="4" width="46.85546875" style="1215" customWidth="1"/>
    <col min="5" max="5" width="18.42578125" style="1215" customWidth="1"/>
    <col min="6" max="6" width="12.5703125" style="1215" customWidth="1"/>
    <col min="7" max="8" width="9.140625" style="1215" customWidth="1"/>
    <col min="9" max="16384" width="9.140625" style="1215" hidden="1"/>
  </cols>
  <sheetData>
    <row r="1" spans="2:14" s="1177" customFormat="1" ht="13.5" thickBot="1"/>
    <row r="2" spans="2:14" s="1177" customFormat="1" ht="33" customHeight="1">
      <c r="B2" s="2461" t="s">
        <v>1638</v>
      </c>
      <c r="C2" s="2462"/>
      <c r="D2" s="2462"/>
      <c r="E2" s="2462"/>
      <c r="F2" s="2463"/>
    </row>
    <row r="3" spans="2:14" s="1177" customFormat="1" ht="20.100000000000001" customHeight="1" thickBot="1">
      <c r="B3" s="2430" t="s">
        <v>1618</v>
      </c>
      <c r="C3" s="2431"/>
      <c r="D3" s="2431"/>
      <c r="E3" s="2431"/>
      <c r="F3" s="2432"/>
    </row>
    <row r="4" spans="2:14" s="1177" customFormat="1">
      <c r="C4" s="1300"/>
    </row>
    <row r="5" spans="2:14" s="1177" customFormat="1" ht="33" customHeight="1">
      <c r="C5" s="2444" t="s">
        <v>765</v>
      </c>
      <c r="D5" s="2446"/>
      <c r="J5" s="2494" t="s">
        <v>479</v>
      </c>
      <c r="K5" s="2495"/>
      <c r="L5" s="2223" t="s">
        <v>1114</v>
      </c>
      <c r="M5" s="2223" t="s">
        <v>1119</v>
      </c>
    </row>
    <row r="6" spans="2:14" s="1177" customFormat="1" ht="20.100000000000001" customHeight="1">
      <c r="C6" s="2471" t="s">
        <v>1651</v>
      </c>
      <c r="D6" s="2471"/>
      <c r="E6" s="1301"/>
      <c r="F6" s="1301"/>
      <c r="J6" s="2494" t="s">
        <v>1650</v>
      </c>
      <c r="K6" s="2495"/>
      <c r="L6" s="2224">
        <f>'Flue gases'!D14/100</f>
        <v>0.90133904135354603</v>
      </c>
      <c r="M6" s="2224">
        <f>'Flue gases'!E14/100</f>
        <v>0.93921085999999998</v>
      </c>
    </row>
    <row r="7" spans="2:14" s="1177" customFormat="1"/>
    <row r="8" spans="2:14" s="1302" customFormat="1" ht="14.25">
      <c r="J8" s="1302" t="s">
        <v>1094</v>
      </c>
    </row>
    <row r="9" spans="2:14" s="1302" customFormat="1" ht="20.100000000000001" customHeight="1" thickBot="1">
      <c r="B9" s="1303" t="s">
        <v>704</v>
      </c>
      <c r="C9" s="1304" t="s">
        <v>706</v>
      </c>
      <c r="J9" s="1302" t="s">
        <v>774</v>
      </c>
    </row>
    <row r="10" spans="2:14" s="1302" customFormat="1" ht="20.100000000000001" customHeight="1">
      <c r="B10" s="2470" t="s">
        <v>705</v>
      </c>
      <c r="C10" s="2121" t="str">
        <f>IF(K10=0," ",K10)</f>
        <v xml:space="preserve"> </v>
      </c>
      <c r="D10" s="2472" t="s">
        <v>717</v>
      </c>
      <c r="E10" s="2475">
        <f>M12 / 'Sankey Diagram'!Z9</f>
        <v>0</v>
      </c>
      <c r="F10" s="2478" t="str">
        <f>'Energy Usage Distribution'!R11</f>
        <v>kgce/Hr.</v>
      </c>
      <c r="J10" s="1302" t="s">
        <v>493</v>
      </c>
      <c r="K10" s="1305">
        <f>'Load Charge Solid-1'!C160</f>
        <v>0</v>
      </c>
      <c r="M10" s="1306"/>
    </row>
    <row r="11" spans="2:14" s="1302" customFormat="1" ht="20.100000000000001" hidden="1" customHeight="1">
      <c r="B11" s="2459"/>
      <c r="C11" s="2122" t="str">
        <f t="shared" ref="C11:C64" si="0">IF(K11=0," ",K11)</f>
        <v xml:space="preserve"> </v>
      </c>
      <c r="D11" s="2473"/>
      <c r="E11" s="2476"/>
      <c r="F11" s="2479"/>
      <c r="J11" s="1302" t="s">
        <v>1094</v>
      </c>
      <c r="K11" s="1305">
        <f>'Load Charge Solid-1'!C161</f>
        <v>0</v>
      </c>
    </row>
    <row r="12" spans="2:14" s="1302" customFormat="1" ht="20.100000000000001" hidden="1" customHeight="1">
      <c r="B12" s="2459"/>
      <c r="C12" s="2122" t="str">
        <f t="shared" si="0"/>
        <v xml:space="preserve"> </v>
      </c>
      <c r="D12" s="2473"/>
      <c r="E12" s="2476"/>
      <c r="F12" s="2479"/>
      <c r="K12" s="1305">
        <f>'Load Charge Solid-1'!C162</f>
        <v>0</v>
      </c>
      <c r="M12" s="1306">
        <f>'Load Charge Solid-1'!E156/L6-'Load Charge Solid-1'!F156/M6</f>
        <v>0</v>
      </c>
    </row>
    <row r="13" spans="2:14" s="1302" customFormat="1" ht="20.100000000000001" hidden="1" customHeight="1">
      <c r="B13" s="2459"/>
      <c r="C13" s="2122" t="str">
        <f t="shared" si="0"/>
        <v xml:space="preserve"> </v>
      </c>
      <c r="D13" s="2473"/>
      <c r="E13" s="2476"/>
      <c r="F13" s="2479"/>
      <c r="K13" s="1305">
        <f>'Load Charge Solid-1'!C163</f>
        <v>0</v>
      </c>
    </row>
    <row r="14" spans="2:14" s="1302" customFormat="1" ht="20.100000000000001" hidden="1" customHeight="1">
      <c r="B14" s="2460"/>
      <c r="C14" s="2227" t="str">
        <f t="shared" si="0"/>
        <v xml:space="preserve"> </v>
      </c>
      <c r="D14" s="2474"/>
      <c r="E14" s="2477"/>
      <c r="F14" s="2480"/>
      <c r="K14" s="1305">
        <f>'Load Charge Solid-1'!C164</f>
        <v>0</v>
      </c>
    </row>
    <row r="15" spans="2:14" s="1302" customFormat="1" ht="20.100000000000001" customHeight="1">
      <c r="B15" s="2458" t="s">
        <v>707</v>
      </c>
      <c r="C15" s="2228" t="str">
        <f>IF(K15=0," ",K15)</f>
        <v xml:space="preserve"> </v>
      </c>
      <c r="D15" s="2467" t="s">
        <v>717</v>
      </c>
      <c r="E15" s="2491">
        <f>M17 / 'Sankey Diagram'!Z9</f>
        <v>0</v>
      </c>
      <c r="F15" s="2464" t="str">
        <f>F10</f>
        <v>kgce/Hr.</v>
      </c>
      <c r="K15" s="1305">
        <f>'Load Charge Liquid-1'!C124</f>
        <v>0</v>
      </c>
      <c r="M15" s="1306"/>
      <c r="N15" s="1306"/>
    </row>
    <row r="16" spans="2:14" s="1302" customFormat="1" ht="20.100000000000001" hidden="1" customHeight="1">
      <c r="B16" s="2459"/>
      <c r="C16" s="2122" t="str">
        <f t="shared" si="0"/>
        <v xml:space="preserve"> </v>
      </c>
      <c r="D16" s="2468"/>
      <c r="E16" s="2492"/>
      <c r="F16" s="2465"/>
      <c r="K16" s="1305">
        <f>'Load Charge Liquid-1'!C125</f>
        <v>0</v>
      </c>
    </row>
    <row r="17" spans="2:14" s="1302" customFormat="1" ht="20.100000000000001" hidden="1" customHeight="1">
      <c r="B17" s="2459"/>
      <c r="C17" s="2122" t="str">
        <f t="shared" si="0"/>
        <v xml:space="preserve"> </v>
      </c>
      <c r="D17" s="2468"/>
      <c r="E17" s="2492"/>
      <c r="F17" s="2465"/>
      <c r="K17" s="1305">
        <f>'Load Charge Liquid-1'!C126</f>
        <v>0</v>
      </c>
      <c r="M17" s="1306">
        <f>'Load Charge Liquid-1'!E120/L6-'Load Charge Liquid-1'!F120/M6</f>
        <v>0</v>
      </c>
    </row>
    <row r="18" spans="2:14" s="1302" customFormat="1" ht="20.100000000000001" hidden="1" customHeight="1">
      <c r="B18" s="2459"/>
      <c r="C18" s="2122" t="str">
        <f t="shared" si="0"/>
        <v xml:space="preserve"> </v>
      </c>
      <c r="D18" s="2468"/>
      <c r="E18" s="2492"/>
      <c r="F18" s="2465"/>
      <c r="K18" s="1305">
        <f>'Load Charge Liquid-1'!C127</f>
        <v>0</v>
      </c>
    </row>
    <row r="19" spans="2:14" s="1302" customFormat="1" ht="20.100000000000001" hidden="1" customHeight="1">
      <c r="B19" s="2460"/>
      <c r="C19" s="2227" t="str">
        <f t="shared" si="0"/>
        <v xml:space="preserve"> </v>
      </c>
      <c r="D19" s="2469"/>
      <c r="E19" s="2493"/>
      <c r="F19" s="2466"/>
      <c r="K19" s="1305">
        <f>'Load Charge Liquid-1'!C128</f>
        <v>0</v>
      </c>
    </row>
    <row r="20" spans="2:14" s="1302" customFormat="1" ht="20.100000000000001" customHeight="1">
      <c r="B20" s="2458" t="s">
        <v>708</v>
      </c>
      <c r="C20" s="2228" t="str">
        <f>IF(K20=0," ",K20)</f>
        <v xml:space="preserve"> </v>
      </c>
      <c r="D20" s="2467" t="s">
        <v>717</v>
      </c>
      <c r="E20" s="2491">
        <f>M20 / 'Sankey Diagram'!Z9</f>
        <v>0</v>
      </c>
      <c r="F20" s="2464" t="str">
        <f>F10</f>
        <v>kgce/Hr.</v>
      </c>
      <c r="K20" s="1305">
        <f>'Load Charge Gas-1'!C109</f>
        <v>0</v>
      </c>
      <c r="M20" s="1306">
        <f>'Load Charge Gas-1'!E105/L6-'Load Charge Gas-1'!F105/M6</f>
        <v>0</v>
      </c>
      <c r="N20" s="1306"/>
    </row>
    <row r="21" spans="2:14" s="1302" customFormat="1" ht="20.100000000000001" hidden="1" customHeight="1">
      <c r="B21" s="2459"/>
      <c r="C21" s="2122" t="str">
        <f t="shared" si="0"/>
        <v xml:space="preserve"> </v>
      </c>
      <c r="D21" s="2468"/>
      <c r="E21" s="2492"/>
      <c r="F21" s="2465"/>
      <c r="K21" s="1305">
        <f>'Load Charge Gas-1'!C110</f>
        <v>0</v>
      </c>
    </row>
    <row r="22" spans="2:14" s="1302" customFormat="1" ht="20.100000000000001" hidden="1" customHeight="1">
      <c r="B22" s="2459"/>
      <c r="C22" s="2122" t="str">
        <f t="shared" si="0"/>
        <v xml:space="preserve"> </v>
      </c>
      <c r="D22" s="2468"/>
      <c r="E22" s="2492"/>
      <c r="F22" s="2465"/>
      <c r="K22" s="1305">
        <f>'Load Charge Gas-1'!C111</f>
        <v>0</v>
      </c>
    </row>
    <row r="23" spans="2:14" s="1302" customFormat="1" ht="20.100000000000001" hidden="1" customHeight="1">
      <c r="B23" s="2459"/>
      <c r="C23" s="2122" t="str">
        <f t="shared" si="0"/>
        <v xml:space="preserve"> </v>
      </c>
      <c r="D23" s="2468"/>
      <c r="E23" s="2492"/>
      <c r="F23" s="2465"/>
      <c r="K23" s="1305">
        <f>'Load Charge Gas-1'!C112</f>
        <v>0</v>
      </c>
    </row>
    <row r="24" spans="2:14" s="1302" customFormat="1" ht="20.100000000000001" hidden="1" customHeight="1">
      <c r="B24" s="2460"/>
      <c r="C24" s="2227" t="str">
        <f t="shared" si="0"/>
        <v xml:space="preserve"> </v>
      </c>
      <c r="D24" s="2469"/>
      <c r="E24" s="2493"/>
      <c r="F24" s="2466"/>
      <c r="K24" s="1305">
        <f>'Load Charge Gas-1'!C113</f>
        <v>0</v>
      </c>
    </row>
    <row r="25" spans="2:14" s="1302" customFormat="1" ht="20.100000000000001" customHeight="1">
      <c r="B25" s="2458" t="s">
        <v>711</v>
      </c>
      <c r="C25" s="2228" t="str">
        <f>IF(K25=0," ",K25)</f>
        <v xml:space="preserve"> </v>
      </c>
      <c r="D25" s="2467" t="s">
        <v>717</v>
      </c>
      <c r="E25" s="2491">
        <f>M25 / 'Sankey Diagram'!Z9</f>
        <v>0</v>
      </c>
      <c r="F25" s="2464" t="str">
        <f>F10</f>
        <v>kgce/Hr.</v>
      </c>
      <c r="K25" s="1302">
        <f>'Fixture losses '!B69</f>
        <v>0</v>
      </c>
      <c r="M25" s="1306">
        <f>'Fixture losses '!D65/L6-'Fixture losses '!E65/M6</f>
        <v>0</v>
      </c>
      <c r="N25" s="1306"/>
    </row>
    <row r="26" spans="2:14" s="1302" customFormat="1" ht="20.100000000000001" hidden="1" customHeight="1">
      <c r="B26" s="2459"/>
      <c r="C26" s="2122" t="str">
        <f t="shared" si="0"/>
        <v xml:space="preserve"> </v>
      </c>
      <c r="D26" s="2468"/>
      <c r="E26" s="2492"/>
      <c r="F26" s="2465"/>
      <c r="K26" s="1302">
        <f>'Fixture losses '!B70</f>
        <v>0</v>
      </c>
    </row>
    <row r="27" spans="2:14" s="1302" customFormat="1" ht="20.100000000000001" hidden="1" customHeight="1">
      <c r="B27" s="2459"/>
      <c r="C27" s="2122" t="str">
        <f t="shared" si="0"/>
        <v xml:space="preserve"> </v>
      </c>
      <c r="D27" s="2468"/>
      <c r="E27" s="2492"/>
      <c r="F27" s="2465"/>
      <c r="K27" s="1302">
        <f>'Fixture losses '!B71</f>
        <v>0</v>
      </c>
    </row>
    <row r="28" spans="2:14" s="1302" customFormat="1" ht="20.100000000000001" hidden="1" customHeight="1">
      <c r="B28" s="2459"/>
      <c r="C28" s="2122" t="str">
        <f t="shared" si="0"/>
        <v xml:space="preserve"> </v>
      </c>
      <c r="D28" s="2468"/>
      <c r="E28" s="2492"/>
      <c r="F28" s="2465"/>
      <c r="K28" s="1302">
        <f>'Fixture losses '!B72</f>
        <v>0</v>
      </c>
    </row>
    <row r="29" spans="2:14" s="1302" customFormat="1" ht="20.100000000000001" hidden="1" customHeight="1">
      <c r="B29" s="2460"/>
      <c r="C29" s="2227" t="str">
        <f t="shared" si="0"/>
        <v xml:space="preserve"> </v>
      </c>
      <c r="D29" s="2469"/>
      <c r="E29" s="2493"/>
      <c r="F29" s="2466"/>
      <c r="K29" s="1302">
        <f>'Fixture losses '!B73</f>
        <v>0</v>
      </c>
    </row>
    <row r="30" spans="2:14" s="1302" customFormat="1" ht="20.100000000000001" customHeight="1">
      <c r="B30" s="2458" t="s">
        <v>966</v>
      </c>
      <c r="C30" s="2228" t="str">
        <f>IF(K30=0," ",K30)</f>
        <v xml:space="preserve"> </v>
      </c>
      <c r="D30" s="2467" t="s">
        <v>717</v>
      </c>
      <c r="E30" s="2491">
        <f>M30 / 'Sankey Diagram'!Z9</f>
        <v>0</v>
      </c>
      <c r="F30" s="2464" t="str">
        <f>F10</f>
        <v>kgce/Hr.</v>
      </c>
      <c r="K30" s="1302">
        <f>'Wall losses'!B133</f>
        <v>0</v>
      </c>
      <c r="M30" s="1306">
        <f>'Wall losses'!D129/L6-'Wall losses'!E129/M6</f>
        <v>0</v>
      </c>
      <c r="N30" s="1306"/>
    </row>
    <row r="31" spans="2:14" s="1302" customFormat="1" ht="20.100000000000001" hidden="1" customHeight="1">
      <c r="B31" s="2459"/>
      <c r="C31" s="2122" t="str">
        <f t="shared" si="0"/>
        <v xml:space="preserve"> </v>
      </c>
      <c r="D31" s="2468"/>
      <c r="E31" s="2492"/>
      <c r="F31" s="2465"/>
      <c r="K31" s="1302">
        <f>'Wall losses'!B134</f>
        <v>0</v>
      </c>
    </row>
    <row r="32" spans="2:14" s="1302" customFormat="1" ht="20.100000000000001" hidden="1" customHeight="1">
      <c r="B32" s="2459"/>
      <c r="C32" s="2122" t="str">
        <f t="shared" si="0"/>
        <v xml:space="preserve"> </v>
      </c>
      <c r="D32" s="2468"/>
      <c r="E32" s="2492"/>
      <c r="F32" s="2465"/>
      <c r="K32" s="1302">
        <f>'Wall losses'!B135</f>
        <v>0</v>
      </c>
    </row>
    <row r="33" spans="2:14" s="1302" customFormat="1" ht="20.100000000000001" hidden="1" customHeight="1">
      <c r="B33" s="2459"/>
      <c r="C33" s="2122" t="str">
        <f t="shared" si="0"/>
        <v xml:space="preserve"> </v>
      </c>
      <c r="D33" s="2468"/>
      <c r="E33" s="2492"/>
      <c r="F33" s="2465"/>
      <c r="K33" s="1302">
        <f>'Wall losses'!B136</f>
        <v>0</v>
      </c>
    </row>
    <row r="34" spans="2:14" s="1302" customFormat="1" ht="20.100000000000001" hidden="1" customHeight="1">
      <c r="B34" s="2460"/>
      <c r="C34" s="2227" t="str">
        <f t="shared" si="0"/>
        <v xml:space="preserve"> </v>
      </c>
      <c r="D34" s="2469"/>
      <c r="E34" s="2493"/>
      <c r="F34" s="2466"/>
      <c r="K34" s="1302">
        <f>'Wall losses'!B137</f>
        <v>0</v>
      </c>
    </row>
    <row r="35" spans="2:14" s="1302" customFormat="1" ht="20.100000000000001" customHeight="1">
      <c r="B35" s="2458" t="s">
        <v>712</v>
      </c>
      <c r="C35" s="2228" t="str">
        <f>IF(K35=0," ",K35)</f>
        <v xml:space="preserve"> </v>
      </c>
      <c r="D35" s="2467" t="s">
        <v>717</v>
      </c>
      <c r="E35" s="2491">
        <f>M35 / 'Sankey Diagram'!Z9</f>
        <v>0</v>
      </c>
      <c r="F35" s="2464" t="str">
        <f>F10</f>
        <v>kgce/Hr.</v>
      </c>
      <c r="K35" s="1302">
        <f>'Water-Air cooling'!B237</f>
        <v>0</v>
      </c>
      <c r="M35" s="1306">
        <f>'Water-Air cooling'!D233/L6-'Water-Air cooling'!E233/M6</f>
        <v>0</v>
      </c>
    </row>
    <row r="36" spans="2:14" s="1302" customFormat="1" ht="20.100000000000001" hidden="1" customHeight="1">
      <c r="B36" s="2459"/>
      <c r="C36" s="2122" t="str">
        <f t="shared" si="0"/>
        <v xml:space="preserve"> </v>
      </c>
      <c r="D36" s="2468"/>
      <c r="E36" s="2492"/>
      <c r="F36" s="2465"/>
      <c r="K36" s="1302">
        <f>'Water-Air cooling'!B238</f>
        <v>0</v>
      </c>
    </row>
    <row r="37" spans="2:14" s="1302" customFormat="1" ht="20.100000000000001" hidden="1" customHeight="1">
      <c r="B37" s="2459"/>
      <c r="C37" s="2122" t="str">
        <f t="shared" si="0"/>
        <v xml:space="preserve"> </v>
      </c>
      <c r="D37" s="2468"/>
      <c r="E37" s="2492"/>
      <c r="F37" s="2465"/>
      <c r="K37" s="1302">
        <f>'Water-Air cooling'!B239</f>
        <v>0</v>
      </c>
    </row>
    <row r="38" spans="2:14" s="1302" customFormat="1" ht="20.100000000000001" hidden="1" customHeight="1">
      <c r="B38" s="2459"/>
      <c r="C38" s="2122" t="str">
        <f t="shared" si="0"/>
        <v xml:space="preserve"> </v>
      </c>
      <c r="D38" s="2468"/>
      <c r="E38" s="2492"/>
      <c r="F38" s="2465"/>
      <c r="K38" s="1302">
        <f>'Water-Air cooling'!B240</f>
        <v>0</v>
      </c>
    </row>
    <row r="39" spans="2:14" s="1302" customFormat="1" ht="20.100000000000001" hidden="1" customHeight="1">
      <c r="B39" s="2460"/>
      <c r="C39" s="2227" t="str">
        <f t="shared" si="0"/>
        <v xml:space="preserve"> </v>
      </c>
      <c r="D39" s="2469"/>
      <c r="E39" s="2493"/>
      <c r="F39" s="2466"/>
      <c r="K39" s="1302">
        <f>'Water-Air cooling'!B241</f>
        <v>0</v>
      </c>
    </row>
    <row r="40" spans="2:14" s="1302" customFormat="1" ht="20.100000000000001" customHeight="1">
      <c r="B40" s="2458" t="s">
        <v>593</v>
      </c>
      <c r="C40" s="2228" t="str">
        <f>IF(K40=0," ",K40)</f>
        <v xml:space="preserve"> </v>
      </c>
      <c r="D40" s="2467" t="s">
        <v>717</v>
      </c>
      <c r="E40" s="2491">
        <f>M40 / 'Sankey Diagram'!Z9</f>
        <v>0</v>
      </c>
      <c r="F40" s="2464" t="str">
        <f>F10</f>
        <v>kgce/Hr.</v>
      </c>
      <c r="K40" s="1302">
        <f>'Atmosphere losses'!B55</f>
        <v>0</v>
      </c>
      <c r="M40" s="1306">
        <f>'Atmosphere losses'!D50/L6-'Atmosphere losses'!E50/M6</f>
        <v>0</v>
      </c>
      <c r="N40" s="1306"/>
    </row>
    <row r="41" spans="2:14" s="1302" customFormat="1" ht="20.100000000000001" hidden="1" customHeight="1">
      <c r="B41" s="2459"/>
      <c r="C41" s="2122" t="str">
        <f t="shared" si="0"/>
        <v xml:space="preserve"> </v>
      </c>
      <c r="D41" s="2468"/>
      <c r="E41" s="2492"/>
      <c r="F41" s="2465"/>
      <c r="K41" s="1302">
        <f>'Atmosphere losses'!B56</f>
        <v>0</v>
      </c>
    </row>
    <row r="42" spans="2:14" s="1302" customFormat="1" ht="20.100000000000001" hidden="1" customHeight="1">
      <c r="B42" s="2459"/>
      <c r="C42" s="2122" t="str">
        <f t="shared" si="0"/>
        <v xml:space="preserve"> </v>
      </c>
      <c r="D42" s="2468"/>
      <c r="E42" s="2492"/>
      <c r="F42" s="2465"/>
      <c r="K42" s="1302">
        <f>'Atmosphere losses'!B57</f>
        <v>0</v>
      </c>
    </row>
    <row r="43" spans="2:14" s="1302" customFormat="1" ht="20.100000000000001" hidden="1" customHeight="1">
      <c r="B43" s="2459"/>
      <c r="C43" s="2122" t="str">
        <f t="shared" si="0"/>
        <v xml:space="preserve"> </v>
      </c>
      <c r="D43" s="2468"/>
      <c r="E43" s="2492"/>
      <c r="F43" s="2465"/>
      <c r="K43" s="1302">
        <f>'Atmosphere losses'!B58</f>
        <v>0</v>
      </c>
    </row>
    <row r="44" spans="2:14" s="1302" customFormat="1" ht="20.100000000000001" hidden="1" customHeight="1">
      <c r="B44" s="2460"/>
      <c r="C44" s="2227" t="str">
        <f t="shared" si="0"/>
        <v xml:space="preserve"> </v>
      </c>
      <c r="D44" s="2469"/>
      <c r="E44" s="2493"/>
      <c r="F44" s="2466"/>
      <c r="K44" s="1302">
        <f>'Atmosphere losses'!B59</f>
        <v>0</v>
      </c>
    </row>
    <row r="45" spans="2:14" s="1302" customFormat="1" ht="20.100000000000001" customHeight="1">
      <c r="B45" s="2458" t="s">
        <v>1096</v>
      </c>
      <c r="C45" s="2228" t="str">
        <f>IF(K45=0," ",K45)</f>
        <v xml:space="preserve"> </v>
      </c>
      <c r="D45" s="2467" t="s">
        <v>717</v>
      </c>
      <c r="E45" s="2496">
        <f>('PHASTEx summary report'!D23-'PHASTEx summary report'!G23)/ 'Sankey Diagram'!Z9</f>
        <v>0</v>
      </c>
      <c r="F45" s="2464" t="str">
        <f>F10</f>
        <v>kgce/Hr.</v>
      </c>
      <c r="K45" s="1302">
        <f>'Flue gases'!B18</f>
        <v>0</v>
      </c>
    </row>
    <row r="46" spans="2:14" s="1302" customFormat="1" ht="20.100000000000001" hidden="1" customHeight="1">
      <c r="B46" s="2459"/>
      <c r="C46" s="2122" t="str">
        <f t="shared" si="0"/>
        <v xml:space="preserve"> </v>
      </c>
      <c r="D46" s="2468"/>
      <c r="E46" s="2497"/>
      <c r="F46" s="2465"/>
      <c r="K46" s="1302">
        <f>'Flue gases'!B19</f>
        <v>0</v>
      </c>
    </row>
    <row r="47" spans="2:14" s="1302" customFormat="1" ht="20.100000000000001" hidden="1" customHeight="1">
      <c r="B47" s="2459"/>
      <c r="C47" s="2122" t="str">
        <f t="shared" si="0"/>
        <v xml:space="preserve"> </v>
      </c>
      <c r="D47" s="2468"/>
      <c r="E47" s="2497"/>
      <c r="F47" s="2465"/>
      <c r="K47" s="1302">
        <f>'Flue gases'!B20</f>
        <v>0</v>
      </c>
    </row>
    <row r="48" spans="2:14" s="1302" customFormat="1" ht="20.100000000000001" hidden="1" customHeight="1">
      <c r="B48" s="2459"/>
      <c r="C48" s="2122" t="str">
        <f t="shared" si="0"/>
        <v xml:space="preserve"> </v>
      </c>
      <c r="D48" s="2468"/>
      <c r="E48" s="2497"/>
      <c r="F48" s="2465"/>
      <c r="K48" s="1302">
        <f>'Flue gases'!B21</f>
        <v>0</v>
      </c>
    </row>
    <row r="49" spans="2:14" s="1302" customFormat="1" ht="20.100000000000001" hidden="1" customHeight="1">
      <c r="B49" s="2460"/>
      <c r="C49" s="2227" t="str">
        <f t="shared" si="0"/>
        <v xml:space="preserve"> </v>
      </c>
      <c r="D49" s="2469"/>
      <c r="E49" s="2498"/>
      <c r="F49" s="2466"/>
      <c r="K49" s="1302">
        <f>'Flue gases'!B22</f>
        <v>0</v>
      </c>
    </row>
    <row r="50" spans="2:14" s="1302" customFormat="1" ht="20.100000000000001" customHeight="1">
      <c r="B50" s="2458" t="s">
        <v>713</v>
      </c>
      <c r="C50" s="2228" t="str">
        <f>IF(K50=0," ",K50)</f>
        <v xml:space="preserve"> </v>
      </c>
      <c r="D50" s="2467" t="s">
        <v>717</v>
      </c>
      <c r="E50" s="2491">
        <f>M50 / 'Sankey Diagram'!Z9</f>
        <v>0</v>
      </c>
      <c r="F50" s="2464" t="str">
        <f>F10</f>
        <v>kgce/Hr.</v>
      </c>
      <c r="K50" s="1302">
        <f>'Radiation losses from opening'!B164</f>
        <v>0</v>
      </c>
      <c r="M50" s="1306">
        <f>'Radiation losses from opening'!D160/L6-'Radiation losses from opening'!E160/M6</f>
        <v>0</v>
      </c>
      <c r="N50" s="1306"/>
    </row>
    <row r="51" spans="2:14" s="1302" customFormat="1" ht="20.100000000000001" hidden="1" customHeight="1">
      <c r="B51" s="2459"/>
      <c r="C51" s="2122" t="str">
        <f t="shared" si="0"/>
        <v xml:space="preserve"> </v>
      </c>
      <c r="D51" s="2468"/>
      <c r="E51" s="2492"/>
      <c r="F51" s="2465"/>
      <c r="K51" s="1302">
        <f>'Radiation losses from opening'!B165</f>
        <v>0</v>
      </c>
    </row>
    <row r="52" spans="2:14" s="1302" customFormat="1" ht="20.100000000000001" hidden="1" customHeight="1">
      <c r="B52" s="2459"/>
      <c r="C52" s="2122" t="str">
        <f t="shared" si="0"/>
        <v xml:space="preserve"> </v>
      </c>
      <c r="D52" s="2468"/>
      <c r="E52" s="2492"/>
      <c r="F52" s="2465"/>
      <c r="K52" s="1302">
        <f>'Radiation losses from opening'!B166</f>
        <v>0</v>
      </c>
    </row>
    <row r="53" spans="2:14" s="1302" customFormat="1" ht="20.100000000000001" hidden="1" customHeight="1">
      <c r="B53" s="2459"/>
      <c r="C53" s="2122" t="str">
        <f t="shared" si="0"/>
        <v xml:space="preserve"> </v>
      </c>
      <c r="D53" s="2468"/>
      <c r="E53" s="2492"/>
      <c r="F53" s="2465"/>
      <c r="K53" s="1302">
        <f>'Radiation losses from opening'!B167</f>
        <v>0</v>
      </c>
    </row>
    <row r="54" spans="2:14" s="1302" customFormat="1" ht="20.100000000000001" hidden="1" customHeight="1">
      <c r="B54" s="2460"/>
      <c r="C54" s="2227" t="str">
        <f t="shared" si="0"/>
        <v xml:space="preserve"> </v>
      </c>
      <c r="D54" s="2469"/>
      <c r="E54" s="2493"/>
      <c r="F54" s="2466"/>
      <c r="K54" s="1302">
        <f>'Radiation losses from opening'!B168</f>
        <v>0</v>
      </c>
    </row>
    <row r="55" spans="2:14" s="1302" customFormat="1" ht="20.100000000000001" customHeight="1">
      <c r="B55" s="2458" t="s">
        <v>714</v>
      </c>
      <c r="C55" s="2228" t="str">
        <f>IF(K55=0," ",K55)</f>
        <v xml:space="preserve"> </v>
      </c>
      <c r="D55" s="2467" t="s">
        <v>717</v>
      </c>
      <c r="E55" s="2488">
        <f>M55</f>
        <v>0</v>
      </c>
      <c r="F55" s="2464" t="s">
        <v>716</v>
      </c>
      <c r="K55" s="1302">
        <f>'8- Power- Motor driven  systems'!B87</f>
        <v>0</v>
      </c>
      <c r="M55" s="1306">
        <f>'8- Power- Motor driven  systems'!D83-'8- Power- Motor driven  systems'!E83</f>
        <v>0</v>
      </c>
    </row>
    <row r="56" spans="2:14" s="1302" customFormat="1" ht="20.100000000000001" hidden="1" customHeight="1">
      <c r="B56" s="2459"/>
      <c r="C56" s="2122" t="str">
        <f t="shared" si="0"/>
        <v xml:space="preserve"> </v>
      </c>
      <c r="D56" s="2468"/>
      <c r="E56" s="2489"/>
      <c r="F56" s="2465"/>
      <c r="K56" s="1302">
        <f>'8- Power- Motor driven  systems'!B88</f>
        <v>0</v>
      </c>
    </row>
    <row r="57" spans="2:14" s="1302" customFormat="1" ht="20.100000000000001" hidden="1" customHeight="1">
      <c r="B57" s="2459"/>
      <c r="C57" s="2122" t="str">
        <f t="shared" si="0"/>
        <v xml:space="preserve"> </v>
      </c>
      <c r="D57" s="2468"/>
      <c r="E57" s="2489"/>
      <c r="F57" s="2465"/>
      <c r="K57" s="1302">
        <f>'8- Power- Motor driven  systems'!B89</f>
        <v>0</v>
      </c>
    </row>
    <row r="58" spans="2:14" s="1302" customFormat="1" ht="20.100000000000001" hidden="1" customHeight="1">
      <c r="B58" s="2459"/>
      <c r="C58" s="2122" t="str">
        <f t="shared" si="0"/>
        <v xml:space="preserve"> </v>
      </c>
      <c r="D58" s="2468"/>
      <c r="E58" s="2489"/>
      <c r="F58" s="2465"/>
      <c r="K58" s="1302">
        <f>'8- Power- Motor driven  systems'!B90</f>
        <v>0</v>
      </c>
    </row>
    <row r="59" spans="2:14" s="1302" customFormat="1" ht="20.100000000000001" hidden="1" customHeight="1">
      <c r="B59" s="2460"/>
      <c r="C59" s="2227" t="str">
        <f t="shared" si="0"/>
        <v xml:space="preserve"> </v>
      </c>
      <c r="D59" s="2469"/>
      <c r="E59" s="2490"/>
      <c r="F59" s="2466"/>
      <c r="K59" s="1302">
        <f>'8- Power- Motor driven  systems'!B91</f>
        <v>0</v>
      </c>
    </row>
    <row r="60" spans="2:14" s="1302" customFormat="1" ht="20.100000000000001" customHeight="1" thickBot="1">
      <c r="B60" s="2455" t="s">
        <v>715</v>
      </c>
      <c r="C60" s="2228" t="str">
        <f>IF(K60=0," ",K60)</f>
        <v xml:space="preserve"> </v>
      </c>
      <c r="D60" s="2483" t="s">
        <v>717</v>
      </c>
      <c r="E60" s="2485">
        <f>M60 / 'Sankey Diagram'!Z9</f>
        <v>0</v>
      </c>
      <c r="F60" s="2481" t="str">
        <f>F10</f>
        <v>kgce/Hr.</v>
      </c>
      <c r="K60" s="1302">
        <f>'9- Other heat loss'!C70</f>
        <v>0</v>
      </c>
      <c r="M60" s="1306">
        <f>'9- Other heat loss'!E59/L6-'9- Other heat loss'!F59/M6</f>
        <v>0</v>
      </c>
      <c r="N60" s="1307"/>
    </row>
    <row r="61" spans="2:14" s="1302" customFormat="1" ht="20.100000000000001" hidden="1" customHeight="1">
      <c r="B61" s="2456"/>
      <c r="C61" s="2225" t="str">
        <f t="shared" si="0"/>
        <v xml:space="preserve"> </v>
      </c>
      <c r="D61" s="2473"/>
      <c r="E61" s="2486"/>
      <c r="F61" s="2479"/>
      <c r="K61" s="1302">
        <f>'9- Other heat loss'!C71</f>
        <v>0</v>
      </c>
    </row>
    <row r="62" spans="2:14" s="1302" customFormat="1" ht="20.100000000000001" hidden="1" customHeight="1">
      <c r="B62" s="2456"/>
      <c r="C62" s="2225" t="str">
        <f t="shared" si="0"/>
        <v xml:space="preserve"> </v>
      </c>
      <c r="D62" s="2473"/>
      <c r="E62" s="2486"/>
      <c r="F62" s="2479"/>
      <c r="K62" s="1302">
        <f>'9- Other heat loss'!C72</f>
        <v>0</v>
      </c>
    </row>
    <row r="63" spans="2:14" s="1302" customFormat="1" ht="20.100000000000001" hidden="1" customHeight="1">
      <c r="B63" s="2456"/>
      <c r="C63" s="2225" t="str">
        <f t="shared" si="0"/>
        <v xml:space="preserve"> </v>
      </c>
      <c r="D63" s="2473"/>
      <c r="E63" s="2486"/>
      <c r="F63" s="2479"/>
      <c r="K63" s="1302">
        <f>'9- Other heat loss'!C73</f>
        <v>0</v>
      </c>
    </row>
    <row r="64" spans="2:14" s="1302" customFormat="1" ht="20.100000000000001" hidden="1" customHeight="1" thickBot="1">
      <c r="B64" s="2457"/>
      <c r="C64" s="2226" t="str">
        <f t="shared" si="0"/>
        <v xml:space="preserve"> </v>
      </c>
      <c r="D64" s="2484"/>
      <c r="E64" s="2487"/>
      <c r="F64" s="2482"/>
      <c r="K64" s="1302">
        <f>'9- Other heat loss'!C74</f>
        <v>0</v>
      </c>
    </row>
    <row r="65" spans="2:6" s="1302" customFormat="1" ht="20.100000000000001" customHeight="1">
      <c r="B65" s="1308"/>
      <c r="C65" s="1309"/>
      <c r="D65" s="1310" t="s">
        <v>732</v>
      </c>
      <c r="E65" s="2164">
        <f>E10+E15+E20+E25+E30+E35+E40+E50+E60</f>
        <v>0</v>
      </c>
      <c r="F65" s="1311" t="str">
        <f>F10</f>
        <v>kgce/Hr.</v>
      </c>
    </row>
    <row r="66" spans="2:6" s="1302" customFormat="1" ht="20.100000000000001" customHeight="1" thickBot="1">
      <c r="B66" s="1312"/>
      <c r="C66" s="1312"/>
      <c r="D66" s="1313" t="s">
        <v>732</v>
      </c>
      <c r="E66" s="1314">
        <f>E55</f>
        <v>0</v>
      </c>
      <c r="F66" s="1315" t="s">
        <v>24</v>
      </c>
    </row>
    <row r="67" spans="2:6" s="1302" customFormat="1" ht="14.25"/>
    <row r="68" spans="2:6" s="1302" customFormat="1" ht="14.25"/>
    <row r="69" spans="2:6" s="1302" customFormat="1" ht="14.25"/>
    <row r="70" spans="2:6" s="1302" customFormat="1" ht="14.25"/>
    <row r="71" spans="2:6" s="1302" customFormat="1" ht="14.25"/>
    <row r="72" spans="2:6" s="1302" customFormat="1" ht="14.25"/>
    <row r="73" spans="2:6" s="1302" customFormat="1" ht="14.25"/>
    <row r="74" spans="2:6" s="1302" customFormat="1" ht="14.25"/>
  </sheetData>
  <sheetProtection password="B61E" sheet="1" objects="1" scenarios="1"/>
  <mergeCells count="50">
    <mergeCell ref="J6:K6"/>
    <mergeCell ref="J5:K5"/>
    <mergeCell ref="E45:E49"/>
    <mergeCell ref="F45:F49"/>
    <mergeCell ref="E15:E19"/>
    <mergeCell ref="E20:E24"/>
    <mergeCell ref="E25:E29"/>
    <mergeCell ref="E30:E34"/>
    <mergeCell ref="F25:F29"/>
    <mergeCell ref="E35:E39"/>
    <mergeCell ref="F20:F24"/>
    <mergeCell ref="F30:F34"/>
    <mergeCell ref="F35:F39"/>
    <mergeCell ref="F40:F44"/>
    <mergeCell ref="E40:E44"/>
    <mergeCell ref="F50:F54"/>
    <mergeCell ref="F55:F59"/>
    <mergeCell ref="F60:F64"/>
    <mergeCell ref="D60:D64"/>
    <mergeCell ref="E60:E64"/>
    <mergeCell ref="E55:E59"/>
    <mergeCell ref="D55:D59"/>
    <mergeCell ref="E50:E54"/>
    <mergeCell ref="D45:D49"/>
    <mergeCell ref="D50:D54"/>
    <mergeCell ref="D15:D19"/>
    <mergeCell ref="D20:D24"/>
    <mergeCell ref="D25:D29"/>
    <mergeCell ref="D30:D34"/>
    <mergeCell ref="D40:D44"/>
    <mergeCell ref="B2:F2"/>
    <mergeCell ref="B3:F3"/>
    <mergeCell ref="C5:D5"/>
    <mergeCell ref="F15:F19"/>
    <mergeCell ref="D35:D39"/>
    <mergeCell ref="B35:B39"/>
    <mergeCell ref="B30:B34"/>
    <mergeCell ref="B25:B29"/>
    <mergeCell ref="B20:B24"/>
    <mergeCell ref="B15:B19"/>
    <mergeCell ref="B10:B14"/>
    <mergeCell ref="C6:D6"/>
    <mergeCell ref="D10:D14"/>
    <mergeCell ref="E10:E14"/>
    <mergeCell ref="F10:F14"/>
    <mergeCell ref="B60:B64"/>
    <mergeCell ref="B55:B59"/>
    <mergeCell ref="B50:B54"/>
    <mergeCell ref="B45:B49"/>
    <mergeCell ref="B40:B44"/>
  </mergeCells>
  <phoneticPr fontId="84" type="noConversion"/>
  <pageMargins left="0.7" right="0.7" top="0.75" bottom="0.75" header="0.3" footer="0.3"/>
  <pageSetup scale="49" orientation="landscape" verticalDpi="2" r:id="rId1"/>
  <headerFooter>
    <oddHeader>&amp;LNotes on Current vs Modified Conditions</oddHeader>
    <oddFooter>&amp;LUS Department of Energy&amp;C&amp;P&amp;R&amp;D</oddFooter>
  </headerFooter>
  <colBreaks count="1" manualBreakCount="1">
    <brk id="6" max="1048575" man="1"/>
  </colBreaks>
  <drawing r:id="rId2"/>
  <legacyDrawing r:id="rId3"/>
  <controls>
    <mc:AlternateContent xmlns:mc="http://schemas.openxmlformats.org/markup-compatibility/2006">
      <mc:Choice Requires="x14">
        <control shapeId="6289409" r:id="rId4" name="CommandButtonPrevPage">
          <controlPr defaultSize="0" print="0" autoLine="0" r:id="rId5">
            <anchor moveWithCells="1">
              <from>
                <xdr:col>2</xdr:col>
                <xdr:colOff>1781175</xdr:colOff>
                <xdr:row>68</xdr:row>
                <xdr:rowOff>19050</xdr:rowOff>
              </from>
              <to>
                <xdr:col>2</xdr:col>
                <xdr:colOff>2733675</xdr:colOff>
                <xdr:row>70</xdr:row>
                <xdr:rowOff>161925</xdr:rowOff>
              </to>
            </anchor>
          </controlPr>
        </control>
      </mc:Choice>
      <mc:Fallback>
        <control shapeId="6289409" r:id="rId4" name="CommandButtonPrevPage"/>
      </mc:Fallback>
    </mc:AlternateContent>
    <mc:AlternateContent xmlns:mc="http://schemas.openxmlformats.org/markup-compatibility/2006">
      <mc:Choice Requires="x14">
        <control shapeId="6289410" r:id="rId6" name="CommandButtonReturn">
          <controlPr defaultSize="0" print="0" autoLine="0" r:id="rId7">
            <anchor moveWithCells="1">
              <from>
                <xdr:col>2</xdr:col>
                <xdr:colOff>3438525</xdr:colOff>
                <xdr:row>68</xdr:row>
                <xdr:rowOff>0</xdr:rowOff>
              </from>
              <to>
                <xdr:col>2</xdr:col>
                <xdr:colOff>4391025</xdr:colOff>
                <xdr:row>70</xdr:row>
                <xdr:rowOff>142875</xdr:rowOff>
              </to>
            </anchor>
          </controlPr>
        </control>
      </mc:Choice>
      <mc:Fallback>
        <control shapeId="6289410" r:id="rId6" name="CommandButtonRetur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IV168"/>
  <sheetViews>
    <sheetView topLeftCell="A3" workbookViewId="0">
      <selection activeCell="I7" sqref="I7"/>
    </sheetView>
  </sheetViews>
  <sheetFormatPr defaultColWidth="0" defaultRowHeight="20.100000000000001" customHeight="1" zeroHeight="1"/>
  <cols>
    <col min="1" max="2" width="5.7109375" style="1330" customWidth="1"/>
    <col min="3" max="3" width="50.7109375" style="1331" customWidth="1"/>
    <col min="4" max="4" width="11.7109375" style="1330" customWidth="1"/>
    <col min="5" max="6" width="19.7109375" style="1330" customWidth="1"/>
    <col min="7" max="7" width="11.28515625" style="1330" customWidth="1"/>
    <col min="8" max="8" width="16.7109375" style="1330" customWidth="1"/>
    <col min="9" max="9" width="12.42578125" style="1330" hidden="1" customWidth="1"/>
    <col min="10" max="10" width="12.28515625" style="1330" hidden="1" customWidth="1"/>
    <col min="11" max="11" width="9.7109375" style="2055" hidden="1" customWidth="1"/>
    <col min="12" max="12" width="10.85546875" style="1330" hidden="1" customWidth="1"/>
    <col min="13" max="16384" width="9.140625" style="1330" hidden="1"/>
  </cols>
  <sheetData>
    <row r="1" spans="1:36" ht="15" hidden="1"/>
    <row r="2" spans="1:36" ht="15" hidden="1">
      <c r="C2" s="1331" t="s">
        <v>720</v>
      </c>
      <c r="D2" s="1332">
        <f>'Control page'!D11</f>
        <v>3</v>
      </c>
      <c r="E2" s="1330" t="s">
        <v>1161</v>
      </c>
    </row>
    <row r="3" spans="1:36" ht="55.15" customHeight="1" thickBot="1">
      <c r="L3" s="1330">
        <v>46</v>
      </c>
      <c r="N3" s="1202" t="s">
        <v>822</v>
      </c>
      <c r="O3" s="1202" t="s">
        <v>823</v>
      </c>
      <c r="P3" s="1333" t="s">
        <v>824</v>
      </c>
      <c r="Q3" s="1202" t="s">
        <v>825</v>
      </c>
      <c r="R3" s="1334" t="s">
        <v>1078</v>
      </c>
      <c r="S3" s="1334" t="s">
        <v>1324</v>
      </c>
      <c r="T3" s="1334" t="s">
        <v>1325</v>
      </c>
      <c r="U3" s="1334" t="s">
        <v>1326</v>
      </c>
      <c r="V3" s="1334" t="s">
        <v>1082</v>
      </c>
      <c r="W3" s="1334" t="s">
        <v>1327</v>
      </c>
      <c r="X3" s="1334" t="s">
        <v>1328</v>
      </c>
      <c r="Y3" s="1334" t="s">
        <v>1329</v>
      </c>
      <c r="Z3" s="1334" t="s">
        <v>1330</v>
      </c>
      <c r="AA3" s="1202" t="s">
        <v>835</v>
      </c>
    </row>
    <row r="4" spans="1:36" s="1335" customFormat="1" ht="43.5" customHeight="1">
      <c r="B4" s="1336"/>
      <c r="C4" s="2499" t="s">
        <v>21</v>
      </c>
      <c r="D4" s="2500"/>
      <c r="E4" s="1337" t="s">
        <v>1114</v>
      </c>
      <c r="F4" s="1338" t="s">
        <v>1119</v>
      </c>
      <c r="G4" s="1339"/>
      <c r="H4" s="1339"/>
      <c r="I4" s="1340"/>
      <c r="K4" s="2056"/>
      <c r="L4" s="1330" t="s">
        <v>37</v>
      </c>
      <c r="N4" s="1341"/>
      <c r="O4" s="1341"/>
      <c r="P4" s="1341"/>
      <c r="Q4" s="1341" t="s">
        <v>836</v>
      </c>
      <c r="R4" s="1341">
        <f>16.02</f>
        <v>16.02</v>
      </c>
      <c r="S4" s="1341">
        <v>4.1870000000000003</v>
      </c>
      <c r="T4" s="1341">
        <v>2.3260000000000001</v>
      </c>
      <c r="U4" s="1341">
        <f>S4</f>
        <v>4.1870000000000003</v>
      </c>
      <c r="V4" s="1341" t="s">
        <v>837</v>
      </c>
      <c r="W4" s="1341" t="s">
        <v>837</v>
      </c>
      <c r="X4" s="1341">
        <v>2.3260000000000001</v>
      </c>
      <c r="Y4" s="1341">
        <f>X4</f>
        <v>2.3260000000000001</v>
      </c>
      <c r="Z4" s="1341">
        <f>Y4</f>
        <v>2.3260000000000001</v>
      </c>
      <c r="AA4" s="1341"/>
    </row>
    <row r="5" spans="1:36" s="1342" customFormat="1" ht="20.100000000000001" customHeight="1">
      <c r="B5" s="1336"/>
      <c r="C5" s="1343" t="s">
        <v>783</v>
      </c>
      <c r="D5" s="1344"/>
      <c r="E5" s="1345"/>
      <c r="F5" s="1346"/>
      <c r="G5" s="1347"/>
      <c r="H5" s="1347"/>
      <c r="I5" s="1348" t="s">
        <v>776</v>
      </c>
      <c r="K5" s="2057"/>
      <c r="L5" s="1330" t="str">
        <f>ADDRESS(L3,15,1)</f>
        <v>$O$46</v>
      </c>
      <c r="N5" s="1341">
        <v>1</v>
      </c>
      <c r="O5" s="1341" t="s">
        <v>838</v>
      </c>
      <c r="P5" s="1341" t="s">
        <v>783</v>
      </c>
      <c r="Q5" s="1341" t="s">
        <v>839</v>
      </c>
      <c r="R5" s="1341">
        <f>AB5/$R$4</f>
        <v>166.69975031210987</v>
      </c>
      <c r="S5" s="1341">
        <f>AC5/$S$4</f>
        <v>0.24791019823262478</v>
      </c>
      <c r="T5" s="1341">
        <f>AD5/$T$4</f>
        <v>169</v>
      </c>
      <c r="U5" s="1341">
        <f>AE5/$U$4</f>
        <v>0.26009075710532598</v>
      </c>
      <c r="V5" s="1341">
        <f>AF5*1.8 +32</f>
        <v>1214.9960000000001</v>
      </c>
      <c r="W5" s="1341">
        <f>AG5*1.8 +32</f>
        <v>1380.002</v>
      </c>
      <c r="X5" s="1341">
        <f>AH5/$X$4</f>
        <v>286</v>
      </c>
      <c r="Y5" s="1341">
        <f>AI5/$Y$4</f>
        <v>454.99999999999994</v>
      </c>
      <c r="Z5" s="1341">
        <f>AJ5/$Z$4</f>
        <v>496.99999999999994</v>
      </c>
      <c r="AA5" s="1341" t="b">
        <v>0</v>
      </c>
      <c r="AB5" s="1349">
        <v>2670.53</v>
      </c>
      <c r="AC5" s="1349">
        <v>1.038</v>
      </c>
      <c r="AD5" s="1349">
        <v>393.09399999999999</v>
      </c>
      <c r="AE5" s="1349">
        <v>1.089</v>
      </c>
      <c r="AF5" s="1349">
        <v>657.22</v>
      </c>
      <c r="AG5" s="1349">
        <v>748.89</v>
      </c>
      <c r="AH5" s="1349">
        <v>665.23599999999999</v>
      </c>
      <c r="AI5" s="1349">
        <v>1058.33</v>
      </c>
      <c r="AJ5" s="1349">
        <v>1156.0219999999999</v>
      </c>
    </row>
    <row r="6" spans="1:36" ht="30" customHeight="1">
      <c r="A6" s="2517"/>
      <c r="B6" s="1336"/>
      <c r="C6" s="2507" t="s">
        <v>750</v>
      </c>
      <c r="D6" s="2508"/>
      <c r="E6" s="2012" t="s">
        <v>863</v>
      </c>
      <c r="F6" s="2014" t="str">
        <f>E6</f>
        <v>Carbon Steel</v>
      </c>
      <c r="G6" s="1350"/>
      <c r="H6" s="1350"/>
      <c r="I6" s="1348" t="s">
        <v>8</v>
      </c>
      <c r="L6" s="1330" t="str">
        <f>ADDRESS(L3+1,15,1)</f>
        <v>$O$47</v>
      </c>
      <c r="N6" s="1341">
        <v>2</v>
      </c>
      <c r="O6" s="1341" t="s">
        <v>840</v>
      </c>
      <c r="P6" s="1341" t="s">
        <v>783</v>
      </c>
      <c r="Q6" s="1341" t="s">
        <v>842</v>
      </c>
      <c r="R6" s="1341">
        <f t="shared" ref="R6:R42" si="0">AB6/$R$4</f>
        <v>0</v>
      </c>
      <c r="S6" s="1341">
        <f t="shared" ref="S6:S44" si="1">AC6/$S$4</f>
        <v>3.8930021495103891E-2</v>
      </c>
      <c r="T6" s="1341">
        <f t="shared" ref="T6:T43" si="2">AD6/$T$4</f>
        <v>26.199914015477216</v>
      </c>
      <c r="U6" s="1341">
        <f t="shared" ref="U6:U44" si="3">AE6/$U$4</f>
        <v>3.7974683544303799E-2</v>
      </c>
      <c r="V6" s="1341">
        <f t="shared" ref="V6:V44" si="4">AF6*1.8 +32</f>
        <v>462.00200000000001</v>
      </c>
      <c r="W6" s="1341">
        <f t="shared" ref="W6:W44" si="5">AG6*1.8 +32</f>
        <v>624.99199999999996</v>
      </c>
      <c r="X6" s="1341">
        <f t="shared" ref="X6:X44" si="6">AH6/$X$4</f>
        <v>15.800085984522784</v>
      </c>
      <c r="Y6" s="1341">
        <f t="shared" ref="Y6:Y43" si="7">AI6/$Y$4</f>
        <v>41.999999999999993</v>
      </c>
      <c r="Z6" s="1341">
        <f t="shared" ref="Z6:Z44" si="8">AJ6/$Z$4</f>
        <v>48</v>
      </c>
      <c r="AA6" s="1341" t="b">
        <v>0</v>
      </c>
      <c r="AB6" s="1349">
        <v>0</v>
      </c>
      <c r="AC6" s="1349">
        <v>0.16300000000000001</v>
      </c>
      <c r="AD6" s="1349">
        <v>60.941000000000003</v>
      </c>
      <c r="AE6" s="1349">
        <v>0.159</v>
      </c>
      <c r="AF6" s="1349">
        <v>238.89</v>
      </c>
      <c r="AG6" s="1349">
        <v>329.44</v>
      </c>
      <c r="AH6" s="1349">
        <v>36.750999999999998</v>
      </c>
      <c r="AI6" s="1349">
        <v>97.691999999999993</v>
      </c>
      <c r="AJ6" s="1349">
        <v>111.648</v>
      </c>
    </row>
    <row r="7" spans="1:36" ht="20.100000000000001" customHeight="1">
      <c r="A7" s="2517"/>
      <c r="B7" s="1336"/>
      <c r="C7" s="2509"/>
      <c r="D7" s="2510"/>
      <c r="E7" s="2013"/>
      <c r="F7" s="2034"/>
      <c r="G7" s="1350"/>
      <c r="H7" s="1350"/>
      <c r="I7" s="1348" t="s">
        <v>6</v>
      </c>
      <c r="K7" s="2055" t="s">
        <v>491</v>
      </c>
      <c r="L7" s="1330" t="str">
        <f>CONCATENATE(L4,":",L5)</f>
        <v>$o$5:$O$46</v>
      </c>
      <c r="N7" s="1341">
        <v>3</v>
      </c>
      <c r="O7" s="1341" t="s">
        <v>843</v>
      </c>
      <c r="P7" s="1341" t="s">
        <v>783</v>
      </c>
      <c r="Q7" s="1341" t="s">
        <v>844</v>
      </c>
      <c r="R7" s="1341">
        <f t="shared" si="0"/>
        <v>462</v>
      </c>
      <c r="S7" s="1341">
        <f t="shared" si="1"/>
        <v>7.0933842846907083E-2</v>
      </c>
      <c r="T7" s="1341">
        <f t="shared" si="2"/>
        <v>34.100171969045569</v>
      </c>
      <c r="U7" s="1341">
        <f t="shared" si="3"/>
        <v>6.3052304752806307E-2</v>
      </c>
      <c r="V7" s="1341">
        <f t="shared" si="4"/>
        <v>464</v>
      </c>
      <c r="W7" s="1341">
        <f t="shared" si="5"/>
        <v>915.99800000000005</v>
      </c>
      <c r="X7" s="1341">
        <f t="shared" si="6"/>
        <v>28.600171969045572</v>
      </c>
      <c r="Y7" s="1341">
        <f t="shared" si="7"/>
        <v>67.699914015477205</v>
      </c>
      <c r="Z7" s="1341">
        <f t="shared" si="8"/>
        <v>91</v>
      </c>
      <c r="AA7" s="1341" t="b">
        <v>0</v>
      </c>
      <c r="AB7" s="1349">
        <v>7401.24</v>
      </c>
      <c r="AC7" s="1349">
        <v>0.29699999999999999</v>
      </c>
      <c r="AD7" s="1349">
        <v>79.316999999999993</v>
      </c>
      <c r="AE7" s="1349">
        <v>0.26400000000000001</v>
      </c>
      <c r="AF7" s="1349">
        <v>240</v>
      </c>
      <c r="AG7" s="1349">
        <v>491.11</v>
      </c>
      <c r="AH7" s="1349">
        <v>66.524000000000001</v>
      </c>
      <c r="AI7" s="1349">
        <v>157.47</v>
      </c>
      <c r="AJ7" s="1349">
        <v>211.666</v>
      </c>
    </row>
    <row r="8" spans="1:36" ht="20.100000000000001" customHeight="1">
      <c r="A8" s="2517"/>
      <c r="B8" s="1336"/>
      <c r="C8" s="1170" t="s">
        <v>513</v>
      </c>
      <c r="D8" s="1351" t="s">
        <v>1346</v>
      </c>
      <c r="E8" s="1352">
        <f>IF(E$6="Other",K12,VLOOKUP($E$6,$O$5:$AA$100,5,))</f>
        <v>0.16</v>
      </c>
      <c r="F8" s="1353">
        <f>E8</f>
        <v>0.16</v>
      </c>
      <c r="H8" s="1350"/>
      <c r="I8" s="1348" t="s">
        <v>774</v>
      </c>
      <c r="K8" s="2084">
        <v>0</v>
      </c>
      <c r="L8" s="1330" t="str">
        <f>ADDRESS(L3,19,1)</f>
        <v>$S$46</v>
      </c>
      <c r="N8" s="1341">
        <v>4</v>
      </c>
      <c r="O8" s="1341" t="s">
        <v>845</v>
      </c>
      <c r="P8" s="1341" t="s">
        <v>783</v>
      </c>
      <c r="Q8" s="1341" t="s">
        <v>846</v>
      </c>
      <c r="R8" s="1341">
        <f t="shared" si="0"/>
        <v>612</v>
      </c>
      <c r="S8" s="1341">
        <f t="shared" si="1"/>
        <v>3.2959159302603298E-2</v>
      </c>
      <c r="T8" s="1341">
        <f t="shared" si="2"/>
        <v>18.5</v>
      </c>
      <c r="U8" s="1341">
        <f t="shared" si="3"/>
        <v>3.5108669691903509E-2</v>
      </c>
      <c r="V8" s="1341">
        <f t="shared" si="4"/>
        <v>518</v>
      </c>
      <c r="W8" s="1341">
        <f t="shared" si="5"/>
        <v>620.00600000000009</v>
      </c>
      <c r="X8" s="1341">
        <f t="shared" si="6"/>
        <v>15.10017196904557</v>
      </c>
      <c r="Y8" s="1341">
        <f t="shared" si="7"/>
        <v>33.600171969045569</v>
      </c>
      <c r="Z8" s="1341">
        <f t="shared" si="8"/>
        <v>37.199914015477212</v>
      </c>
      <c r="AA8" s="1341" t="b">
        <v>0</v>
      </c>
      <c r="AB8" s="1349">
        <v>9804.24</v>
      </c>
      <c r="AC8" s="1349">
        <v>0.13800000000000001</v>
      </c>
      <c r="AD8" s="1349">
        <v>43.030999999999999</v>
      </c>
      <c r="AE8" s="1349">
        <v>0.14699999999999999</v>
      </c>
      <c r="AF8" s="1349">
        <v>270</v>
      </c>
      <c r="AG8" s="1349">
        <v>326.67</v>
      </c>
      <c r="AH8" s="1349">
        <v>35.122999999999998</v>
      </c>
      <c r="AI8" s="1349">
        <v>78.153999999999996</v>
      </c>
      <c r="AJ8" s="1349">
        <v>86.527000000000001</v>
      </c>
    </row>
    <row r="9" spans="1:36" ht="20.100000000000001" customHeight="1">
      <c r="A9" s="2517"/>
      <c r="B9" s="1336"/>
      <c r="C9" s="1170" t="s">
        <v>514</v>
      </c>
      <c r="D9" s="1351" t="s">
        <v>1347</v>
      </c>
      <c r="E9" s="1354">
        <f>IF(E$6="Other",K13,VLOOKUP($E$6,$O$5:$AA$100,6,))</f>
        <v>60</v>
      </c>
      <c r="F9" s="1355">
        <f t="shared" ref="F9:F11" si="9">E9</f>
        <v>60</v>
      </c>
      <c r="G9" s="1356"/>
      <c r="H9" s="1350"/>
      <c r="I9" s="1340"/>
      <c r="K9" s="2084">
        <v>0</v>
      </c>
      <c r="L9" s="1330" t="str">
        <f>ADDRESS(L3,20,1)</f>
        <v>$T$46</v>
      </c>
      <c r="N9" s="1341">
        <v>5</v>
      </c>
      <c r="O9" s="1341" t="s">
        <v>847</v>
      </c>
      <c r="P9" s="1341" t="s">
        <v>783</v>
      </c>
      <c r="Q9" s="1341" t="s">
        <v>848</v>
      </c>
      <c r="R9" s="1341">
        <f t="shared" si="0"/>
        <v>524</v>
      </c>
      <c r="S9" s="1341">
        <f t="shared" si="1"/>
        <v>0.10508717458801051</v>
      </c>
      <c r="T9" s="1341">
        <f t="shared" si="2"/>
        <v>69</v>
      </c>
      <c r="U9" s="1341">
        <f t="shared" si="3"/>
        <v>0.12491043706711248</v>
      </c>
      <c r="V9" s="1341">
        <f t="shared" si="4"/>
        <v>1630.0039999999999</v>
      </c>
      <c r="W9" s="1341">
        <f t="shared" si="5"/>
        <v>1850</v>
      </c>
      <c r="X9" s="1341">
        <f t="shared" si="6"/>
        <v>165</v>
      </c>
      <c r="Y9" s="1341">
        <f t="shared" si="7"/>
        <v>234</v>
      </c>
      <c r="Z9" s="1341">
        <f t="shared" si="8"/>
        <v>261</v>
      </c>
      <c r="AA9" s="1341" t="b">
        <v>0</v>
      </c>
      <c r="AB9" s="1349">
        <v>8394.48</v>
      </c>
      <c r="AC9" s="1349">
        <v>0.44</v>
      </c>
      <c r="AD9" s="1349">
        <v>160.494</v>
      </c>
      <c r="AE9" s="1349">
        <v>0.52300000000000002</v>
      </c>
      <c r="AF9" s="1349">
        <v>887.78</v>
      </c>
      <c r="AG9" s="1349">
        <v>1010</v>
      </c>
      <c r="AH9" s="1349">
        <v>383.79</v>
      </c>
      <c r="AI9" s="1349">
        <v>544.28399999999999</v>
      </c>
      <c r="AJ9" s="1349">
        <v>607.08600000000001</v>
      </c>
    </row>
    <row r="10" spans="1:36" ht="20.100000000000001" customHeight="1">
      <c r="A10" s="2517"/>
      <c r="B10" s="1336"/>
      <c r="C10" s="1170" t="s">
        <v>515</v>
      </c>
      <c r="D10" s="1351" t="s">
        <v>1346</v>
      </c>
      <c r="E10" s="1352">
        <f>IF(E$6="Other",K14,VLOOKUP($E$6,$O$5:$AA$100,7,))</f>
        <v>0.17497014568903749</v>
      </c>
      <c r="F10" s="1353">
        <f t="shared" si="9"/>
        <v>0.17497014568903749</v>
      </c>
      <c r="G10" s="1357"/>
      <c r="H10" s="1350"/>
      <c r="I10" s="1340"/>
      <c r="K10" s="2084">
        <v>0</v>
      </c>
      <c r="L10" s="1330" t="str">
        <f>ADDRESS(L3,21,1)</f>
        <v>$U$46</v>
      </c>
      <c r="N10" s="1341">
        <v>6</v>
      </c>
      <c r="O10" s="1341" t="s">
        <v>849</v>
      </c>
      <c r="P10" s="1341" t="s">
        <v>783</v>
      </c>
      <c r="Q10" s="1341" t="s">
        <v>850</v>
      </c>
      <c r="R10" s="1341">
        <f t="shared" si="0"/>
        <v>546</v>
      </c>
      <c r="S10" s="1341">
        <f t="shared" si="1"/>
        <v>0.10389300214951039</v>
      </c>
      <c r="T10" s="1341">
        <f t="shared" si="2"/>
        <v>86.5</v>
      </c>
      <c r="U10" s="1341">
        <f t="shared" si="3"/>
        <v>0.11511822307141149</v>
      </c>
      <c r="V10" s="1341">
        <f t="shared" si="4"/>
        <v>1952.0060000000001</v>
      </c>
      <c r="W10" s="1341">
        <f t="shared" si="5"/>
        <v>2249.9960000000001</v>
      </c>
      <c r="X10" s="1341">
        <f t="shared" si="6"/>
        <v>196.99999999999997</v>
      </c>
      <c r="Y10" s="1341">
        <f t="shared" si="7"/>
        <v>283.5</v>
      </c>
      <c r="Z10" s="1341">
        <f t="shared" si="8"/>
        <v>317.80008598452275</v>
      </c>
      <c r="AA10" s="1341" t="b">
        <v>0</v>
      </c>
      <c r="AB10" s="1349">
        <v>8746.92</v>
      </c>
      <c r="AC10" s="1349">
        <v>0.435</v>
      </c>
      <c r="AD10" s="1349">
        <v>201.19900000000001</v>
      </c>
      <c r="AE10" s="1349">
        <v>0.48199999999999998</v>
      </c>
      <c r="AF10" s="1349">
        <v>1066.67</v>
      </c>
      <c r="AG10" s="1349">
        <v>1232.22</v>
      </c>
      <c r="AH10" s="1349">
        <v>458.22199999999998</v>
      </c>
      <c r="AI10" s="1349">
        <v>659.42100000000005</v>
      </c>
      <c r="AJ10" s="1349">
        <v>739.20299999999997</v>
      </c>
    </row>
    <row r="11" spans="1:36" ht="20.100000000000001" customHeight="1">
      <c r="A11" s="2517"/>
      <c r="B11" s="1336"/>
      <c r="C11" s="1170" t="s">
        <v>516</v>
      </c>
      <c r="D11" s="1351" t="s">
        <v>1175</v>
      </c>
      <c r="E11" s="2156">
        <f>IF($E$6="Other",K15,VLOOKUP($E$6,$O$5:$AA$100,8,))</f>
        <v>2800.0039999999999</v>
      </c>
      <c r="F11" s="2157">
        <f t="shared" si="9"/>
        <v>2800.0039999999999</v>
      </c>
      <c r="G11" s="1356"/>
      <c r="H11" s="1350"/>
      <c r="K11" s="2083" t="s">
        <v>528</v>
      </c>
      <c r="L11" s="1330" t="str">
        <f>ADDRESS(L3,22,1)</f>
        <v>$V$46</v>
      </c>
      <c r="N11" s="1341">
        <v>7</v>
      </c>
      <c r="O11" s="1341" t="s">
        <v>851</v>
      </c>
      <c r="P11" s="1341" t="s">
        <v>783</v>
      </c>
      <c r="Q11" s="1341" t="s">
        <v>852</v>
      </c>
      <c r="R11" s="1341">
        <f t="shared" si="0"/>
        <v>528</v>
      </c>
      <c r="S11" s="1341">
        <f t="shared" si="1"/>
        <v>0.10508717458801051</v>
      </c>
      <c r="T11" s="1341">
        <f t="shared" si="2"/>
        <v>70.999999999999986</v>
      </c>
      <c r="U11" s="1341">
        <f t="shared" si="3"/>
        <v>0.1229997611655123</v>
      </c>
      <c r="V11" s="1341">
        <f t="shared" si="4"/>
        <v>1688</v>
      </c>
      <c r="W11" s="1341">
        <f t="shared" si="5"/>
        <v>1950.008</v>
      </c>
      <c r="X11" s="1341">
        <f t="shared" si="6"/>
        <v>171</v>
      </c>
      <c r="Y11" s="1341">
        <f t="shared" si="7"/>
        <v>242.00000000000003</v>
      </c>
      <c r="Z11" s="1341">
        <f t="shared" si="8"/>
        <v>274.19991401547719</v>
      </c>
      <c r="AA11" s="1341" t="b">
        <v>0</v>
      </c>
      <c r="AB11" s="1349">
        <v>8458.56</v>
      </c>
      <c r="AC11" s="1349">
        <v>0.44</v>
      </c>
      <c r="AD11" s="1349">
        <v>165.14599999999999</v>
      </c>
      <c r="AE11" s="1349">
        <v>0.51500000000000001</v>
      </c>
      <c r="AF11" s="1349">
        <v>920</v>
      </c>
      <c r="AG11" s="1349">
        <v>1065.56</v>
      </c>
      <c r="AH11" s="1349">
        <v>397.74599999999998</v>
      </c>
      <c r="AI11" s="1349">
        <v>562.89200000000005</v>
      </c>
      <c r="AJ11" s="1349">
        <v>637.78899999999999</v>
      </c>
    </row>
    <row r="12" spans="1:36" ht="20.100000000000001" customHeight="1">
      <c r="A12" s="2517"/>
      <c r="B12" s="1336"/>
      <c r="C12" s="1358"/>
      <c r="D12" s="1359"/>
      <c r="E12" s="1360"/>
      <c r="F12" s="1361"/>
      <c r="G12" s="1350"/>
      <c r="H12" s="1350"/>
      <c r="K12" s="2055">
        <f>VALUE(K8)</f>
        <v>0</v>
      </c>
      <c r="N12" s="1341">
        <v>8</v>
      </c>
      <c r="O12" s="1341" t="s">
        <v>853</v>
      </c>
      <c r="P12" s="1341" t="s">
        <v>783</v>
      </c>
      <c r="Q12" s="1341" t="s">
        <v>854</v>
      </c>
      <c r="R12" s="1341">
        <f t="shared" si="0"/>
        <v>556.00000000000011</v>
      </c>
      <c r="S12" s="1341">
        <f t="shared" si="1"/>
        <v>9.5056126104609506E-2</v>
      </c>
      <c r="T12" s="1341">
        <f t="shared" si="2"/>
        <v>79.899828030954424</v>
      </c>
      <c r="U12" s="1341">
        <f t="shared" si="3"/>
        <v>0.10890852639121089</v>
      </c>
      <c r="V12" s="1341">
        <f t="shared" si="4"/>
        <v>1832</v>
      </c>
      <c r="W12" s="1341">
        <f t="shared" si="5"/>
        <v>2049.9979999999996</v>
      </c>
      <c r="X12" s="1341">
        <f t="shared" si="6"/>
        <v>168.30008598452278</v>
      </c>
      <c r="Y12" s="1341">
        <f t="shared" si="7"/>
        <v>248.19991401547719</v>
      </c>
      <c r="Z12" s="1341">
        <f t="shared" si="8"/>
        <v>272</v>
      </c>
      <c r="AA12" s="1341" t="b">
        <v>0</v>
      </c>
      <c r="AB12" s="1349">
        <v>8907.1200000000008</v>
      </c>
      <c r="AC12" s="1349">
        <v>0.39800000000000002</v>
      </c>
      <c r="AD12" s="1349">
        <v>185.84700000000001</v>
      </c>
      <c r="AE12" s="1349">
        <v>0.45600000000000002</v>
      </c>
      <c r="AF12" s="1349">
        <v>1000</v>
      </c>
      <c r="AG12" s="1349">
        <v>1121.1099999999999</v>
      </c>
      <c r="AH12" s="1349">
        <v>391.46600000000001</v>
      </c>
      <c r="AI12" s="1349">
        <v>577.31299999999999</v>
      </c>
      <c r="AJ12" s="1349">
        <v>632.67200000000003</v>
      </c>
    </row>
    <row r="13" spans="1:36" ht="20.100000000000001" customHeight="1">
      <c r="A13" s="2517"/>
      <c r="B13" s="1336"/>
      <c r="C13" s="1170" t="s">
        <v>518</v>
      </c>
      <c r="D13" s="1351" t="s">
        <v>1341</v>
      </c>
      <c r="E13" s="930"/>
      <c r="F13" s="928"/>
      <c r="G13" s="1362"/>
      <c r="H13" s="1350"/>
      <c r="I13" s="1330">
        <f>E13*L24</f>
        <v>0</v>
      </c>
      <c r="J13" s="1330">
        <f>F13*L24</f>
        <v>0</v>
      </c>
      <c r="K13" s="2055">
        <f t="shared" ref="K13:K15" si="10">VALUE(K9)</f>
        <v>0</v>
      </c>
      <c r="N13" s="1341">
        <v>9</v>
      </c>
      <c r="O13" s="1341" t="s">
        <v>855</v>
      </c>
      <c r="P13" s="1341" t="s">
        <v>783</v>
      </c>
      <c r="Q13" s="1341" t="s">
        <v>856</v>
      </c>
      <c r="R13" s="1341">
        <f t="shared" si="0"/>
        <v>510</v>
      </c>
      <c r="S13" s="1341">
        <f t="shared" si="1"/>
        <v>0.12610460950561261</v>
      </c>
      <c r="T13" s="1341">
        <f t="shared" si="2"/>
        <v>98.600171969045562</v>
      </c>
      <c r="U13" s="1341">
        <f t="shared" si="3"/>
        <v>0.12491043706711248</v>
      </c>
      <c r="V13" s="1341">
        <f t="shared" si="4"/>
        <v>1922</v>
      </c>
      <c r="W13" s="1341">
        <f t="shared" si="5"/>
        <v>2199.9920000000002</v>
      </c>
      <c r="X13" s="1341">
        <f t="shared" si="6"/>
        <v>235</v>
      </c>
      <c r="Y13" s="1341">
        <f t="shared" si="7"/>
        <v>333.60017196904556</v>
      </c>
      <c r="Z13" s="1341">
        <f t="shared" si="8"/>
        <v>368</v>
      </c>
      <c r="AA13" s="1341" t="b">
        <v>0</v>
      </c>
      <c r="AB13" s="1349">
        <v>8170.2</v>
      </c>
      <c r="AC13" s="1349">
        <v>0.52800000000000002</v>
      </c>
      <c r="AD13" s="1349">
        <v>229.34399999999999</v>
      </c>
      <c r="AE13" s="1349">
        <v>0.52300000000000002</v>
      </c>
      <c r="AF13" s="1349">
        <v>1050</v>
      </c>
      <c r="AG13" s="1349">
        <v>1204.44</v>
      </c>
      <c r="AH13" s="1349">
        <v>546.61</v>
      </c>
      <c r="AI13" s="1349">
        <v>775.95399999999995</v>
      </c>
      <c r="AJ13" s="1349">
        <v>855.96799999999996</v>
      </c>
    </row>
    <row r="14" spans="1:36" ht="20.100000000000001" customHeight="1">
      <c r="A14" s="2517"/>
      <c r="B14" s="1336"/>
      <c r="C14" s="1170" t="s">
        <v>784</v>
      </c>
      <c r="D14" s="1351" t="s">
        <v>1116</v>
      </c>
      <c r="E14" s="2095"/>
      <c r="F14" s="2096"/>
      <c r="G14" s="1363"/>
      <c r="H14" s="1350"/>
      <c r="K14" s="2055">
        <f t="shared" si="10"/>
        <v>0</v>
      </c>
      <c r="N14" s="1341">
        <v>10</v>
      </c>
      <c r="O14" s="1341" t="s">
        <v>857</v>
      </c>
      <c r="P14" s="1341" t="s">
        <v>783</v>
      </c>
      <c r="Q14" s="1341" t="s">
        <v>858</v>
      </c>
      <c r="R14" s="1341">
        <f t="shared" si="0"/>
        <v>540</v>
      </c>
      <c r="S14" s="1341">
        <f t="shared" si="1"/>
        <v>0.10007165034630999</v>
      </c>
      <c r="T14" s="1341">
        <f t="shared" si="2"/>
        <v>76.300085984522781</v>
      </c>
      <c r="U14" s="1341">
        <f t="shared" si="3"/>
        <v>0.11893957487461189</v>
      </c>
      <c r="V14" s="1341">
        <f t="shared" si="4"/>
        <v>1634</v>
      </c>
      <c r="W14" s="1341">
        <f t="shared" si="5"/>
        <v>1900.0039999999999</v>
      </c>
      <c r="X14" s="1341">
        <f t="shared" si="6"/>
        <v>157.39982803095444</v>
      </c>
      <c r="Y14" s="1341">
        <f t="shared" si="7"/>
        <v>233.69991401547722</v>
      </c>
      <c r="Z14" s="1341">
        <f t="shared" si="8"/>
        <v>265.39982803095444</v>
      </c>
      <c r="AA14" s="1341" t="b">
        <v>0</v>
      </c>
      <c r="AB14" s="1349">
        <v>8650.7999999999993</v>
      </c>
      <c r="AC14" s="1349">
        <v>0.41899999999999998</v>
      </c>
      <c r="AD14" s="1349">
        <v>177.47399999999999</v>
      </c>
      <c r="AE14" s="1349">
        <v>0.498</v>
      </c>
      <c r="AF14" s="1349">
        <v>890</v>
      </c>
      <c r="AG14" s="1349">
        <v>1037.78</v>
      </c>
      <c r="AH14" s="1349">
        <v>366.11200000000002</v>
      </c>
      <c r="AI14" s="1349">
        <v>543.58600000000001</v>
      </c>
      <c r="AJ14" s="1349">
        <v>617.32000000000005</v>
      </c>
    </row>
    <row r="15" spans="1:36" ht="20.100000000000001" customHeight="1">
      <c r="A15" s="2517"/>
      <c r="B15" s="1336"/>
      <c r="C15" s="1170" t="s">
        <v>785</v>
      </c>
      <c r="D15" s="1351" t="s">
        <v>1116</v>
      </c>
      <c r="E15" s="2095"/>
      <c r="F15" s="2096"/>
      <c r="G15" s="1363"/>
      <c r="H15" s="1350"/>
      <c r="I15" s="1340"/>
      <c r="K15" s="2055">
        <f t="shared" si="10"/>
        <v>0</v>
      </c>
      <c r="N15" s="1341">
        <v>11</v>
      </c>
      <c r="O15" s="1341" t="s">
        <v>859</v>
      </c>
      <c r="P15" s="1341" t="s">
        <v>783</v>
      </c>
      <c r="Q15" s="1341" t="s">
        <v>860</v>
      </c>
      <c r="R15" s="1341">
        <f t="shared" si="0"/>
        <v>550</v>
      </c>
      <c r="S15" s="1341">
        <f t="shared" si="1"/>
        <v>0.10699785048961069</v>
      </c>
      <c r="T15" s="1341">
        <f t="shared" si="2"/>
        <v>84.199914015477205</v>
      </c>
      <c r="U15" s="1341">
        <f t="shared" si="3"/>
        <v>0.1060425125388106</v>
      </c>
      <c r="V15" s="1341">
        <f t="shared" si="4"/>
        <v>1850</v>
      </c>
      <c r="W15" s="1341">
        <f t="shared" si="5"/>
        <v>2100.0020000000004</v>
      </c>
      <c r="X15" s="1341">
        <f t="shared" si="6"/>
        <v>191.49999999999997</v>
      </c>
      <c r="Y15" s="1341">
        <f t="shared" si="7"/>
        <v>275.69991401547719</v>
      </c>
      <c r="Z15" s="1341">
        <f t="shared" si="8"/>
        <v>302</v>
      </c>
      <c r="AA15" s="1341" t="b">
        <v>0</v>
      </c>
      <c r="AB15" s="1349">
        <v>8811</v>
      </c>
      <c r="AC15" s="1349">
        <v>0.44800000000000001</v>
      </c>
      <c r="AD15" s="1349">
        <v>195.84899999999999</v>
      </c>
      <c r="AE15" s="1349">
        <v>0.44400000000000001</v>
      </c>
      <c r="AF15" s="1349">
        <v>1010</v>
      </c>
      <c r="AG15" s="1349">
        <v>1148.8900000000001</v>
      </c>
      <c r="AH15" s="1349">
        <v>445.42899999999997</v>
      </c>
      <c r="AI15" s="1349">
        <v>641.27800000000002</v>
      </c>
      <c r="AJ15" s="1349">
        <v>702.452</v>
      </c>
    </row>
    <row r="16" spans="1:36" ht="20.100000000000001" customHeight="1">
      <c r="A16" s="2517"/>
      <c r="B16" s="1336"/>
      <c r="C16" s="1170" t="s">
        <v>503</v>
      </c>
      <c r="D16" s="1351" t="s">
        <v>1175</v>
      </c>
      <c r="E16" s="930"/>
      <c r="F16" s="928"/>
      <c r="G16" s="1364"/>
      <c r="H16" s="1350"/>
      <c r="I16" s="1340"/>
      <c r="N16" s="1341">
        <v>12</v>
      </c>
      <c r="O16" s="1341" t="s">
        <v>861</v>
      </c>
      <c r="P16" s="1341" t="s">
        <v>783</v>
      </c>
      <c r="Q16" s="1341" t="s">
        <v>862</v>
      </c>
      <c r="R16" s="1341">
        <f t="shared" si="0"/>
        <v>525</v>
      </c>
      <c r="S16" s="1341">
        <f t="shared" si="1"/>
        <v>0.10699785048961069</v>
      </c>
      <c r="T16" s="1341">
        <f t="shared" si="2"/>
        <v>73.5</v>
      </c>
      <c r="U16" s="1341">
        <f t="shared" si="3"/>
        <v>0.12395509911631239</v>
      </c>
      <c r="V16" s="1341">
        <f t="shared" si="4"/>
        <v>1625</v>
      </c>
      <c r="W16" s="1341">
        <f t="shared" si="5"/>
        <v>1850</v>
      </c>
      <c r="X16" s="1341">
        <f t="shared" si="6"/>
        <v>167.5</v>
      </c>
      <c r="Y16" s="1341">
        <f t="shared" si="7"/>
        <v>241</v>
      </c>
      <c r="Z16" s="1341">
        <f t="shared" si="8"/>
        <v>268.89982803095444</v>
      </c>
      <c r="AA16" s="1341" t="b">
        <v>0</v>
      </c>
      <c r="AB16" s="1349">
        <v>8410.5</v>
      </c>
      <c r="AC16" s="1349">
        <v>0.44800000000000001</v>
      </c>
      <c r="AD16" s="1349">
        <v>170.96100000000001</v>
      </c>
      <c r="AE16" s="1349">
        <v>0.51900000000000002</v>
      </c>
      <c r="AF16" s="1349">
        <v>885</v>
      </c>
      <c r="AG16" s="1349">
        <v>1010</v>
      </c>
      <c r="AH16" s="1349">
        <v>389.60500000000002</v>
      </c>
      <c r="AI16" s="1349">
        <v>560.56600000000003</v>
      </c>
      <c r="AJ16" s="1349">
        <v>625.46100000000001</v>
      </c>
    </row>
    <row r="17" spans="1:36" ht="20.100000000000001" customHeight="1">
      <c r="A17" s="2517"/>
      <c r="B17" s="1336"/>
      <c r="C17" s="1170" t="s">
        <v>519</v>
      </c>
      <c r="D17" s="1351" t="s">
        <v>1175</v>
      </c>
      <c r="E17" s="930"/>
      <c r="F17" s="928"/>
      <c r="G17" s="1364"/>
      <c r="H17" s="1350"/>
      <c r="I17" s="1340"/>
      <c r="N17" s="1341">
        <v>13</v>
      </c>
      <c r="O17" s="1341" t="s">
        <v>863</v>
      </c>
      <c r="P17" s="1341" t="s">
        <v>783</v>
      </c>
      <c r="Q17" s="1341" t="s">
        <v>864</v>
      </c>
      <c r="R17" s="1341">
        <v>138</v>
      </c>
      <c r="S17" s="1341">
        <v>0.16</v>
      </c>
      <c r="T17" s="1341">
        <f t="shared" si="2"/>
        <v>60</v>
      </c>
      <c r="U17" s="1341">
        <f t="shared" si="3"/>
        <v>0.17497014568903749</v>
      </c>
      <c r="V17" s="1341">
        <f t="shared" si="4"/>
        <v>2800.0039999999999</v>
      </c>
      <c r="W17" s="1341">
        <f t="shared" si="5"/>
        <v>-4.0000000000048885E-3</v>
      </c>
      <c r="X17" s="1341">
        <f t="shared" si="6"/>
        <v>0</v>
      </c>
      <c r="Y17" s="1341">
        <f t="shared" si="7"/>
        <v>0</v>
      </c>
      <c r="Z17" s="1341">
        <f t="shared" si="8"/>
        <v>0</v>
      </c>
      <c r="AA17" s="1341" t="b">
        <v>0</v>
      </c>
      <c r="AB17" s="1349">
        <v>7689.6</v>
      </c>
      <c r="AC17" s="1349">
        <v>0.628</v>
      </c>
      <c r="AD17" s="1349">
        <v>139.56</v>
      </c>
      <c r="AE17" s="1349">
        <v>0.73260000000000003</v>
      </c>
      <c r="AF17" s="1349">
        <v>1537.78</v>
      </c>
      <c r="AG17" s="1349">
        <v>-17.78</v>
      </c>
      <c r="AH17" s="1349">
        <v>0</v>
      </c>
      <c r="AI17" s="1349">
        <v>0</v>
      </c>
      <c r="AJ17" s="1349">
        <v>0</v>
      </c>
    </row>
    <row r="18" spans="1:36" ht="20.100000000000001" customHeight="1">
      <c r="A18" s="2517"/>
      <c r="B18" s="1336"/>
      <c r="C18" s="1170" t="s">
        <v>520</v>
      </c>
      <c r="D18" s="1351" t="s">
        <v>1175</v>
      </c>
      <c r="E18" s="930"/>
      <c r="F18" s="928"/>
      <c r="G18" s="1364"/>
      <c r="H18" s="1427"/>
      <c r="I18" s="1340"/>
      <c r="N18" s="1341">
        <v>14</v>
      </c>
      <c r="O18" s="1341" t="s">
        <v>865</v>
      </c>
      <c r="P18" s="1341" t="s">
        <v>783</v>
      </c>
      <c r="Q18" s="1341" t="s">
        <v>866</v>
      </c>
      <c r="R18" s="1341">
        <f t="shared" si="0"/>
        <v>559</v>
      </c>
      <c r="S18" s="1341">
        <f t="shared" si="1"/>
        <v>0.10389300214951039</v>
      </c>
      <c r="T18" s="1341">
        <f t="shared" si="2"/>
        <v>91</v>
      </c>
      <c r="U18" s="1341">
        <f t="shared" si="3"/>
        <v>0.1110580367805111</v>
      </c>
      <c r="V18" s="1341">
        <f t="shared" si="4"/>
        <v>1981.9939999999999</v>
      </c>
      <c r="W18" s="1341">
        <f t="shared" si="5"/>
        <v>2199.9920000000002</v>
      </c>
      <c r="X18" s="1341">
        <f t="shared" si="6"/>
        <v>200</v>
      </c>
      <c r="Y18" s="1341">
        <f t="shared" si="7"/>
        <v>291</v>
      </c>
      <c r="Z18" s="1341">
        <f t="shared" si="8"/>
        <v>315</v>
      </c>
      <c r="AA18" s="1341" t="b">
        <v>0</v>
      </c>
      <c r="AB18" s="1349">
        <v>8955.18</v>
      </c>
      <c r="AC18" s="1349">
        <v>0.435</v>
      </c>
      <c r="AD18" s="1349">
        <v>211.666</v>
      </c>
      <c r="AE18" s="1349">
        <v>0.46500000000000002</v>
      </c>
      <c r="AF18" s="1349">
        <v>1083.33</v>
      </c>
      <c r="AG18" s="1349">
        <v>1204.44</v>
      </c>
      <c r="AH18" s="1349">
        <v>465.2</v>
      </c>
      <c r="AI18" s="1349">
        <v>676.86599999999999</v>
      </c>
      <c r="AJ18" s="1349">
        <v>732.69</v>
      </c>
    </row>
    <row r="19" spans="1:36" ht="20.100000000000001" customHeight="1">
      <c r="A19" s="2517"/>
      <c r="B19" s="1336"/>
      <c r="C19" s="1170" t="s">
        <v>751</v>
      </c>
      <c r="D19" s="1351" t="s">
        <v>1116</v>
      </c>
      <c r="E19" s="931"/>
      <c r="F19" s="927"/>
      <c r="G19" s="2515" t="str">
        <f>IF(OR(AND(E17&lt;E11, E19&gt;0),AND(F17&lt;F11, F19&gt;0)), $I$25,IF(OR(AND(E17&gt;E11,E19&lt;=0),AND(F17&gt;F11,F19&lt;=0)), $I$19,""))</f>
        <v/>
      </c>
      <c r="H19" s="2516"/>
      <c r="I19" s="1348" t="s">
        <v>17</v>
      </c>
      <c r="N19" s="1341">
        <v>15</v>
      </c>
      <c r="O19" s="1341" t="s">
        <v>867</v>
      </c>
      <c r="P19" s="1341" t="s">
        <v>783</v>
      </c>
      <c r="Q19" s="1341" t="s">
        <v>868</v>
      </c>
      <c r="R19" s="1341">
        <f t="shared" si="0"/>
        <v>176</v>
      </c>
      <c r="S19" s="1341">
        <f t="shared" si="1"/>
        <v>0.23596847384762357</v>
      </c>
      <c r="T19" s="1341">
        <f t="shared" si="2"/>
        <v>162.99999999999997</v>
      </c>
      <c r="U19" s="1341">
        <f t="shared" si="3"/>
        <v>0.24098399808932405</v>
      </c>
      <c r="V19" s="1341">
        <f t="shared" si="4"/>
        <v>1149.998</v>
      </c>
      <c r="W19" s="1341">
        <f t="shared" si="5"/>
        <v>1400</v>
      </c>
      <c r="X19" s="1341">
        <f t="shared" si="6"/>
        <v>257.30008598452281</v>
      </c>
      <c r="Y19" s="1341">
        <f t="shared" si="7"/>
        <v>420.30008598452281</v>
      </c>
      <c r="Z19" s="1341">
        <f t="shared" si="8"/>
        <v>481</v>
      </c>
      <c r="AA19" s="1341" t="b">
        <v>0</v>
      </c>
      <c r="AB19" s="1349">
        <v>2819.52</v>
      </c>
      <c r="AC19" s="1349">
        <v>0.98799999999999999</v>
      </c>
      <c r="AD19" s="1349">
        <v>379.13799999999998</v>
      </c>
      <c r="AE19" s="1349">
        <v>1.0089999999999999</v>
      </c>
      <c r="AF19" s="1349">
        <v>621.11</v>
      </c>
      <c r="AG19" s="1349">
        <v>760</v>
      </c>
      <c r="AH19" s="1349">
        <v>598.48</v>
      </c>
      <c r="AI19" s="1349">
        <v>977.61800000000005</v>
      </c>
      <c r="AJ19" s="1349">
        <v>1118.806</v>
      </c>
    </row>
    <row r="20" spans="1:36" ht="20.100000000000001" customHeight="1">
      <c r="A20" s="2517"/>
      <c r="B20" s="1336"/>
      <c r="C20" s="1170" t="s">
        <v>752</v>
      </c>
      <c r="D20" s="1351" t="s">
        <v>1116</v>
      </c>
      <c r="E20" s="931"/>
      <c r="F20" s="927"/>
      <c r="G20" s="2515"/>
      <c r="H20" s="2516"/>
      <c r="I20" s="1340"/>
      <c r="N20" s="1341">
        <v>16</v>
      </c>
      <c r="O20" s="1341" t="s">
        <v>867</v>
      </c>
      <c r="P20" s="1341" t="s">
        <v>783</v>
      </c>
      <c r="Q20" s="1341" t="s">
        <v>869</v>
      </c>
      <c r="R20" s="1341">
        <f t="shared" si="0"/>
        <v>176</v>
      </c>
      <c r="S20" s="1341">
        <f t="shared" si="1"/>
        <v>3.7974683544303799E-2</v>
      </c>
      <c r="T20" s="1341">
        <f t="shared" si="2"/>
        <v>17.5</v>
      </c>
      <c r="U20" s="1341">
        <f t="shared" si="3"/>
        <v>3.70193455935037E-2</v>
      </c>
      <c r="V20" s="1341">
        <f t="shared" si="4"/>
        <v>600.00800000000004</v>
      </c>
      <c r="W20" s="1341">
        <f t="shared" si="5"/>
        <v>820.00400000000002</v>
      </c>
      <c r="X20" s="1341">
        <f t="shared" si="6"/>
        <v>20.5</v>
      </c>
      <c r="Y20" s="1341">
        <f t="shared" si="7"/>
        <v>38</v>
      </c>
      <c r="Z20" s="1341">
        <f t="shared" si="8"/>
        <v>146</v>
      </c>
      <c r="AA20" s="1341" t="b">
        <v>0</v>
      </c>
      <c r="AB20" s="1349">
        <v>2819.52</v>
      </c>
      <c r="AC20" s="1349">
        <v>0.159</v>
      </c>
      <c r="AD20" s="1349">
        <v>40.704999999999998</v>
      </c>
      <c r="AE20" s="1349">
        <v>0.155</v>
      </c>
      <c r="AF20" s="1349">
        <v>315.56</v>
      </c>
      <c r="AG20" s="1349">
        <v>437.78</v>
      </c>
      <c r="AH20" s="1349">
        <v>47.683</v>
      </c>
      <c r="AI20" s="1349">
        <v>88.388000000000005</v>
      </c>
      <c r="AJ20" s="1349">
        <v>339.596</v>
      </c>
    </row>
    <row r="21" spans="1:36" ht="20.100000000000001" customHeight="1">
      <c r="A21" s="2517"/>
      <c r="B21" s="1336"/>
      <c r="C21" s="1170" t="s">
        <v>505</v>
      </c>
      <c r="D21" s="1351" t="s">
        <v>1347</v>
      </c>
      <c r="E21" s="930"/>
      <c r="F21" s="928"/>
      <c r="G21" s="2515"/>
      <c r="H21" s="2516"/>
      <c r="I21" s="1340"/>
      <c r="K21" s="2055" t="s">
        <v>838</v>
      </c>
      <c r="N21" s="1341">
        <v>17</v>
      </c>
      <c r="O21" s="1341" t="s">
        <v>867</v>
      </c>
      <c r="P21" s="1341" t="s">
        <v>783</v>
      </c>
      <c r="Q21" s="1341" t="s">
        <v>870</v>
      </c>
      <c r="R21" s="1341">
        <f t="shared" si="0"/>
        <v>176</v>
      </c>
      <c r="S21" s="1341">
        <f t="shared" si="1"/>
        <v>6.9978504896106991E-2</v>
      </c>
      <c r="T21" s="1341">
        <f t="shared" si="2"/>
        <v>30.199914015477216</v>
      </c>
      <c r="U21" s="1341">
        <f t="shared" si="3"/>
        <v>6.2096966802006208E-2</v>
      </c>
      <c r="V21" s="1341">
        <f t="shared" si="4"/>
        <v>449.99599999999998</v>
      </c>
      <c r="W21" s="1341">
        <f t="shared" si="5"/>
        <v>649.99400000000003</v>
      </c>
      <c r="X21" s="1341">
        <f t="shared" si="6"/>
        <v>27.600171969045569</v>
      </c>
      <c r="Y21" s="1341">
        <f t="shared" si="7"/>
        <v>57.800085984522788</v>
      </c>
      <c r="Z21" s="1341">
        <f t="shared" si="8"/>
        <v>70</v>
      </c>
      <c r="AA21" s="1341" t="b">
        <v>0</v>
      </c>
      <c r="AB21" s="1349">
        <v>2819.52</v>
      </c>
      <c r="AC21" s="1349">
        <v>0.29299999999999998</v>
      </c>
      <c r="AD21" s="1349">
        <v>70.245000000000005</v>
      </c>
      <c r="AE21" s="1349">
        <v>0.26</v>
      </c>
      <c r="AF21" s="1349">
        <v>232.22</v>
      </c>
      <c r="AG21" s="1349">
        <v>343.33</v>
      </c>
      <c r="AH21" s="1349">
        <v>64.197999999999993</v>
      </c>
      <c r="AI21" s="1349">
        <v>134.44300000000001</v>
      </c>
      <c r="AJ21" s="1349">
        <v>162.82</v>
      </c>
    </row>
    <row r="22" spans="1:36" ht="20.100000000000001" customHeight="1">
      <c r="A22" s="2517"/>
      <c r="B22" s="1336"/>
      <c r="C22" s="1170" t="s">
        <v>788</v>
      </c>
      <c r="D22" s="1359"/>
      <c r="E22" s="933" t="s">
        <v>798</v>
      </c>
      <c r="F22" s="926" t="s">
        <v>798</v>
      </c>
      <c r="G22" s="2515"/>
      <c r="H22" s="2516"/>
      <c r="I22" s="1340"/>
      <c r="K22" s="2058" t="s">
        <v>1090</v>
      </c>
      <c r="N22" s="1341">
        <v>18</v>
      </c>
      <c r="O22" s="1341" t="s">
        <v>867</v>
      </c>
      <c r="P22" s="1341" t="s">
        <v>783</v>
      </c>
      <c r="Q22" s="1341" t="s">
        <v>871</v>
      </c>
      <c r="R22" s="1341">
        <f t="shared" si="0"/>
        <v>176</v>
      </c>
      <c r="S22" s="1341">
        <f t="shared" si="1"/>
        <v>0.10293766419871028</v>
      </c>
      <c r="T22" s="1341">
        <f t="shared" si="2"/>
        <v>48</v>
      </c>
      <c r="U22" s="1341">
        <f t="shared" si="3"/>
        <v>0.1380463338906138</v>
      </c>
      <c r="V22" s="1341">
        <f t="shared" si="4"/>
        <v>780.00800000000004</v>
      </c>
      <c r="W22" s="1341">
        <f t="shared" si="5"/>
        <v>980.00599999999997</v>
      </c>
      <c r="X22" s="1341">
        <f t="shared" si="6"/>
        <v>74</v>
      </c>
      <c r="Y22" s="1341">
        <f t="shared" si="7"/>
        <v>121.99999999999999</v>
      </c>
      <c r="Z22" s="1341">
        <f t="shared" si="8"/>
        <v>150</v>
      </c>
      <c r="AA22" s="1341" t="b">
        <v>0</v>
      </c>
      <c r="AB22" s="1349">
        <v>2819.52</v>
      </c>
      <c r="AC22" s="1349">
        <v>0.43099999999999999</v>
      </c>
      <c r="AD22" s="1349">
        <v>111.648</v>
      </c>
      <c r="AE22" s="1349">
        <v>0.57799999999999996</v>
      </c>
      <c r="AF22" s="1349">
        <v>415.56</v>
      </c>
      <c r="AG22" s="1349">
        <v>526.66999999999996</v>
      </c>
      <c r="AH22" s="1349">
        <v>172.124</v>
      </c>
      <c r="AI22" s="1349">
        <v>283.77199999999999</v>
      </c>
      <c r="AJ22" s="1349">
        <v>348.9</v>
      </c>
    </row>
    <row r="23" spans="1:36" ht="20.100000000000001" customHeight="1" thickBot="1">
      <c r="A23" s="2517"/>
      <c r="B23" s="1336"/>
      <c r="C23" s="1366" t="s">
        <v>511</v>
      </c>
      <c r="D23" s="1367" t="s">
        <v>1173</v>
      </c>
      <c r="E23" s="965"/>
      <c r="F23" s="966"/>
      <c r="G23" s="1364"/>
      <c r="H23" s="1350"/>
      <c r="I23" s="1340"/>
      <c r="N23" s="1341">
        <v>19</v>
      </c>
      <c r="O23" s="1341" t="s">
        <v>872</v>
      </c>
      <c r="P23" s="1341" t="s">
        <v>783</v>
      </c>
      <c r="Q23" s="1341" t="s">
        <v>873</v>
      </c>
      <c r="R23" s="1341">
        <v>540</v>
      </c>
      <c r="S23" s="1341">
        <f t="shared" si="1"/>
        <v>0.10890852639121089</v>
      </c>
      <c r="T23" s="1341">
        <f t="shared" si="2"/>
        <v>86.199914015477219</v>
      </c>
      <c r="U23" s="1341">
        <f t="shared" si="3"/>
        <v>0.1229997611655123</v>
      </c>
      <c r="V23" s="1341">
        <f t="shared" si="4"/>
        <v>1850</v>
      </c>
      <c r="W23" s="1341">
        <f t="shared" si="5"/>
        <v>2100.0020000000004</v>
      </c>
      <c r="X23" s="1341">
        <f t="shared" si="6"/>
        <v>194</v>
      </c>
      <c r="Y23" s="1341">
        <f t="shared" si="7"/>
        <v>280.19991401547719</v>
      </c>
      <c r="Z23" s="1341">
        <f t="shared" si="8"/>
        <v>311</v>
      </c>
      <c r="AA23" s="1341" t="b">
        <v>0</v>
      </c>
      <c r="AB23" s="1349">
        <v>2819.52</v>
      </c>
      <c r="AC23" s="1349">
        <v>0.45600000000000002</v>
      </c>
      <c r="AD23" s="1349">
        <v>200.501</v>
      </c>
      <c r="AE23" s="1349">
        <v>0.51500000000000001</v>
      </c>
      <c r="AF23" s="1349">
        <v>1010</v>
      </c>
      <c r="AG23" s="1349">
        <v>1148.8900000000001</v>
      </c>
      <c r="AH23" s="1349">
        <v>451.24400000000003</v>
      </c>
      <c r="AI23" s="1349">
        <v>651.745</v>
      </c>
      <c r="AJ23" s="1349">
        <v>723.38599999999997</v>
      </c>
    </row>
    <row r="24" spans="1:36" ht="20.100000000000001" customHeight="1" thickBot="1">
      <c r="A24" s="2517"/>
      <c r="B24" s="1336"/>
      <c r="C24" s="973" t="s">
        <v>753</v>
      </c>
      <c r="D24" s="1368" t="s">
        <v>1173</v>
      </c>
      <c r="E24" s="1369">
        <f>E52</f>
        <v>0</v>
      </c>
      <c r="F24" s="1370">
        <f>F52</f>
        <v>0</v>
      </c>
      <c r="G24" s="1371"/>
      <c r="H24" s="1350"/>
      <c r="I24" s="1340"/>
      <c r="L24" s="1330">
        <f>IF('Control page'!$D$11=0,0,1)</f>
        <v>1</v>
      </c>
      <c r="M24" s="1365" t="s">
        <v>3</v>
      </c>
      <c r="N24" s="1341">
        <v>20</v>
      </c>
      <c r="O24" s="1341" t="s">
        <v>874</v>
      </c>
      <c r="P24" s="1341" t="s">
        <v>783</v>
      </c>
      <c r="Q24" s="1341" t="s">
        <v>875</v>
      </c>
      <c r="R24" s="1341">
        <f t="shared" si="0"/>
        <v>1205</v>
      </c>
      <c r="S24" s="1341">
        <f t="shared" si="1"/>
        <v>3.2959159302603298E-2</v>
      </c>
      <c r="T24" s="1341">
        <f t="shared" si="2"/>
        <v>28.499999999999996</v>
      </c>
      <c r="U24" s="1341">
        <f t="shared" si="3"/>
        <v>3.3914497253403383E-2</v>
      </c>
      <c r="V24" s="1341">
        <f t="shared" si="4"/>
        <v>1945.0039999999999</v>
      </c>
      <c r="W24" s="1341">
        <f t="shared" si="5"/>
        <v>2150.0060000000003</v>
      </c>
      <c r="X24" s="1341">
        <f t="shared" si="6"/>
        <v>62.199914015477212</v>
      </c>
      <c r="Y24" s="1341">
        <f t="shared" si="7"/>
        <v>90.699914015477205</v>
      </c>
      <c r="Z24" s="1341">
        <f t="shared" si="8"/>
        <v>97.699914015477205</v>
      </c>
      <c r="AA24" s="1341" t="b">
        <v>0</v>
      </c>
      <c r="AB24" s="1349">
        <v>19304.099999999999</v>
      </c>
      <c r="AC24" s="1349">
        <v>0.13800000000000001</v>
      </c>
      <c r="AD24" s="1349">
        <v>66.290999999999997</v>
      </c>
      <c r="AE24" s="1349">
        <v>0.14199999999999999</v>
      </c>
      <c r="AF24" s="1349">
        <v>1062.78</v>
      </c>
      <c r="AG24" s="1349">
        <v>1176.67</v>
      </c>
      <c r="AH24" s="1349">
        <v>144.67699999999999</v>
      </c>
      <c r="AI24" s="1349">
        <v>210.96799999999999</v>
      </c>
      <c r="AJ24" s="1349">
        <v>227.25</v>
      </c>
    </row>
    <row r="25" spans="1:36" ht="15" customHeight="1">
      <c r="B25" s="1372"/>
      <c r="C25" s="1373"/>
      <c r="D25" s="1339"/>
      <c r="E25" s="1339"/>
      <c r="F25" s="1339"/>
      <c r="G25" s="1350"/>
      <c r="H25" s="1350"/>
      <c r="I25" s="1348" t="s">
        <v>16</v>
      </c>
      <c r="N25" s="1341">
        <v>21</v>
      </c>
      <c r="O25" s="1341" t="s">
        <v>876</v>
      </c>
      <c r="P25" s="1341" t="s">
        <v>783</v>
      </c>
      <c r="Q25" s="1341" t="s">
        <v>877</v>
      </c>
      <c r="R25" s="1341">
        <f t="shared" si="0"/>
        <v>480.00000000000006</v>
      </c>
      <c r="S25" s="1341">
        <f t="shared" si="1"/>
        <v>0.13995700979221398</v>
      </c>
      <c r="T25" s="1341">
        <f t="shared" si="2"/>
        <v>0</v>
      </c>
      <c r="U25" s="1341">
        <f t="shared" si="3"/>
        <v>0</v>
      </c>
      <c r="V25" s="1341">
        <f t="shared" si="4"/>
        <v>2499.998</v>
      </c>
      <c r="W25" s="1341">
        <f t="shared" si="5"/>
        <v>-4.0000000000048885E-3</v>
      </c>
      <c r="X25" s="1341">
        <f t="shared" si="6"/>
        <v>0</v>
      </c>
      <c r="Y25" s="1341">
        <f t="shared" si="7"/>
        <v>0</v>
      </c>
      <c r="Z25" s="1341">
        <f t="shared" si="8"/>
        <v>0</v>
      </c>
      <c r="AA25" s="1341" t="b">
        <v>0</v>
      </c>
      <c r="AB25" s="1349">
        <v>7689.6</v>
      </c>
      <c r="AC25" s="1349">
        <v>0.58599999999999997</v>
      </c>
      <c r="AD25" s="1349">
        <v>0</v>
      </c>
      <c r="AE25" s="1349">
        <v>0</v>
      </c>
      <c r="AF25" s="1349">
        <v>1371.11</v>
      </c>
      <c r="AG25" s="1349">
        <v>-17.78</v>
      </c>
      <c r="AH25" s="1349">
        <v>0</v>
      </c>
      <c r="AI25" s="1349">
        <v>0</v>
      </c>
      <c r="AJ25" s="1349">
        <v>0</v>
      </c>
    </row>
    <row r="26" spans="1:36" ht="15" customHeight="1">
      <c r="B26" s="1372"/>
      <c r="C26" s="1373"/>
      <c r="D26" s="1339"/>
      <c r="E26" s="1339"/>
      <c r="F26" s="1339"/>
      <c r="G26" s="1350"/>
      <c r="H26" s="1350"/>
      <c r="I26" s="1340"/>
      <c r="N26" s="1341">
        <v>22</v>
      </c>
      <c r="O26" s="1341" t="s">
        <v>878</v>
      </c>
      <c r="P26" s="1341" t="s">
        <v>783</v>
      </c>
      <c r="Q26" s="1341" t="s">
        <v>879</v>
      </c>
      <c r="R26" s="1341">
        <f t="shared" si="0"/>
        <v>480.00000000000006</v>
      </c>
      <c r="S26" s="1341">
        <f t="shared" si="1"/>
        <v>0.19011225220921901</v>
      </c>
      <c r="T26" s="1341">
        <f t="shared" si="2"/>
        <v>41.399828030954431</v>
      </c>
      <c r="U26" s="1341">
        <f t="shared" si="3"/>
        <v>0</v>
      </c>
      <c r="V26" s="1341">
        <f t="shared" si="4"/>
        <v>2246</v>
      </c>
      <c r="W26" s="1341">
        <f t="shared" si="5"/>
        <v>2800.0039999999999</v>
      </c>
      <c r="X26" s="1341">
        <f t="shared" si="6"/>
        <v>415</v>
      </c>
      <c r="Y26" s="1341">
        <f t="shared" si="7"/>
        <v>455.99999999999994</v>
      </c>
      <c r="Z26" s="1341">
        <f t="shared" si="8"/>
        <v>583</v>
      </c>
      <c r="AA26" s="1341" t="b">
        <v>0</v>
      </c>
      <c r="AB26" s="1349">
        <v>7689.6</v>
      </c>
      <c r="AC26" s="1349">
        <v>0.79600000000000004</v>
      </c>
      <c r="AD26" s="1349">
        <v>96.296000000000006</v>
      </c>
      <c r="AE26" s="1349">
        <v>0</v>
      </c>
      <c r="AF26" s="1349">
        <v>1230</v>
      </c>
      <c r="AG26" s="1349">
        <v>1537.78</v>
      </c>
      <c r="AH26" s="1349">
        <v>965.29</v>
      </c>
      <c r="AI26" s="1349">
        <v>1060.6559999999999</v>
      </c>
      <c r="AJ26" s="1349">
        <v>1356.058</v>
      </c>
    </row>
    <row r="27" spans="1:36" ht="15">
      <c r="N27" s="1341">
        <v>23</v>
      </c>
      <c r="O27" s="1341" t="s">
        <v>880</v>
      </c>
      <c r="P27" s="1341" t="s">
        <v>783</v>
      </c>
      <c r="Q27" s="1341" t="s">
        <v>881</v>
      </c>
      <c r="R27" s="1341">
        <f t="shared" si="0"/>
        <v>480.00000000000006</v>
      </c>
      <c r="S27" s="1341">
        <f t="shared" si="1"/>
        <v>0.18008120372581798</v>
      </c>
      <c r="T27" s="1341">
        <f t="shared" si="2"/>
        <v>60.300085984522788</v>
      </c>
      <c r="U27" s="1341">
        <f t="shared" si="3"/>
        <v>0</v>
      </c>
      <c r="V27" s="1341">
        <f t="shared" si="4"/>
        <v>2102</v>
      </c>
      <c r="W27" s="1341">
        <f t="shared" si="5"/>
        <v>2899.9940000000001</v>
      </c>
      <c r="X27" s="1341">
        <f t="shared" si="6"/>
        <v>368</v>
      </c>
      <c r="Y27" s="1341">
        <f t="shared" si="7"/>
        <v>428</v>
      </c>
      <c r="Z27" s="1341">
        <f t="shared" si="8"/>
        <v>612</v>
      </c>
      <c r="AA27" s="1341" t="b">
        <v>0</v>
      </c>
      <c r="AB27" s="1349">
        <v>7689.6</v>
      </c>
      <c r="AC27" s="1349">
        <v>0.754</v>
      </c>
      <c r="AD27" s="1349">
        <v>140.25800000000001</v>
      </c>
      <c r="AE27" s="1349">
        <v>0</v>
      </c>
      <c r="AF27" s="1349">
        <v>1150</v>
      </c>
      <c r="AG27" s="1349">
        <v>1593.33</v>
      </c>
      <c r="AH27" s="1349">
        <v>855.96799999999996</v>
      </c>
      <c r="AI27" s="1349">
        <v>995.52800000000002</v>
      </c>
      <c r="AJ27" s="1349">
        <v>1423.5119999999999</v>
      </c>
    </row>
    <row r="28" spans="1:36" ht="15.75" thickBot="1">
      <c r="N28" s="1341">
        <v>24</v>
      </c>
      <c r="O28" s="1341" t="s">
        <v>882</v>
      </c>
      <c r="P28" s="1341" t="s">
        <v>783</v>
      </c>
      <c r="Q28" s="1341" t="s">
        <v>883</v>
      </c>
      <c r="R28" s="1341">
        <f t="shared" si="0"/>
        <v>480.00000000000006</v>
      </c>
      <c r="S28" s="1341">
        <f t="shared" si="1"/>
        <v>0.15309290661571531</v>
      </c>
      <c r="T28" s="1341">
        <f t="shared" si="2"/>
        <v>83.600171969045576</v>
      </c>
      <c r="U28" s="1341">
        <f t="shared" si="3"/>
        <v>0</v>
      </c>
      <c r="V28" s="1341">
        <f t="shared" si="4"/>
        <v>2012</v>
      </c>
      <c r="W28" s="1341">
        <f t="shared" si="5"/>
        <v>2300</v>
      </c>
      <c r="X28" s="1341">
        <f t="shared" si="6"/>
        <v>299</v>
      </c>
      <c r="Y28" s="1341">
        <f t="shared" si="7"/>
        <v>384</v>
      </c>
      <c r="Z28" s="1341">
        <f t="shared" si="8"/>
        <v>450</v>
      </c>
      <c r="AA28" s="1341" t="b">
        <v>0</v>
      </c>
      <c r="AB28" s="1349">
        <v>7689.6</v>
      </c>
      <c r="AC28" s="1349">
        <v>0.64100000000000001</v>
      </c>
      <c r="AD28" s="1349">
        <v>194.45400000000001</v>
      </c>
      <c r="AE28" s="1349">
        <v>0</v>
      </c>
      <c r="AF28" s="1349">
        <v>1100</v>
      </c>
      <c r="AG28" s="1349">
        <v>1260</v>
      </c>
      <c r="AH28" s="1349">
        <v>695.47400000000005</v>
      </c>
      <c r="AI28" s="1349">
        <v>893.18399999999997</v>
      </c>
      <c r="AJ28" s="1349">
        <v>1046.7</v>
      </c>
    </row>
    <row r="29" spans="1:36" ht="15.75" hidden="1">
      <c r="C29" s="1374" t="s">
        <v>1178</v>
      </c>
      <c r="D29" s="1375"/>
      <c r="E29" s="1376"/>
      <c r="F29" s="1376"/>
      <c r="N29" s="1341">
        <v>25</v>
      </c>
      <c r="O29" s="1341" t="s">
        <v>884</v>
      </c>
      <c r="P29" s="1341" t="s">
        <v>783</v>
      </c>
      <c r="Q29" s="1341" t="s">
        <v>885</v>
      </c>
      <c r="R29" s="1341">
        <f t="shared" si="0"/>
        <v>491</v>
      </c>
      <c r="S29" s="1341">
        <f t="shared" si="1"/>
        <v>0.16790064485311676</v>
      </c>
      <c r="T29" s="1341">
        <f t="shared" si="2"/>
        <v>117</v>
      </c>
      <c r="U29" s="1341">
        <f t="shared" si="3"/>
        <v>0.14998805827561498</v>
      </c>
      <c r="V29" s="1341">
        <f t="shared" si="4"/>
        <v>2802.0020000000004</v>
      </c>
      <c r="W29" s="1341">
        <f t="shared" si="5"/>
        <v>3099.9920000000002</v>
      </c>
      <c r="X29" s="1341">
        <f t="shared" si="6"/>
        <v>451</v>
      </c>
      <c r="Y29" s="1341">
        <f t="shared" si="7"/>
        <v>567.99999999999989</v>
      </c>
      <c r="Z29" s="1341">
        <f t="shared" si="8"/>
        <v>626</v>
      </c>
      <c r="AA29" s="1341" t="b">
        <v>0</v>
      </c>
      <c r="AB29" s="1377">
        <v>7865.82</v>
      </c>
      <c r="AC29" s="1377">
        <v>0.70299999999999996</v>
      </c>
      <c r="AD29" s="1377">
        <v>272.142</v>
      </c>
      <c r="AE29" s="1377">
        <v>0.628</v>
      </c>
      <c r="AF29" s="1377">
        <v>1538.89</v>
      </c>
      <c r="AG29" s="1377">
        <v>1704.44</v>
      </c>
      <c r="AH29" s="1377">
        <v>1049.0260000000001</v>
      </c>
      <c r="AI29" s="1377">
        <v>1321.1679999999999</v>
      </c>
      <c r="AJ29" s="1377">
        <v>1456.076</v>
      </c>
    </row>
    <row r="30" spans="1:36" ht="15" hidden="1">
      <c r="C30" s="1378" t="s">
        <v>1375</v>
      </c>
      <c r="D30" s="1350"/>
      <c r="E30" s="1379">
        <f>E13*E14</f>
        <v>0</v>
      </c>
      <c r="F30" s="1379">
        <f>F13*F14</f>
        <v>0</v>
      </c>
      <c r="N30" s="1341">
        <v>26</v>
      </c>
      <c r="O30" s="1341" t="s">
        <v>886</v>
      </c>
      <c r="P30" s="1341" t="s">
        <v>783</v>
      </c>
      <c r="Q30" s="1341" t="s">
        <v>887</v>
      </c>
      <c r="R30" s="1341">
        <f t="shared" si="0"/>
        <v>708</v>
      </c>
      <c r="S30" s="1341">
        <f t="shared" si="1"/>
        <v>3.2003821351803199E-2</v>
      </c>
      <c r="T30" s="1341">
        <f t="shared" si="2"/>
        <v>10</v>
      </c>
      <c r="U30" s="1341">
        <f t="shared" si="3"/>
        <v>3.3914497253403383E-2</v>
      </c>
      <c r="V30" s="1341">
        <f t="shared" si="4"/>
        <v>620.99600000000009</v>
      </c>
      <c r="W30" s="1341">
        <f t="shared" si="5"/>
        <v>719.99600000000009</v>
      </c>
      <c r="X30" s="1341">
        <f t="shared" si="6"/>
        <v>18</v>
      </c>
      <c r="Y30" s="1341">
        <f t="shared" si="7"/>
        <v>28</v>
      </c>
      <c r="Z30" s="1341">
        <f t="shared" si="8"/>
        <v>30.999999999999996</v>
      </c>
      <c r="AA30" s="1341" t="b">
        <v>0</v>
      </c>
      <c r="AB30" s="1377">
        <v>11342.16</v>
      </c>
      <c r="AC30" s="1377">
        <v>0.13400000000000001</v>
      </c>
      <c r="AD30" s="1377">
        <v>23.26</v>
      </c>
      <c r="AE30" s="1377">
        <v>0.14199999999999999</v>
      </c>
      <c r="AF30" s="1377">
        <v>327.22000000000003</v>
      </c>
      <c r="AG30" s="1377">
        <v>382.22</v>
      </c>
      <c r="AH30" s="1377">
        <v>41.868000000000002</v>
      </c>
      <c r="AI30" s="1377">
        <v>65.128</v>
      </c>
      <c r="AJ30" s="1377">
        <v>72.105999999999995</v>
      </c>
    </row>
    <row r="31" spans="1:36" ht="15" hidden="1">
      <c r="C31" s="1378" t="s">
        <v>1376</v>
      </c>
      <c r="D31" s="1350"/>
      <c r="E31" s="1379">
        <f>E13-E30</f>
        <v>0</v>
      </c>
      <c r="F31" s="1379">
        <f>F13-F30</f>
        <v>0</v>
      </c>
      <c r="N31" s="1341">
        <v>27</v>
      </c>
      <c r="O31" s="1341" t="s">
        <v>888</v>
      </c>
      <c r="P31" s="1341" t="s">
        <v>783</v>
      </c>
      <c r="Q31" s="1341" t="s">
        <v>889</v>
      </c>
      <c r="R31" s="1341">
        <f t="shared" si="0"/>
        <v>700</v>
      </c>
      <c r="S31" s="1341">
        <f t="shared" si="1"/>
        <v>3.6064007642703601E-2</v>
      </c>
      <c r="T31" s="1341">
        <f t="shared" si="2"/>
        <v>21.5</v>
      </c>
      <c r="U31" s="1341">
        <f t="shared" si="3"/>
        <v>3.6064007642703601E-2</v>
      </c>
      <c r="V31" s="1341">
        <f t="shared" si="4"/>
        <v>485.99599999999998</v>
      </c>
      <c r="W31" s="1341">
        <f t="shared" si="5"/>
        <v>620.00600000000009</v>
      </c>
      <c r="X31" s="1341">
        <f t="shared" si="6"/>
        <v>15.300085984522786</v>
      </c>
      <c r="Y31" s="1341">
        <f t="shared" si="7"/>
        <v>36.800085984522781</v>
      </c>
      <c r="Z31" s="1341">
        <f t="shared" si="8"/>
        <v>41.600171969045569</v>
      </c>
      <c r="AA31" s="1341" t="b">
        <v>0</v>
      </c>
      <c r="AB31" s="1377">
        <v>11214</v>
      </c>
      <c r="AC31" s="1377">
        <v>0.151</v>
      </c>
      <c r="AD31" s="1377">
        <v>50.009</v>
      </c>
      <c r="AE31" s="1377">
        <v>0.151</v>
      </c>
      <c r="AF31" s="1377">
        <v>252.22</v>
      </c>
      <c r="AG31" s="1377">
        <v>326.67</v>
      </c>
      <c r="AH31" s="1377">
        <v>35.588000000000001</v>
      </c>
      <c r="AI31" s="1377">
        <v>85.596999999999994</v>
      </c>
      <c r="AJ31" s="1377">
        <v>96.762</v>
      </c>
    </row>
    <row r="32" spans="1:36" ht="15" hidden="1">
      <c r="C32" s="1378" t="s">
        <v>1377</v>
      </c>
      <c r="D32" s="1350"/>
      <c r="E32" s="1380">
        <f>E31*E15/(1-E15)</f>
        <v>0</v>
      </c>
      <c r="F32" s="1380">
        <f>F31*F15/(1-F15)</f>
        <v>0</v>
      </c>
      <c r="N32" s="1341">
        <v>28</v>
      </c>
      <c r="O32" s="1341" t="s">
        <v>890</v>
      </c>
      <c r="P32" s="1341" t="s">
        <v>783</v>
      </c>
      <c r="Q32" s="1341" t="s">
        <v>891</v>
      </c>
      <c r="R32" s="1341">
        <f t="shared" si="0"/>
        <v>108.59987515605494</v>
      </c>
      <c r="S32" s="1341">
        <f t="shared" si="1"/>
        <v>0.27203248149032722</v>
      </c>
      <c r="T32" s="1341">
        <f t="shared" si="2"/>
        <v>83.699914015477219</v>
      </c>
      <c r="U32" s="1341">
        <f t="shared" si="3"/>
        <v>0.26606161929782662</v>
      </c>
      <c r="V32" s="1341">
        <f t="shared" si="4"/>
        <v>1203.998</v>
      </c>
      <c r="W32" s="1341">
        <f t="shared" si="5"/>
        <v>1380.002</v>
      </c>
      <c r="X32" s="1341">
        <f t="shared" si="6"/>
        <v>311.19991401547719</v>
      </c>
      <c r="Y32" s="1341">
        <f t="shared" si="7"/>
        <v>394.89982803095444</v>
      </c>
      <c r="Z32" s="1341">
        <f t="shared" si="8"/>
        <v>441.69991401547719</v>
      </c>
      <c r="AA32" s="1341" t="b">
        <v>0</v>
      </c>
      <c r="AB32" s="1377">
        <v>1739.77</v>
      </c>
      <c r="AC32" s="1377">
        <v>1.139</v>
      </c>
      <c r="AD32" s="1377">
        <v>194.68600000000001</v>
      </c>
      <c r="AE32" s="1377">
        <v>1.1140000000000001</v>
      </c>
      <c r="AF32" s="1377">
        <v>651.11</v>
      </c>
      <c r="AG32" s="1377">
        <v>748.89</v>
      </c>
      <c r="AH32" s="1377">
        <v>723.851</v>
      </c>
      <c r="AI32" s="1377">
        <v>918.53700000000003</v>
      </c>
      <c r="AJ32" s="1377">
        <v>1027.394</v>
      </c>
    </row>
    <row r="33" spans="2:36" ht="15.75" hidden="1">
      <c r="C33" s="1381" t="s">
        <v>1378</v>
      </c>
      <c r="D33" s="1382"/>
      <c r="E33" s="1383">
        <f>E31+E32</f>
        <v>0</v>
      </c>
      <c r="F33" s="1383">
        <f>F31+F32</f>
        <v>0</v>
      </c>
      <c r="N33" s="1341">
        <v>29</v>
      </c>
      <c r="O33" s="1341" t="s">
        <v>892</v>
      </c>
      <c r="P33" s="1341" t="s">
        <v>783</v>
      </c>
      <c r="Q33" s="1341" t="s">
        <v>893</v>
      </c>
      <c r="R33" s="1341">
        <f t="shared" si="0"/>
        <v>464</v>
      </c>
      <c r="S33" s="1341">
        <f t="shared" si="1"/>
        <v>0.17100549319321709</v>
      </c>
      <c r="T33" s="1341">
        <f t="shared" si="2"/>
        <v>66</v>
      </c>
      <c r="U33" s="1341">
        <f t="shared" si="3"/>
        <v>0.1920229281108192</v>
      </c>
      <c r="V33" s="1341">
        <f t="shared" si="4"/>
        <v>2246</v>
      </c>
      <c r="W33" s="1341">
        <f t="shared" si="5"/>
        <v>2400.0079999999998</v>
      </c>
      <c r="X33" s="1341">
        <f t="shared" si="6"/>
        <v>374</v>
      </c>
      <c r="Y33" s="1341">
        <f t="shared" si="7"/>
        <v>440</v>
      </c>
      <c r="Z33" s="1341">
        <f t="shared" si="8"/>
        <v>469</v>
      </c>
      <c r="AA33" s="1341" t="b">
        <v>0</v>
      </c>
      <c r="AB33" s="1377">
        <v>7433.28</v>
      </c>
      <c r="AC33" s="1377">
        <v>0.71599999999999997</v>
      </c>
      <c r="AD33" s="1377">
        <v>153.51599999999999</v>
      </c>
      <c r="AE33" s="1377">
        <v>0.80400000000000005</v>
      </c>
      <c r="AF33" s="1377">
        <v>1230</v>
      </c>
      <c r="AG33" s="1377">
        <v>1315.56</v>
      </c>
      <c r="AH33" s="1377">
        <v>869.92399999999998</v>
      </c>
      <c r="AI33" s="1377">
        <v>1023.44</v>
      </c>
      <c r="AJ33" s="1377">
        <v>1090.894</v>
      </c>
    </row>
    <row r="34" spans="2:36" ht="15" hidden="1">
      <c r="C34" s="1384"/>
      <c r="D34" s="1350"/>
      <c r="E34" s="1350"/>
      <c r="F34" s="1350"/>
      <c r="N34" s="1341">
        <v>30</v>
      </c>
      <c r="O34" s="1341" t="s">
        <v>894</v>
      </c>
      <c r="P34" s="1341" t="s">
        <v>783</v>
      </c>
      <c r="Q34" s="1341" t="s">
        <v>895</v>
      </c>
      <c r="R34" s="1341">
        <f t="shared" si="0"/>
        <v>550</v>
      </c>
      <c r="S34" s="1341">
        <f t="shared" si="1"/>
        <v>0.1289706233580129</v>
      </c>
      <c r="T34" s="1341">
        <f t="shared" si="2"/>
        <v>117.39982803095442</v>
      </c>
      <c r="U34" s="1341">
        <f t="shared" si="3"/>
        <v>0.13900167184141388</v>
      </c>
      <c r="V34" s="1341">
        <f t="shared" si="4"/>
        <v>2415.0020000000004</v>
      </c>
      <c r="W34" s="1341">
        <f t="shared" si="5"/>
        <v>2750</v>
      </c>
      <c r="X34" s="1341">
        <f t="shared" si="6"/>
        <v>304</v>
      </c>
      <c r="Y34" s="1341">
        <f t="shared" si="7"/>
        <v>421.39982803095444</v>
      </c>
      <c r="Z34" s="1341">
        <f t="shared" si="8"/>
        <v>468</v>
      </c>
      <c r="AA34" s="1341" t="b">
        <v>0</v>
      </c>
      <c r="AB34" s="1377">
        <v>8811</v>
      </c>
      <c r="AC34" s="1377">
        <v>0.54</v>
      </c>
      <c r="AD34" s="1377">
        <v>273.072</v>
      </c>
      <c r="AE34" s="1377">
        <v>0.58199999999999996</v>
      </c>
      <c r="AF34" s="1377">
        <v>1323.89</v>
      </c>
      <c r="AG34" s="1377">
        <v>1510</v>
      </c>
      <c r="AH34" s="1377">
        <v>707.10400000000004</v>
      </c>
      <c r="AI34" s="1377">
        <v>980.17600000000004</v>
      </c>
      <c r="AJ34" s="1377">
        <v>1088.568</v>
      </c>
    </row>
    <row r="35" spans="2:36" ht="16.5" hidden="1" thickBot="1">
      <c r="C35" s="1385" t="s">
        <v>789</v>
      </c>
      <c r="D35" s="1138"/>
      <c r="E35" s="1350"/>
      <c r="F35" s="1350"/>
      <c r="N35" s="1341">
        <v>31</v>
      </c>
      <c r="O35" s="1341" t="s">
        <v>896</v>
      </c>
      <c r="P35" s="1341" t="s">
        <v>783</v>
      </c>
      <c r="Q35" s="1341" t="s">
        <v>897</v>
      </c>
      <c r="R35" s="1341">
        <f t="shared" si="0"/>
        <v>556.00000000000011</v>
      </c>
      <c r="S35" s="1341">
        <f t="shared" si="1"/>
        <v>0.13398614759971339</v>
      </c>
      <c r="T35" s="1341">
        <f t="shared" si="2"/>
        <v>131.5</v>
      </c>
      <c r="U35" s="1341">
        <f t="shared" si="3"/>
        <v>0.13303080964891331</v>
      </c>
      <c r="V35" s="1341">
        <f t="shared" si="4"/>
        <v>2643.998</v>
      </c>
      <c r="W35" s="1341">
        <f t="shared" si="5"/>
        <v>2850.0079999999998</v>
      </c>
      <c r="X35" s="1341">
        <f t="shared" si="6"/>
        <v>346</v>
      </c>
      <c r="Y35" s="1341">
        <f t="shared" si="7"/>
        <v>477.49999999999994</v>
      </c>
      <c r="Z35" s="1341">
        <f t="shared" si="8"/>
        <v>505.00000000000006</v>
      </c>
      <c r="AA35" s="1341" t="b">
        <v>0</v>
      </c>
      <c r="AB35" s="1377">
        <v>8907.1200000000008</v>
      </c>
      <c r="AC35" s="1377">
        <v>0.56100000000000005</v>
      </c>
      <c r="AD35" s="1377">
        <v>305.86900000000003</v>
      </c>
      <c r="AE35" s="1377">
        <v>0.55700000000000005</v>
      </c>
      <c r="AF35" s="1377">
        <v>1451.11</v>
      </c>
      <c r="AG35" s="1377">
        <v>1565.56</v>
      </c>
      <c r="AH35" s="1377">
        <v>804.79600000000005</v>
      </c>
      <c r="AI35" s="1377">
        <v>1110.665</v>
      </c>
      <c r="AJ35" s="1377">
        <v>1174.6300000000001</v>
      </c>
    </row>
    <row r="36" spans="2:36" ht="15" hidden="1">
      <c r="C36" s="1378" t="s">
        <v>1382</v>
      </c>
      <c r="D36" s="1350"/>
      <c r="E36" s="1379">
        <f>$G$37*E30*(212-E16)</f>
        <v>0</v>
      </c>
      <c r="F36" s="1379">
        <f>$G$37*F30*(212-F16)</f>
        <v>0</v>
      </c>
      <c r="G36" s="2501" t="s">
        <v>790</v>
      </c>
      <c r="H36" s="2502"/>
      <c r="N36" s="1341">
        <v>32</v>
      </c>
      <c r="O36" s="1341" t="s">
        <v>898</v>
      </c>
      <c r="P36" s="1341" t="s">
        <v>783</v>
      </c>
      <c r="Q36" s="1341" t="s">
        <v>899</v>
      </c>
      <c r="R36" s="1341">
        <f t="shared" si="0"/>
        <v>655</v>
      </c>
      <c r="S36" s="1341">
        <f t="shared" si="1"/>
        <v>6.3052304752806307E-2</v>
      </c>
      <c r="T36" s="1341">
        <f t="shared" si="2"/>
        <v>46.800085984522781</v>
      </c>
      <c r="U36" s="1341">
        <f t="shared" si="3"/>
        <v>6.9978504896106991E-2</v>
      </c>
      <c r="V36" s="1341">
        <f t="shared" si="4"/>
        <v>1761.998</v>
      </c>
      <c r="W36" s="1341">
        <f t="shared" si="5"/>
        <v>1950.008</v>
      </c>
      <c r="X36" s="1341">
        <f t="shared" si="6"/>
        <v>107</v>
      </c>
      <c r="Y36" s="1341">
        <f t="shared" si="7"/>
        <v>153.80008598452278</v>
      </c>
      <c r="Z36" s="1341">
        <f t="shared" si="8"/>
        <v>167</v>
      </c>
      <c r="AA36" s="1341" t="b">
        <v>0</v>
      </c>
      <c r="AB36" s="1377">
        <v>10493.1</v>
      </c>
      <c r="AC36" s="1377">
        <v>0.26400000000000001</v>
      </c>
      <c r="AD36" s="1377">
        <v>108.857</v>
      </c>
      <c r="AE36" s="1377">
        <v>0.29299999999999998</v>
      </c>
      <c r="AF36" s="1377">
        <v>961.11</v>
      </c>
      <c r="AG36" s="1377">
        <v>1065.56</v>
      </c>
      <c r="AH36" s="1377">
        <v>248.88200000000001</v>
      </c>
      <c r="AI36" s="1377">
        <v>357.73899999999998</v>
      </c>
      <c r="AJ36" s="1377">
        <v>388.44200000000001</v>
      </c>
    </row>
    <row r="37" spans="2:36" ht="15" hidden="1">
      <c r="C37" s="1378" t="s">
        <v>1383</v>
      </c>
      <c r="D37" s="1350"/>
      <c r="E37" s="1379">
        <f>IF(E18&gt;212,$G$38*(E30-E32),0)</f>
        <v>0</v>
      </c>
      <c r="F37" s="1379">
        <f>IF(F18&gt;212,$G$38*(F30-F32),0)</f>
        <v>0</v>
      </c>
      <c r="G37" s="1386">
        <v>1</v>
      </c>
      <c r="H37" s="1387" t="s">
        <v>1379</v>
      </c>
      <c r="N37" s="1341">
        <v>33</v>
      </c>
      <c r="O37" s="1341" t="s">
        <v>900</v>
      </c>
      <c r="P37" s="1341" t="s">
        <v>783</v>
      </c>
      <c r="Q37" s="1341" t="s">
        <v>901</v>
      </c>
      <c r="R37" s="1341">
        <f t="shared" si="0"/>
        <v>580</v>
      </c>
      <c r="S37" s="1341">
        <f t="shared" si="1"/>
        <v>3.988535944590399E-2</v>
      </c>
      <c r="T37" s="1341">
        <f t="shared" si="2"/>
        <v>16.399828030954428</v>
      </c>
      <c r="U37" s="1341">
        <f t="shared" si="3"/>
        <v>3.8930021495103891E-2</v>
      </c>
      <c r="V37" s="1341">
        <f t="shared" si="4"/>
        <v>231.99799999999999</v>
      </c>
      <c r="W37" s="1341">
        <f t="shared" si="5"/>
        <v>330.00800000000004</v>
      </c>
      <c r="X37" s="1341">
        <f t="shared" si="6"/>
        <v>9.3000859845227861</v>
      </c>
      <c r="Y37" s="1341">
        <f t="shared" si="7"/>
        <v>25.699914015477212</v>
      </c>
      <c r="Z37" s="1341">
        <f t="shared" si="8"/>
        <v>29.5</v>
      </c>
      <c r="AA37" s="1341" t="b">
        <v>0</v>
      </c>
      <c r="AB37" s="1377">
        <v>9291.6</v>
      </c>
      <c r="AC37" s="1377">
        <v>0.16700000000000001</v>
      </c>
      <c r="AD37" s="1377">
        <v>38.146000000000001</v>
      </c>
      <c r="AE37" s="1377">
        <v>0.16300000000000001</v>
      </c>
      <c r="AF37" s="1377">
        <v>111.11</v>
      </c>
      <c r="AG37" s="1377">
        <v>165.56</v>
      </c>
      <c r="AH37" s="1377">
        <v>21.632000000000001</v>
      </c>
      <c r="AI37" s="1377">
        <v>59.777999999999999</v>
      </c>
      <c r="AJ37" s="1377">
        <v>68.617000000000004</v>
      </c>
    </row>
    <row r="38" spans="2:36" ht="15" hidden="1">
      <c r="C38" s="1378" t="s">
        <v>1384</v>
      </c>
      <c r="D38" s="1350"/>
      <c r="E38" s="1379">
        <f xml:space="preserve">  IF(E18&gt;212, $G$39*(E30-E32)*(E18-212),0)</f>
        <v>0</v>
      </c>
      <c r="F38" s="1379">
        <f xml:space="preserve">  IF(F18&gt;212, $G$39*(F30-F32)*(F18-212),0)</f>
        <v>0</v>
      </c>
      <c r="G38" s="1388">
        <v>970</v>
      </c>
      <c r="H38" s="1387" t="s">
        <v>1380</v>
      </c>
      <c r="N38" s="1341">
        <v>34</v>
      </c>
      <c r="O38" s="1341" t="s">
        <v>902</v>
      </c>
      <c r="P38" s="1341" t="s">
        <v>783</v>
      </c>
      <c r="Q38" s="1341" t="s">
        <v>903</v>
      </c>
      <c r="R38" s="1341">
        <f t="shared" si="0"/>
        <v>580</v>
      </c>
      <c r="S38" s="1341">
        <f t="shared" si="1"/>
        <v>5.1110580367805108E-2</v>
      </c>
      <c r="T38" s="1341">
        <f t="shared" si="2"/>
        <v>23</v>
      </c>
      <c r="U38" s="1341">
        <f t="shared" si="3"/>
        <v>4.8961069978504891E-2</v>
      </c>
      <c r="V38" s="1341">
        <f t="shared" si="4"/>
        <v>413.99599999999998</v>
      </c>
      <c r="W38" s="1341">
        <f t="shared" si="5"/>
        <v>500</v>
      </c>
      <c r="X38" s="1341">
        <f t="shared" si="6"/>
        <v>18</v>
      </c>
      <c r="Y38" s="1341">
        <f t="shared" si="7"/>
        <v>41</v>
      </c>
      <c r="Z38" s="1341">
        <f t="shared" si="8"/>
        <v>45</v>
      </c>
      <c r="AA38" s="1341" t="b">
        <v>0</v>
      </c>
      <c r="AB38" s="1377">
        <v>9291.6</v>
      </c>
      <c r="AC38" s="1377">
        <v>0.214</v>
      </c>
      <c r="AD38" s="1377">
        <v>53.497999999999998</v>
      </c>
      <c r="AE38" s="1377">
        <v>0.20499999999999999</v>
      </c>
      <c r="AF38" s="1377">
        <v>212.22</v>
      </c>
      <c r="AG38" s="1377">
        <v>260</v>
      </c>
      <c r="AH38" s="1377">
        <v>41.868000000000002</v>
      </c>
      <c r="AI38" s="1377">
        <v>95.366</v>
      </c>
      <c r="AJ38" s="1377">
        <v>104.67</v>
      </c>
    </row>
    <row r="39" spans="2:36" ht="15.75" hidden="1" thickBot="1">
      <c r="C39" s="1389" t="s">
        <v>1385</v>
      </c>
      <c r="D39" s="1390"/>
      <c r="E39" s="1379">
        <f>$G$37*E32*(E18-212)</f>
        <v>0</v>
      </c>
      <c r="F39" s="1379">
        <f>$G$37*F32*(F18-212)</f>
        <v>0</v>
      </c>
      <c r="G39" s="1391">
        <v>0.48099999999999998</v>
      </c>
      <c r="H39" s="1392" t="s">
        <v>1381</v>
      </c>
      <c r="N39" s="1341">
        <v>35</v>
      </c>
      <c r="O39" s="1341" t="s">
        <v>904</v>
      </c>
      <c r="P39" s="1341" t="s">
        <v>783</v>
      </c>
      <c r="Q39" s="1341" t="s">
        <v>905</v>
      </c>
      <c r="R39" s="1341">
        <f t="shared" si="0"/>
        <v>480.00000000000006</v>
      </c>
      <c r="S39" s="1393">
        <f t="shared" si="1"/>
        <v>0.13995700979221398</v>
      </c>
      <c r="T39" s="1341">
        <f t="shared" si="2"/>
        <v>0</v>
      </c>
      <c r="U39" s="1341">
        <f t="shared" si="3"/>
        <v>0</v>
      </c>
      <c r="V39" s="1341">
        <f t="shared" si="4"/>
        <v>2550.0020000000004</v>
      </c>
      <c r="W39" s="1341">
        <f t="shared" si="5"/>
        <v>-4.0000000000048885E-3</v>
      </c>
      <c r="X39" s="1341">
        <f t="shared" si="6"/>
        <v>0</v>
      </c>
      <c r="Y39" s="1341">
        <f t="shared" si="7"/>
        <v>0</v>
      </c>
      <c r="Z39" s="1341">
        <f t="shared" si="8"/>
        <v>0</v>
      </c>
      <c r="AA39" s="1341" t="b">
        <v>0</v>
      </c>
      <c r="AB39" s="1377">
        <v>7689.6</v>
      </c>
      <c r="AC39" s="1377">
        <v>0.58599999999999997</v>
      </c>
      <c r="AD39" s="1377">
        <v>0</v>
      </c>
      <c r="AE39" s="1377">
        <v>0</v>
      </c>
      <c r="AF39" s="1377">
        <v>1398.89</v>
      </c>
      <c r="AG39" s="1377">
        <v>-17.78</v>
      </c>
      <c r="AH39" s="1377">
        <v>0</v>
      </c>
      <c r="AI39" s="1377">
        <v>0</v>
      </c>
      <c r="AJ39" s="1377">
        <v>0</v>
      </c>
    </row>
    <row r="40" spans="2:36" ht="15.75" hidden="1">
      <c r="C40" s="1394" t="s">
        <v>1089</v>
      </c>
      <c r="D40" s="1382"/>
      <c r="E40" s="1395">
        <f>SUM(E36:E39)</f>
        <v>0</v>
      </c>
      <c r="F40" s="1395">
        <f>SUM(F36:F39)</f>
        <v>0</v>
      </c>
      <c r="G40" s="1330">
        <v>0.48099999999999998</v>
      </c>
      <c r="N40" s="1341">
        <v>36</v>
      </c>
      <c r="O40" s="1341" t="s">
        <v>906</v>
      </c>
      <c r="P40" s="1341" t="s">
        <v>783</v>
      </c>
      <c r="Q40" s="1341" t="s">
        <v>907</v>
      </c>
      <c r="R40" s="1341">
        <f t="shared" si="0"/>
        <v>480.00000000000006</v>
      </c>
      <c r="S40" s="1341">
        <v>0.12</v>
      </c>
      <c r="T40" s="1341">
        <f t="shared" si="2"/>
        <v>48</v>
      </c>
      <c r="U40" s="1341">
        <f t="shared" si="3"/>
        <v>0</v>
      </c>
      <c r="V40" s="1341">
        <f t="shared" si="4"/>
        <v>2800.0039999999999</v>
      </c>
      <c r="W40" s="1341">
        <f t="shared" si="5"/>
        <v>2800.0039999999999</v>
      </c>
      <c r="X40" s="1341">
        <f t="shared" si="6"/>
        <v>750</v>
      </c>
      <c r="Y40" s="1341">
        <f t="shared" si="7"/>
        <v>126</v>
      </c>
      <c r="Z40" s="1341">
        <f t="shared" si="8"/>
        <v>141.99999999999997</v>
      </c>
      <c r="AA40" s="1341" t="b">
        <v>0</v>
      </c>
      <c r="AB40" s="1377">
        <v>7689.6</v>
      </c>
      <c r="AC40" s="1377">
        <v>1.0469999999999999</v>
      </c>
      <c r="AD40" s="1377">
        <v>111.648</v>
      </c>
      <c r="AE40" s="1377">
        <v>0</v>
      </c>
      <c r="AF40" s="1377">
        <v>1537.78</v>
      </c>
      <c r="AG40" s="1377">
        <v>1537.78</v>
      </c>
      <c r="AH40" s="1377">
        <v>1744.5</v>
      </c>
      <c r="AI40" s="1377">
        <v>293.07600000000002</v>
      </c>
      <c r="AJ40" s="1377">
        <v>330.29199999999997</v>
      </c>
    </row>
    <row r="41" spans="2:36" ht="15" hidden="1">
      <c r="C41" s="1396"/>
      <c r="D41" s="1397"/>
      <c r="E41" s="1398"/>
      <c r="F41" s="1398"/>
      <c r="N41" s="1341">
        <v>37</v>
      </c>
      <c r="O41" s="1341" t="s">
        <v>908</v>
      </c>
      <c r="P41" s="1341" t="s">
        <v>783</v>
      </c>
      <c r="Q41" s="1341" t="s">
        <v>909</v>
      </c>
      <c r="R41" s="1341">
        <f t="shared" si="0"/>
        <v>455.00000000000006</v>
      </c>
      <c r="S41" s="1341">
        <f t="shared" si="1"/>
        <v>6.9023166945306899E-2</v>
      </c>
      <c r="T41" s="1341">
        <f t="shared" si="2"/>
        <v>25</v>
      </c>
      <c r="U41" s="1341">
        <f t="shared" si="3"/>
        <v>6.3768808215906372E-2</v>
      </c>
      <c r="V41" s="1341">
        <f t="shared" si="4"/>
        <v>449.99599999999998</v>
      </c>
      <c r="W41" s="1341">
        <f t="shared" si="5"/>
        <v>649.99400000000003</v>
      </c>
      <c r="X41" s="1341">
        <f t="shared" si="6"/>
        <v>27</v>
      </c>
      <c r="Y41" s="1341">
        <f t="shared" si="7"/>
        <v>52</v>
      </c>
      <c r="Z41" s="1341">
        <f t="shared" si="8"/>
        <v>64</v>
      </c>
      <c r="AA41" s="1341" t="b">
        <v>0</v>
      </c>
      <c r="AB41" s="1377">
        <v>7289.1</v>
      </c>
      <c r="AC41" s="1377">
        <v>0.28899999999999998</v>
      </c>
      <c r="AD41" s="1377">
        <v>58.15</v>
      </c>
      <c r="AE41" s="1377">
        <v>0.26700000000000002</v>
      </c>
      <c r="AF41" s="1377">
        <v>232.22</v>
      </c>
      <c r="AG41" s="1377">
        <v>343.33</v>
      </c>
      <c r="AH41" s="1377">
        <v>62.802</v>
      </c>
      <c r="AI41" s="1377">
        <v>120.952</v>
      </c>
      <c r="AJ41" s="1377">
        <v>148.864</v>
      </c>
    </row>
    <row r="42" spans="2:36" ht="15.75" hidden="1">
      <c r="C42" s="1385" t="s">
        <v>794</v>
      </c>
      <c r="D42" s="1138"/>
      <c r="E42" s="1350"/>
      <c r="F42" s="1350"/>
      <c r="N42" s="1341">
        <v>38</v>
      </c>
      <c r="O42" s="1341" t="s">
        <v>910</v>
      </c>
      <c r="P42" s="1341" t="s">
        <v>783</v>
      </c>
      <c r="Q42" s="1341" t="s">
        <v>911</v>
      </c>
      <c r="R42" s="1341">
        <f t="shared" si="0"/>
        <v>445</v>
      </c>
      <c r="S42" s="1341">
        <f t="shared" si="1"/>
        <v>0.10699785048961069</v>
      </c>
      <c r="T42" s="1341">
        <f t="shared" si="2"/>
        <v>48</v>
      </c>
      <c r="U42" s="1341">
        <f t="shared" si="3"/>
        <v>0.14592787198471457</v>
      </c>
      <c r="V42" s="1341">
        <f t="shared" si="4"/>
        <v>786.00199999999995</v>
      </c>
      <c r="W42" s="1341">
        <f t="shared" si="5"/>
        <v>899.99600000000009</v>
      </c>
      <c r="X42" s="1341">
        <f t="shared" si="6"/>
        <v>77.800085984522781</v>
      </c>
      <c r="Y42" s="1341">
        <f t="shared" si="7"/>
        <v>125.80008598452278</v>
      </c>
      <c r="Z42" s="1341">
        <f t="shared" si="8"/>
        <v>141.99999999999997</v>
      </c>
      <c r="AA42" s="1341" t="b">
        <v>0</v>
      </c>
      <c r="AB42" s="1377">
        <v>7128.9</v>
      </c>
      <c r="AC42" s="1377">
        <v>0.44800000000000001</v>
      </c>
      <c r="AD42" s="1377">
        <v>111.648</v>
      </c>
      <c r="AE42" s="1377">
        <v>0.61099999999999999</v>
      </c>
      <c r="AF42" s="1377">
        <v>418.89</v>
      </c>
      <c r="AG42" s="1377">
        <v>482.22</v>
      </c>
      <c r="AH42" s="1377">
        <v>180.96299999999999</v>
      </c>
      <c r="AI42" s="1377">
        <v>292.61099999999999</v>
      </c>
      <c r="AJ42" s="1377">
        <v>330.29199999999997</v>
      </c>
    </row>
    <row r="43" spans="2:36" ht="15" hidden="1">
      <c r="C43" s="1378" t="s">
        <v>1386</v>
      </c>
      <c r="D43" s="1350"/>
      <c r="E43" s="1379">
        <f>IF(E19&lt;=0, E8*E31*(E17-E16), E8*E31*(E11-E16))</f>
        <v>0</v>
      </c>
      <c r="F43" s="1379">
        <f>IF(F19&lt;=0, F8*F31*(F17-F16), F8*F31*(F11-F16))</f>
        <v>0</v>
      </c>
      <c r="N43" s="1341">
        <v>39</v>
      </c>
      <c r="O43" s="1341" t="s">
        <v>912</v>
      </c>
      <c r="P43" s="1341" t="s">
        <v>783</v>
      </c>
      <c r="Q43" s="1341"/>
      <c r="R43" s="1341">
        <v>150</v>
      </c>
      <c r="S43" s="1341">
        <f t="shared" si="1"/>
        <v>0.25005970862192495</v>
      </c>
      <c r="T43" s="1341">
        <f t="shared" si="2"/>
        <v>0</v>
      </c>
      <c r="U43" s="1341">
        <f t="shared" si="3"/>
        <v>0</v>
      </c>
      <c r="V43" s="1341">
        <f t="shared" si="4"/>
        <v>5000</v>
      </c>
      <c r="W43" s="1341">
        <f t="shared" si="5"/>
        <v>-4.0000000000048885E-3</v>
      </c>
      <c r="X43" s="1341">
        <f t="shared" si="6"/>
        <v>0</v>
      </c>
      <c r="Y43" s="1341">
        <f t="shared" si="7"/>
        <v>0</v>
      </c>
      <c r="Z43" s="1341">
        <f t="shared" si="8"/>
        <v>0</v>
      </c>
      <c r="AA43" s="1341" t="b">
        <v>0</v>
      </c>
      <c r="AB43" s="1377">
        <v>0</v>
      </c>
      <c r="AC43" s="1377">
        <v>1.0469999999999999</v>
      </c>
      <c r="AD43" s="1377">
        <v>0</v>
      </c>
      <c r="AE43" s="1377">
        <v>0</v>
      </c>
      <c r="AF43" s="1377">
        <v>2760</v>
      </c>
      <c r="AG43" s="1377">
        <v>-17.78</v>
      </c>
      <c r="AH43" s="1377">
        <v>0</v>
      </c>
      <c r="AI43" s="1377">
        <v>0</v>
      </c>
      <c r="AJ43" s="1377">
        <v>0</v>
      </c>
    </row>
    <row r="44" spans="2:36" ht="15" hidden="1">
      <c r="C44" s="1378" t="s">
        <v>1387</v>
      </c>
      <c r="D44" s="1350"/>
      <c r="E44" s="1379">
        <f>IF(E19&gt;0, E31*E9*E19,0)</f>
        <v>0</v>
      </c>
      <c r="F44" s="1379">
        <f>IF(F19&gt;0, F31*F9*F19,0)</f>
        <v>0</v>
      </c>
      <c r="N44" s="1341">
        <v>40</v>
      </c>
      <c r="O44" s="1341" t="s">
        <v>913</v>
      </c>
      <c r="P44" s="1341" t="s">
        <v>783</v>
      </c>
      <c r="Q44" s="1341"/>
      <c r="R44" s="1341">
        <v>150</v>
      </c>
      <c r="S44" s="1341">
        <f t="shared" si="1"/>
        <v>0.25005970862192495</v>
      </c>
      <c r="T44" s="1341">
        <v>0</v>
      </c>
      <c r="U44" s="1341">
        <f t="shared" si="3"/>
        <v>0</v>
      </c>
      <c r="V44" s="1341">
        <f t="shared" si="4"/>
        <v>5000</v>
      </c>
      <c r="W44" s="1341">
        <f t="shared" si="5"/>
        <v>-4.0000000000048885E-3</v>
      </c>
      <c r="X44" s="1341">
        <f t="shared" si="6"/>
        <v>0</v>
      </c>
      <c r="Y44" s="1341">
        <v>0</v>
      </c>
      <c r="Z44" s="1341">
        <f t="shared" si="8"/>
        <v>0</v>
      </c>
      <c r="AA44" s="1341" t="b">
        <v>0</v>
      </c>
      <c r="AB44" s="1377">
        <v>0</v>
      </c>
      <c r="AC44" s="1377">
        <v>1.0469999999999999</v>
      </c>
      <c r="AD44" s="1377">
        <v>0</v>
      </c>
      <c r="AE44" s="1377">
        <v>0</v>
      </c>
      <c r="AF44" s="1377">
        <v>2760</v>
      </c>
      <c r="AG44" s="1377">
        <v>-17.78</v>
      </c>
      <c r="AH44" s="1377">
        <v>0</v>
      </c>
      <c r="AI44" s="1377">
        <v>0</v>
      </c>
      <c r="AJ44" s="1377">
        <v>0</v>
      </c>
    </row>
    <row r="45" spans="2:36" ht="15" hidden="1">
      <c r="C45" s="1378" t="s">
        <v>1388</v>
      </c>
      <c r="D45" s="1350"/>
      <c r="E45" s="1379">
        <f>IF(E19&gt;0, E10*E31*(E17-E11)*E19,0)</f>
        <v>0</v>
      </c>
      <c r="F45" s="1379">
        <f>IF(F19&gt;0, F10*F31*(F17-F11)*F19,0)</f>
        <v>0</v>
      </c>
      <c r="O45" s="1330" t="s">
        <v>1292</v>
      </c>
      <c r="R45" s="1399"/>
      <c r="S45" s="1400" t="s">
        <v>486</v>
      </c>
      <c r="T45" s="1400" t="s">
        <v>487</v>
      </c>
      <c r="U45" s="1400" t="s">
        <v>488</v>
      </c>
      <c r="V45" s="1400" t="s">
        <v>489</v>
      </c>
      <c r="W45" s="1400"/>
      <c r="X45" s="1400"/>
      <c r="Y45" s="1400"/>
      <c r="Z45" s="1400"/>
      <c r="AA45" s="1401"/>
    </row>
    <row r="46" spans="2:36" ht="15" hidden="1">
      <c r="C46" s="1378" t="s">
        <v>1389</v>
      </c>
      <c r="D46" s="1350"/>
      <c r="E46" s="1379">
        <f xml:space="preserve">  IF(E19&gt;0, (1-E19)*E8*E31*(E17-E11), 0)</f>
        <v>0</v>
      </c>
      <c r="F46" s="1379">
        <f xml:space="preserve">  IF(F19&gt;0, (1-F19)*F8*F31*(F17-F11), 0)</f>
        <v>0</v>
      </c>
      <c r="R46" s="1399"/>
      <c r="S46" s="1399"/>
      <c r="T46" s="1399"/>
      <c r="U46" s="1399"/>
      <c r="V46" s="1399"/>
      <c r="W46" s="1399"/>
      <c r="X46" s="1399"/>
      <c r="Y46" s="1399"/>
      <c r="Z46" s="1399"/>
    </row>
    <row r="47" spans="2:36" ht="15" hidden="1">
      <c r="C47" s="1378" t="s">
        <v>1390</v>
      </c>
      <c r="D47" s="1350"/>
      <c r="E47" s="1379">
        <f>IF(E22="Endothermic",1,-1)*E20*E31*E21</f>
        <v>0</v>
      </c>
      <c r="F47" s="1379">
        <f>IF(F22="Endothermic",1,-1)*F20*F31*F21</f>
        <v>0</v>
      </c>
      <c r="K47" s="2059">
        <f>(IF(E47&lt;0,-1,0))*E47*$L$24</f>
        <v>0</v>
      </c>
      <c r="L47" s="1402">
        <f>(IF(F47&lt;0,-1,0))*F47*$L$24</f>
        <v>0</v>
      </c>
      <c r="R47" s="1399"/>
      <c r="S47" s="1399"/>
      <c r="T47" s="1399"/>
      <c r="U47" s="1399"/>
      <c r="V47" s="1399"/>
      <c r="W47" s="1399"/>
      <c r="X47" s="1399"/>
      <c r="Y47" s="1399"/>
      <c r="Z47" s="1399"/>
    </row>
    <row r="48" spans="2:36" ht="15.75" hidden="1">
      <c r="B48" s="1403" t="s">
        <v>795</v>
      </c>
      <c r="C48" s="1404" t="s">
        <v>1393</v>
      </c>
      <c r="D48" s="1405"/>
      <c r="E48" s="1406">
        <v>0</v>
      </c>
      <c r="F48" s="1406">
        <v>0</v>
      </c>
      <c r="R48" s="1399"/>
      <c r="S48" s="1399"/>
      <c r="T48" s="1399"/>
      <c r="U48" s="1399"/>
      <c r="V48" s="1399"/>
      <c r="W48" s="1399"/>
      <c r="X48" s="1399"/>
      <c r="Y48" s="1399"/>
      <c r="Z48" s="1399"/>
    </row>
    <row r="49" spans="1:256" ht="15.75" hidden="1">
      <c r="B49" s="1403" t="s">
        <v>795</v>
      </c>
      <c r="C49" s="1404" t="s">
        <v>1394</v>
      </c>
      <c r="D49" s="1405"/>
      <c r="E49" s="1406">
        <v>0</v>
      </c>
      <c r="F49" s="1406">
        <v>0</v>
      </c>
      <c r="R49" s="1399"/>
      <c r="S49" s="1399"/>
      <c r="T49" s="1399"/>
      <c r="U49" s="1399"/>
      <c r="V49" s="1399"/>
      <c r="W49" s="1399"/>
      <c r="X49" s="1399"/>
      <c r="Y49" s="1399"/>
      <c r="Z49" s="1399"/>
    </row>
    <row r="50" spans="1:256" s="1350" customFormat="1" ht="15.75" hidden="1">
      <c r="A50" s="1407"/>
      <c r="B50" s="1408"/>
      <c r="C50" s="1381" t="s">
        <v>1391</v>
      </c>
      <c r="D50" s="1382"/>
      <c r="E50" s="1395">
        <f>SUM(E43:E46)+(IF(E22="Endothermic",E47,0))</f>
        <v>0</v>
      </c>
      <c r="F50" s="1395">
        <f>SUM(F43:F46)+(IF(F22="Endothermic",F47,0))</f>
        <v>0</v>
      </c>
      <c r="G50" s="1409"/>
      <c r="H50" s="1410"/>
      <c r="I50" s="1409"/>
      <c r="J50" s="1410"/>
      <c r="K50" s="2060"/>
      <c r="L50" s="1410"/>
      <c r="M50" s="1409"/>
      <c r="N50" s="1410"/>
      <c r="O50" s="1409"/>
      <c r="P50" s="1410"/>
      <c r="Q50" s="1409"/>
      <c r="R50" s="1411"/>
      <c r="S50" s="1412"/>
      <c r="T50" s="1411"/>
      <c r="U50" s="1412"/>
      <c r="V50" s="1411"/>
      <c r="W50" s="1412"/>
      <c r="X50" s="1411"/>
      <c r="Y50" s="1412"/>
      <c r="Z50" s="1411"/>
      <c r="AA50" s="1409"/>
      <c r="AB50" s="1410"/>
      <c r="AC50" s="1409"/>
      <c r="AD50" s="1410"/>
      <c r="AE50" s="1409"/>
      <c r="AF50" s="1410"/>
      <c r="AG50" s="1409"/>
      <c r="AH50" s="1410"/>
      <c r="AI50" s="1409"/>
      <c r="AJ50" s="1410"/>
      <c r="AK50" s="1409"/>
      <c r="AL50" s="1410"/>
      <c r="AM50" s="1409"/>
      <c r="AN50" s="1410"/>
      <c r="AO50" s="1409"/>
      <c r="AP50" s="1410"/>
      <c r="AQ50" s="1409"/>
      <c r="AR50" s="1410"/>
      <c r="AS50" s="1409"/>
      <c r="AT50" s="1410"/>
      <c r="AU50" s="1409"/>
      <c r="AV50" s="1410"/>
      <c r="AW50" s="1409"/>
      <c r="AX50" s="1410"/>
      <c r="AY50" s="1409"/>
      <c r="AZ50" s="1410"/>
      <c r="BA50" s="1409"/>
      <c r="BB50" s="1410"/>
      <c r="BC50" s="1409"/>
      <c r="BD50" s="1410"/>
      <c r="BE50" s="1409"/>
      <c r="BF50" s="1410"/>
      <c r="BG50" s="1409"/>
      <c r="BH50" s="1410"/>
      <c r="BI50" s="1409"/>
      <c r="BJ50" s="1410"/>
      <c r="BK50" s="1409"/>
      <c r="BL50" s="1410"/>
      <c r="BM50" s="1409"/>
      <c r="BN50" s="1410"/>
      <c r="BO50" s="1409"/>
      <c r="BP50" s="1410"/>
      <c r="BQ50" s="1409"/>
      <c r="BR50" s="1410"/>
      <c r="BS50" s="1409"/>
      <c r="BT50" s="1410"/>
      <c r="BU50" s="1409"/>
      <c r="BV50" s="1410"/>
      <c r="BW50" s="1409"/>
      <c r="BX50" s="1410"/>
      <c r="BY50" s="1409"/>
      <c r="BZ50" s="1410"/>
      <c r="CA50" s="1409"/>
      <c r="CB50" s="1410"/>
      <c r="CC50" s="1409"/>
      <c r="CD50" s="1410"/>
      <c r="CE50" s="1409"/>
      <c r="CF50" s="1410"/>
      <c r="CG50" s="1409"/>
      <c r="CH50" s="1410"/>
      <c r="CI50" s="1409"/>
      <c r="CJ50" s="1410"/>
      <c r="CK50" s="1409"/>
      <c r="CL50" s="1410"/>
      <c r="CM50" s="1409"/>
      <c r="CN50" s="1410"/>
      <c r="CO50" s="1409"/>
      <c r="CP50" s="1410"/>
      <c r="CQ50" s="1409"/>
      <c r="CR50" s="1410"/>
      <c r="CS50" s="1409"/>
      <c r="CT50" s="1410"/>
      <c r="CU50" s="1409"/>
      <c r="CV50" s="1410"/>
      <c r="CW50" s="1409"/>
      <c r="CX50" s="1410"/>
      <c r="CY50" s="1409"/>
      <c r="CZ50" s="1410"/>
      <c r="DA50" s="1409"/>
      <c r="DB50" s="1410"/>
      <c r="DC50" s="1409"/>
      <c r="DD50" s="1410"/>
      <c r="DE50" s="1409"/>
      <c r="DF50" s="1410"/>
      <c r="DG50" s="1409"/>
      <c r="DH50" s="1410"/>
      <c r="DI50" s="1409"/>
      <c r="DJ50" s="1410"/>
      <c r="DK50" s="1409"/>
      <c r="DL50" s="1410"/>
      <c r="DM50" s="1409"/>
      <c r="DN50" s="1410"/>
      <c r="DO50" s="1409"/>
      <c r="DP50" s="1410"/>
      <c r="DQ50" s="1409"/>
      <c r="DR50" s="1410"/>
      <c r="DS50" s="1409"/>
      <c r="DT50" s="1410"/>
      <c r="DU50" s="1409"/>
      <c r="DV50" s="1410"/>
      <c r="DW50" s="1409"/>
      <c r="DX50" s="1410"/>
      <c r="DY50" s="1409"/>
      <c r="DZ50" s="1410"/>
      <c r="EA50" s="1409"/>
      <c r="EB50" s="1410"/>
      <c r="EC50" s="1409"/>
      <c r="ED50" s="1410"/>
      <c r="EE50" s="1409"/>
      <c r="EF50" s="1410"/>
      <c r="EG50" s="1409"/>
      <c r="EH50" s="1410"/>
      <c r="EI50" s="1409"/>
      <c r="EJ50" s="1410"/>
      <c r="EK50" s="1409"/>
      <c r="EL50" s="1410"/>
      <c r="EM50" s="1409"/>
      <c r="EN50" s="1410"/>
      <c r="EO50" s="1409"/>
      <c r="EP50" s="1410"/>
      <c r="EQ50" s="1409"/>
      <c r="ER50" s="1410"/>
      <c r="ES50" s="1409"/>
      <c r="ET50" s="1410"/>
      <c r="EU50" s="1409"/>
      <c r="EV50" s="1410"/>
      <c r="EW50" s="1409"/>
      <c r="EX50" s="1410"/>
      <c r="EY50" s="1409"/>
      <c r="EZ50" s="1410"/>
      <c r="FA50" s="1409"/>
      <c r="FB50" s="1410"/>
      <c r="FC50" s="1409"/>
      <c r="FD50" s="1410"/>
      <c r="FE50" s="1409"/>
      <c r="FF50" s="1410"/>
      <c r="FG50" s="1409"/>
      <c r="FH50" s="1410"/>
      <c r="FI50" s="1409"/>
      <c r="FJ50" s="1410"/>
      <c r="FK50" s="1409"/>
      <c r="FL50" s="1410"/>
      <c r="FM50" s="1409"/>
      <c r="FN50" s="1410"/>
      <c r="FO50" s="1409"/>
      <c r="FP50" s="1410"/>
      <c r="FQ50" s="1409"/>
      <c r="FR50" s="1410"/>
      <c r="FS50" s="1409"/>
      <c r="FT50" s="1410"/>
      <c r="FU50" s="1409"/>
      <c r="FV50" s="1410"/>
      <c r="FW50" s="1409"/>
      <c r="FX50" s="1410"/>
      <c r="FY50" s="1409"/>
      <c r="FZ50" s="1410"/>
      <c r="GA50" s="1409"/>
      <c r="GB50" s="1410"/>
      <c r="GC50" s="1409"/>
      <c r="GD50" s="1410"/>
      <c r="GE50" s="1409"/>
      <c r="GF50" s="1410"/>
      <c r="GG50" s="1409"/>
      <c r="GH50" s="1410"/>
      <c r="GI50" s="1409"/>
      <c r="GJ50" s="1410"/>
      <c r="GK50" s="1409"/>
      <c r="GL50" s="1410"/>
      <c r="GM50" s="1409"/>
      <c r="GN50" s="1410"/>
      <c r="GO50" s="1409"/>
      <c r="GP50" s="1410"/>
      <c r="GQ50" s="1409"/>
      <c r="GR50" s="1410"/>
      <c r="GS50" s="1409"/>
      <c r="GT50" s="1410"/>
      <c r="GU50" s="1409"/>
      <c r="GV50" s="1410"/>
      <c r="GW50" s="1409"/>
      <c r="GX50" s="1410"/>
      <c r="GY50" s="1409"/>
      <c r="GZ50" s="1410"/>
      <c r="HA50" s="1409"/>
      <c r="HB50" s="1410"/>
      <c r="HC50" s="1409"/>
      <c r="HD50" s="1410"/>
      <c r="HE50" s="1409"/>
      <c r="HF50" s="1410"/>
      <c r="HG50" s="1409"/>
      <c r="HH50" s="1410"/>
      <c r="HI50" s="1409"/>
      <c r="HJ50" s="1410"/>
      <c r="HK50" s="1409"/>
      <c r="HL50" s="1410"/>
      <c r="HM50" s="1409"/>
      <c r="HN50" s="1410"/>
      <c r="HO50" s="1409"/>
      <c r="HP50" s="1410"/>
      <c r="HQ50" s="1409"/>
      <c r="HR50" s="1410"/>
      <c r="HS50" s="1409"/>
      <c r="HT50" s="1410"/>
      <c r="HU50" s="1409"/>
      <c r="HV50" s="1410"/>
      <c r="HW50" s="1409"/>
      <c r="HX50" s="1410"/>
      <c r="HY50" s="1409"/>
      <c r="HZ50" s="1410"/>
      <c r="IA50" s="1409"/>
      <c r="IB50" s="1410"/>
      <c r="IC50" s="1409"/>
      <c r="ID50" s="1410"/>
      <c r="IE50" s="1409"/>
      <c r="IF50" s="1410"/>
      <c r="IG50" s="1409"/>
      <c r="IH50" s="1410"/>
      <c r="II50" s="1409"/>
      <c r="IJ50" s="1410"/>
      <c r="IK50" s="1409"/>
      <c r="IL50" s="1410"/>
      <c r="IM50" s="1409"/>
      <c r="IN50" s="1410"/>
      <c r="IO50" s="1409"/>
      <c r="IP50" s="1410"/>
      <c r="IQ50" s="1409"/>
      <c r="IR50" s="1410"/>
      <c r="IS50" s="1409"/>
      <c r="IT50" s="1410"/>
      <c r="IU50" s="1409"/>
      <c r="IV50" s="1410"/>
    </row>
    <row r="51" spans="1:256" ht="15" hidden="1">
      <c r="C51" s="1384"/>
      <c r="D51" s="1350"/>
      <c r="E51" s="1379"/>
      <c r="F51" s="1379"/>
      <c r="R51" s="1399"/>
      <c r="S51" s="1399"/>
      <c r="T51" s="1399"/>
      <c r="U51" s="1399"/>
      <c r="V51" s="1399"/>
      <c r="W51" s="1399"/>
      <c r="X51" s="1399"/>
      <c r="Y51" s="1399"/>
      <c r="Z51" s="1399"/>
    </row>
    <row r="52" spans="1:256" ht="16.5" hidden="1" thickBot="1">
      <c r="C52" s="1413" t="s">
        <v>1392</v>
      </c>
      <c r="D52" s="1414"/>
      <c r="E52" s="1415">
        <f>E40+E50+E23</f>
        <v>0</v>
      </c>
      <c r="F52" s="1415">
        <f>F40+F50+F23</f>
        <v>0</v>
      </c>
      <c r="R52" s="1399"/>
      <c r="S52" s="1399"/>
      <c r="T52" s="1399"/>
      <c r="U52" s="1399"/>
      <c r="V52" s="1399"/>
      <c r="W52" s="1399"/>
      <c r="X52" s="1399"/>
      <c r="Y52" s="1399"/>
      <c r="Z52" s="1399"/>
    </row>
    <row r="53" spans="1:256" ht="15" hidden="1"/>
    <row r="54" spans="1:256" ht="15.75" hidden="1" thickBot="1">
      <c r="R54" s="1399"/>
      <c r="S54" s="1399"/>
      <c r="T54" s="1399"/>
      <c r="U54" s="1399"/>
      <c r="V54" s="1399"/>
      <c r="W54" s="1399"/>
      <c r="X54" s="1399"/>
      <c r="Y54" s="1399"/>
      <c r="Z54" s="1399"/>
    </row>
    <row r="55" spans="1:256" ht="43.5" customHeight="1">
      <c r="C55" s="2511" t="s">
        <v>20</v>
      </c>
      <c r="D55" s="2512"/>
      <c r="E55" s="1337" t="s">
        <v>1114</v>
      </c>
      <c r="F55" s="1338" t="s">
        <v>1119</v>
      </c>
      <c r="R55" s="1399"/>
      <c r="S55" s="1399"/>
      <c r="T55" s="1399"/>
      <c r="U55" s="1399"/>
      <c r="V55" s="1399"/>
      <c r="W55" s="1399"/>
      <c r="X55" s="1399"/>
      <c r="Y55" s="1399"/>
      <c r="Z55" s="1399"/>
    </row>
    <row r="56" spans="1:256" ht="20.100000000000001" customHeight="1">
      <c r="C56" s="2513" t="s">
        <v>783</v>
      </c>
      <c r="D56" s="2514"/>
      <c r="E56" s="1345"/>
      <c r="F56" s="1346"/>
      <c r="R56" s="1399"/>
      <c r="S56" s="1399"/>
      <c r="T56" s="1399"/>
      <c r="U56" s="1399"/>
      <c r="V56" s="1399"/>
      <c r="W56" s="1399"/>
      <c r="X56" s="1399"/>
      <c r="Y56" s="1399"/>
      <c r="Z56" s="1399"/>
    </row>
    <row r="57" spans="1:256" ht="30" customHeight="1">
      <c r="C57" s="2503" t="s">
        <v>750</v>
      </c>
      <c r="D57" s="2504"/>
      <c r="E57" s="2012" t="s">
        <v>904</v>
      </c>
      <c r="F57" s="2014" t="str">
        <f>E57</f>
        <v>Stainless Steel - 300 series</v>
      </c>
      <c r="R57" s="1399"/>
      <c r="S57" s="1399"/>
      <c r="T57" s="1399"/>
      <c r="U57" s="1399"/>
      <c r="V57" s="1399"/>
      <c r="W57" s="1399"/>
      <c r="X57" s="1399"/>
      <c r="Y57" s="1399"/>
      <c r="Z57" s="1399"/>
    </row>
    <row r="58" spans="1:256" ht="20.100000000000001" customHeight="1">
      <c r="C58" s="2503"/>
      <c r="D58" s="2504"/>
      <c r="E58" s="2033"/>
      <c r="F58" s="2034"/>
      <c r="K58" s="2055" t="s">
        <v>512</v>
      </c>
      <c r="R58" s="1399"/>
      <c r="S58" s="1399"/>
      <c r="T58" s="1399"/>
      <c r="U58" s="1399"/>
      <c r="V58" s="1399"/>
      <c r="W58" s="1399"/>
      <c r="X58" s="1399"/>
      <c r="Y58" s="1399"/>
      <c r="Z58" s="1399"/>
    </row>
    <row r="59" spans="1:256" ht="20.100000000000001" customHeight="1">
      <c r="C59" s="1170" t="s">
        <v>513</v>
      </c>
      <c r="D59" s="1351" t="s">
        <v>1346</v>
      </c>
      <c r="E59" s="1352">
        <f>IF(E$57="Other",K63,VLOOKUP($E$57,$O$5:$AA$100,5,))</f>
        <v>0.13995700979221398</v>
      </c>
      <c r="F59" s="1353">
        <f>E59</f>
        <v>0.13995700979221398</v>
      </c>
      <c r="K59" s="2083">
        <v>0</v>
      </c>
      <c r="R59" s="1399"/>
      <c r="S59" s="1399"/>
      <c r="T59" s="1399"/>
      <c r="U59" s="1399"/>
      <c r="V59" s="1399"/>
      <c r="W59" s="1399"/>
      <c r="X59" s="1399"/>
      <c r="Y59" s="1399"/>
      <c r="Z59" s="1399"/>
    </row>
    <row r="60" spans="1:256" ht="20.100000000000001" customHeight="1">
      <c r="C60" s="1170" t="s">
        <v>514</v>
      </c>
      <c r="D60" s="1351" t="s">
        <v>1347</v>
      </c>
      <c r="E60" s="1354">
        <f>IF(E$57="Other",K64,VLOOKUP($E$57,$O$5:$AA$100,6,))</f>
        <v>0</v>
      </c>
      <c r="F60" s="1355">
        <f t="shared" ref="F60:F62" si="11">E60</f>
        <v>0</v>
      </c>
      <c r="K60" s="2083">
        <v>0</v>
      </c>
      <c r="R60" s="1399"/>
      <c r="S60" s="1399"/>
      <c r="T60" s="1399"/>
      <c r="U60" s="1399"/>
      <c r="V60" s="1399"/>
      <c r="W60" s="1399"/>
      <c r="X60" s="1399"/>
      <c r="Y60" s="1399"/>
      <c r="Z60" s="1399"/>
    </row>
    <row r="61" spans="1:256" ht="20.100000000000001" customHeight="1">
      <c r="C61" s="1170" t="s">
        <v>515</v>
      </c>
      <c r="D61" s="1351" t="s">
        <v>1346</v>
      </c>
      <c r="E61" s="1352">
        <f>IF(E$57="Other",K65,VLOOKUP($E$57,$O$5:$AA$100,7,))</f>
        <v>0</v>
      </c>
      <c r="F61" s="1353">
        <f t="shared" si="11"/>
        <v>0</v>
      </c>
      <c r="K61" s="2083">
        <v>0</v>
      </c>
      <c r="R61" s="1399"/>
      <c r="S61" s="1399"/>
      <c r="T61" s="1399"/>
      <c r="U61" s="1399"/>
      <c r="V61" s="1399"/>
      <c r="W61" s="1399"/>
      <c r="X61" s="1399"/>
      <c r="Y61" s="1399"/>
      <c r="Z61" s="1399"/>
    </row>
    <row r="62" spans="1:256" ht="20.100000000000001" customHeight="1">
      <c r="C62" s="1170" t="s">
        <v>516</v>
      </c>
      <c r="D62" s="1351" t="s">
        <v>1175</v>
      </c>
      <c r="E62" s="2156">
        <f>IF(E$57="Other",K66,VLOOKUP($E$57,$O$5:$AA$100,8,))</f>
        <v>2550.0020000000004</v>
      </c>
      <c r="F62" s="2157">
        <f t="shared" si="11"/>
        <v>2550.0020000000004</v>
      </c>
      <c r="K62" s="2083">
        <v>0</v>
      </c>
      <c r="R62" s="1399"/>
      <c r="S62" s="1399"/>
      <c r="T62" s="1399"/>
      <c r="U62" s="1399"/>
      <c r="V62" s="1399"/>
      <c r="W62" s="1399"/>
      <c r="X62" s="1399"/>
      <c r="Y62" s="1399"/>
      <c r="Z62" s="1399"/>
    </row>
    <row r="63" spans="1:256" ht="20.100000000000001" customHeight="1">
      <c r="C63" s="1358"/>
      <c r="D63" s="1359"/>
      <c r="E63" s="1360"/>
      <c r="F63" s="1361"/>
      <c r="K63" s="2055">
        <f>VALUE(K59)</f>
        <v>0</v>
      </c>
      <c r="R63" s="1399"/>
      <c r="S63" s="1399"/>
      <c r="T63" s="1399"/>
      <c r="U63" s="1399"/>
      <c r="V63" s="1399"/>
      <c r="W63" s="1399"/>
      <c r="X63" s="1399"/>
      <c r="Y63" s="1399"/>
      <c r="Z63" s="1399"/>
    </row>
    <row r="64" spans="1:256" ht="20.100000000000001" customHeight="1">
      <c r="C64" s="1170" t="s">
        <v>518</v>
      </c>
      <c r="D64" s="1351" t="s">
        <v>1341</v>
      </c>
      <c r="E64" s="930"/>
      <c r="F64" s="928"/>
      <c r="I64" s="1330">
        <f>E64*L75</f>
        <v>0</v>
      </c>
      <c r="J64" s="1330">
        <f>F64*L75</f>
        <v>0</v>
      </c>
      <c r="K64" s="2055">
        <f t="shared" ref="K64:K66" si="12">VALUE(K60)</f>
        <v>0</v>
      </c>
      <c r="R64" s="1399"/>
      <c r="S64" s="1399"/>
      <c r="T64" s="1399"/>
      <c r="U64" s="1399"/>
      <c r="V64" s="1399"/>
      <c r="W64" s="1399"/>
      <c r="X64" s="1399"/>
      <c r="Y64" s="1399"/>
      <c r="Z64" s="1399"/>
    </row>
    <row r="65" spans="3:26" ht="20.100000000000001" customHeight="1">
      <c r="C65" s="1170" t="s">
        <v>784</v>
      </c>
      <c r="D65" s="1351" t="s">
        <v>1116</v>
      </c>
      <c r="E65" s="2095"/>
      <c r="F65" s="2096"/>
      <c r="K65" s="2055">
        <f t="shared" si="12"/>
        <v>0</v>
      </c>
      <c r="R65" s="1399"/>
      <c r="S65" s="1399"/>
      <c r="T65" s="1399"/>
      <c r="U65" s="1399"/>
      <c r="V65" s="1399"/>
      <c r="W65" s="1399"/>
      <c r="X65" s="1399"/>
      <c r="Y65" s="1399"/>
      <c r="Z65" s="1399"/>
    </row>
    <row r="66" spans="3:26" ht="20.100000000000001" customHeight="1">
      <c r="C66" s="1170" t="s">
        <v>785</v>
      </c>
      <c r="D66" s="1351" t="s">
        <v>1116</v>
      </c>
      <c r="E66" s="2095"/>
      <c r="F66" s="2096"/>
      <c r="K66" s="2055">
        <f t="shared" si="12"/>
        <v>0</v>
      </c>
      <c r="R66" s="1399"/>
      <c r="S66" s="1399"/>
      <c r="T66" s="1399"/>
      <c r="U66" s="1399"/>
      <c r="V66" s="1399"/>
      <c r="W66" s="1399"/>
      <c r="X66" s="1399"/>
      <c r="Y66" s="1399"/>
      <c r="Z66" s="1399"/>
    </row>
    <row r="67" spans="3:26" ht="20.100000000000001" customHeight="1">
      <c r="C67" s="1170" t="s">
        <v>503</v>
      </c>
      <c r="D67" s="1351" t="s">
        <v>1175</v>
      </c>
      <c r="E67" s="930"/>
      <c r="F67" s="928"/>
      <c r="R67" s="1399"/>
      <c r="S67" s="1399"/>
      <c r="T67" s="1399"/>
      <c r="U67" s="1399"/>
      <c r="V67" s="1399"/>
      <c r="W67" s="1399"/>
      <c r="X67" s="1399"/>
      <c r="Y67" s="1399"/>
      <c r="Z67" s="1399"/>
    </row>
    <row r="68" spans="3:26" ht="20.100000000000001" customHeight="1">
      <c r="C68" s="1170" t="s">
        <v>519</v>
      </c>
      <c r="D68" s="1351" t="s">
        <v>1175</v>
      </c>
      <c r="E68" s="930"/>
      <c r="F68" s="928"/>
      <c r="R68" s="1399"/>
      <c r="S68" s="1399"/>
      <c r="T68" s="1399"/>
      <c r="U68" s="1399"/>
      <c r="V68" s="1399"/>
      <c r="W68" s="1399"/>
      <c r="X68" s="1399"/>
      <c r="Y68" s="1399"/>
      <c r="Z68" s="1399"/>
    </row>
    <row r="69" spans="3:26" ht="20.100000000000001" customHeight="1">
      <c r="C69" s="1170" t="s">
        <v>520</v>
      </c>
      <c r="D69" s="1351" t="s">
        <v>1175</v>
      </c>
      <c r="E69" s="930"/>
      <c r="F69" s="928"/>
      <c r="R69" s="1399"/>
      <c r="S69" s="1399"/>
      <c r="T69" s="1399"/>
      <c r="U69" s="1399"/>
      <c r="V69" s="1399"/>
      <c r="W69" s="1399"/>
      <c r="X69" s="1399"/>
      <c r="Y69" s="1399"/>
      <c r="Z69" s="1399"/>
    </row>
    <row r="70" spans="3:26" ht="20.100000000000001" customHeight="1">
      <c r="C70" s="1170" t="s">
        <v>751</v>
      </c>
      <c r="D70" s="1351" t="s">
        <v>1116</v>
      </c>
      <c r="E70" s="931"/>
      <c r="F70" s="927"/>
      <c r="G70" s="2515" t="str">
        <f>IF(OR(AND(E68&lt;E62, E70&gt;0),AND(F68&lt;F62, F70&gt;0)), $I$25,IF(OR(AND(E68&gt;E62,E70&lt;=0),AND(F68&gt;F62,F70&lt;=0)), $I$19,""))</f>
        <v/>
      </c>
      <c r="H70" s="2516"/>
      <c r="R70" s="1399"/>
      <c r="S70" s="1399"/>
      <c r="T70" s="1399"/>
      <c r="U70" s="1399"/>
      <c r="V70" s="1399"/>
      <c r="W70" s="1399"/>
      <c r="X70" s="1399"/>
      <c r="Y70" s="1399"/>
      <c r="Z70" s="1399"/>
    </row>
    <row r="71" spans="3:26" ht="20.100000000000001" customHeight="1">
      <c r="C71" s="1170" t="s">
        <v>752</v>
      </c>
      <c r="D71" s="1351" t="s">
        <v>1116</v>
      </c>
      <c r="E71" s="931"/>
      <c r="F71" s="927"/>
      <c r="G71" s="2515"/>
      <c r="H71" s="2516"/>
      <c r="R71" s="1399"/>
      <c r="S71" s="1399"/>
      <c r="T71" s="1399"/>
      <c r="U71" s="1399"/>
      <c r="V71" s="1399"/>
      <c r="W71" s="1399"/>
      <c r="X71" s="1399"/>
      <c r="Y71" s="1399"/>
      <c r="Z71" s="1399"/>
    </row>
    <row r="72" spans="3:26" ht="20.100000000000001" customHeight="1">
      <c r="C72" s="1170" t="s">
        <v>505</v>
      </c>
      <c r="D72" s="1351" t="s">
        <v>1347</v>
      </c>
      <c r="E72" s="930"/>
      <c r="F72" s="928"/>
      <c r="G72" s="2515"/>
      <c r="H72" s="2516"/>
      <c r="R72" s="1399"/>
      <c r="S72" s="1399"/>
      <c r="T72" s="1399"/>
      <c r="U72" s="1399"/>
      <c r="V72" s="1399"/>
      <c r="W72" s="1399"/>
      <c r="X72" s="1399"/>
      <c r="Y72" s="1399"/>
      <c r="Z72" s="1399"/>
    </row>
    <row r="73" spans="3:26" ht="20.100000000000001" customHeight="1">
      <c r="C73" s="1170" t="s">
        <v>788</v>
      </c>
      <c r="D73" s="1359"/>
      <c r="E73" s="933" t="s">
        <v>798</v>
      </c>
      <c r="F73" s="926" t="s">
        <v>798</v>
      </c>
      <c r="G73" s="2515"/>
      <c r="H73" s="2516"/>
      <c r="R73" s="1399"/>
      <c r="S73" s="1399"/>
      <c r="T73" s="1399"/>
      <c r="U73" s="1399"/>
      <c r="V73" s="1399"/>
      <c r="W73" s="1399"/>
      <c r="X73" s="1399"/>
      <c r="Y73" s="1399"/>
      <c r="Z73" s="1399"/>
    </row>
    <row r="74" spans="3:26" ht="20.100000000000001" customHeight="1" thickBot="1">
      <c r="C74" s="1366" t="s">
        <v>511</v>
      </c>
      <c r="D74" s="1367" t="s">
        <v>1173</v>
      </c>
      <c r="E74" s="965"/>
      <c r="F74" s="966"/>
      <c r="R74" s="1399"/>
      <c r="S74" s="1399"/>
      <c r="T74" s="1399"/>
      <c r="U74" s="1399"/>
      <c r="V74" s="1399"/>
      <c r="W74" s="1399"/>
      <c r="X74" s="1399"/>
      <c r="Y74" s="1399"/>
      <c r="Z74" s="1399"/>
    </row>
    <row r="75" spans="3:26" ht="20.100000000000001" customHeight="1" thickBot="1">
      <c r="C75" s="973" t="s">
        <v>754</v>
      </c>
      <c r="D75" s="1368" t="s">
        <v>1173</v>
      </c>
      <c r="E75" s="1416">
        <f>E103</f>
        <v>0</v>
      </c>
      <c r="F75" s="1417">
        <f>F103</f>
        <v>0</v>
      </c>
      <c r="L75" s="1330">
        <f>IF('Control page'!$D$11&gt;1,1,0)</f>
        <v>1</v>
      </c>
      <c r="M75" s="1365" t="s">
        <v>3</v>
      </c>
      <c r="R75" s="1399"/>
      <c r="S75" s="1399"/>
      <c r="T75" s="1399"/>
      <c r="U75" s="1399"/>
      <c r="V75" s="1399"/>
      <c r="W75" s="1399"/>
      <c r="X75" s="1399"/>
      <c r="Y75" s="1399"/>
      <c r="Z75" s="1399"/>
    </row>
    <row r="76" spans="3:26" ht="15">
      <c r="C76" s="1373"/>
      <c r="D76" s="1339"/>
      <c r="E76" s="1339"/>
      <c r="F76" s="1339"/>
    </row>
    <row r="77" spans="3:26" ht="15.75" thickBot="1">
      <c r="C77" s="1373"/>
      <c r="D77" s="1339"/>
      <c r="E77" s="1339"/>
      <c r="F77" s="1339"/>
    </row>
    <row r="78" spans="3:26" ht="15" hidden="1"/>
    <row r="79" spans="3:26" ht="15" hidden="1"/>
    <row r="80" spans="3:26" ht="15.75" hidden="1">
      <c r="C80" s="1374" t="s">
        <v>1178</v>
      </c>
      <c r="D80" s="1375"/>
      <c r="E80" s="1376"/>
      <c r="F80" s="1376"/>
    </row>
    <row r="81" spans="3:8" ht="15" hidden="1">
      <c r="C81" s="1378" t="s">
        <v>1375</v>
      </c>
      <c r="D81" s="1350"/>
      <c r="E81" s="1379">
        <f>E64*E65</f>
        <v>0</v>
      </c>
      <c r="F81" s="1379">
        <f>F64*F65</f>
        <v>0</v>
      </c>
    </row>
    <row r="82" spans="3:8" ht="15" hidden="1">
      <c r="C82" s="1378" t="s">
        <v>1376</v>
      </c>
      <c r="D82" s="1350"/>
      <c r="E82" s="1379">
        <f>E64-E81</f>
        <v>0</v>
      </c>
      <c r="F82" s="1379">
        <f>F64-F81</f>
        <v>0</v>
      </c>
    </row>
    <row r="83" spans="3:8" ht="15" hidden="1">
      <c r="C83" s="1378" t="s">
        <v>1377</v>
      </c>
      <c r="D83" s="1350"/>
      <c r="E83" s="1380">
        <f>E82*E66/(1-E66)</f>
        <v>0</v>
      </c>
      <c r="F83" s="1380">
        <f>F82*F66/(1-F66)</f>
        <v>0</v>
      </c>
    </row>
    <row r="84" spans="3:8" ht="15.75" hidden="1">
      <c r="C84" s="1381" t="s">
        <v>1378</v>
      </c>
      <c r="D84" s="1382"/>
      <c r="E84" s="1383">
        <f>E82+E83</f>
        <v>0</v>
      </c>
      <c r="F84" s="1383">
        <f>F82+F83</f>
        <v>0</v>
      </c>
    </row>
    <row r="85" spans="3:8" ht="15" hidden="1">
      <c r="C85" s="1384"/>
      <c r="D85" s="1350"/>
      <c r="E85" s="1350"/>
      <c r="F85" s="1350"/>
    </row>
    <row r="86" spans="3:8" ht="16.5" hidden="1" thickBot="1">
      <c r="C86" s="1385" t="s">
        <v>789</v>
      </c>
      <c r="D86" s="1138"/>
      <c r="E86" s="1350"/>
      <c r="F86" s="1350"/>
    </row>
    <row r="87" spans="3:8" ht="15" hidden="1">
      <c r="C87" s="1378" t="s">
        <v>1382</v>
      </c>
      <c r="D87" s="1350"/>
      <c r="E87" s="1379">
        <f>$G$37*E81*(212-E67)</f>
        <v>0</v>
      </c>
      <c r="F87" s="1379">
        <f>$G$37*F81*(212-F67)</f>
        <v>0</v>
      </c>
      <c r="G87" s="2501" t="s">
        <v>790</v>
      </c>
      <c r="H87" s="2502"/>
    </row>
    <row r="88" spans="3:8" ht="15" hidden="1">
      <c r="C88" s="1378" t="s">
        <v>1383</v>
      </c>
      <c r="D88" s="1350"/>
      <c r="E88" s="1379">
        <f>IF(E69&gt;212,$G$38*(E81-E83),0)</f>
        <v>0</v>
      </c>
      <c r="F88" s="1379">
        <f>IF(F69&gt;212,$G$38*(F81-F83),0)</f>
        <v>0</v>
      </c>
      <c r="G88" s="1386">
        <v>1</v>
      </c>
      <c r="H88" s="1418" t="s">
        <v>791</v>
      </c>
    </row>
    <row r="89" spans="3:8" ht="15" hidden="1">
      <c r="C89" s="1378" t="s">
        <v>1384</v>
      </c>
      <c r="D89" s="1350"/>
      <c r="E89" s="1379">
        <f xml:space="preserve">  IF(E69&gt;212, $G$39*(E81-E83)*(E69-212),0)</f>
        <v>0</v>
      </c>
      <c r="F89" s="1379">
        <f xml:space="preserve">  IF(F69&gt;212, $G$39*(F81-F83)*(F69-212),0)</f>
        <v>0</v>
      </c>
      <c r="G89" s="1388">
        <v>970</v>
      </c>
      <c r="H89" s="1418" t="s">
        <v>792</v>
      </c>
    </row>
    <row r="90" spans="3:8" ht="15.75" hidden="1" thickBot="1">
      <c r="C90" s="1389" t="s">
        <v>1385</v>
      </c>
      <c r="D90" s="1390"/>
      <c r="E90" s="1379">
        <f>$G$37*E83*(E69-212)</f>
        <v>0</v>
      </c>
      <c r="F90" s="1379">
        <f>$G$37*F83*(F69-212)</f>
        <v>0</v>
      </c>
      <c r="G90" s="1391">
        <v>0.48099999999999998</v>
      </c>
      <c r="H90" s="1419" t="s">
        <v>793</v>
      </c>
    </row>
    <row r="91" spans="3:8" ht="15.75" hidden="1">
      <c r="C91" s="1394" t="s">
        <v>1089</v>
      </c>
      <c r="D91" s="1382"/>
      <c r="E91" s="1395">
        <f>SUM(E87:E90)</f>
        <v>0</v>
      </c>
      <c r="F91" s="1395">
        <f>SUM(F87:F90)</f>
        <v>0</v>
      </c>
      <c r="G91" s="1330">
        <v>0.48099999999999998</v>
      </c>
    </row>
    <row r="92" spans="3:8" ht="15" hidden="1">
      <c r="C92" s="1396"/>
      <c r="D92" s="1397"/>
      <c r="E92" s="1398"/>
      <c r="F92" s="1398"/>
    </row>
    <row r="93" spans="3:8" ht="15.75" hidden="1">
      <c r="C93" s="1385" t="s">
        <v>794</v>
      </c>
      <c r="D93" s="1138"/>
      <c r="E93" s="1350"/>
      <c r="F93" s="1350"/>
    </row>
    <row r="94" spans="3:8" ht="15" hidden="1">
      <c r="C94" s="1378" t="s">
        <v>1386</v>
      </c>
      <c r="D94" s="1350"/>
      <c r="E94" s="1379">
        <f>IF(E70&lt;=0, E59*E82*(E68-E67), E59*E82*(E62-E67))</f>
        <v>0</v>
      </c>
      <c r="F94" s="1379">
        <f>IF(F70&lt;=0, F59*F82*(F68-F67), F59*F82*(F62-F67))</f>
        <v>0</v>
      </c>
    </row>
    <row r="95" spans="3:8" ht="15" hidden="1">
      <c r="C95" s="1378" t="s">
        <v>1387</v>
      </c>
      <c r="D95" s="1350"/>
      <c r="E95" s="1379">
        <f>IF(E70&gt;0, E82*E60*E70,0)</f>
        <v>0</v>
      </c>
      <c r="F95" s="1379">
        <f>IF(F70&gt;0, F82*F60*F70,0)</f>
        <v>0</v>
      </c>
    </row>
    <row r="96" spans="3:8" ht="15" hidden="1">
      <c r="C96" s="1378" t="s">
        <v>1388</v>
      </c>
      <c r="D96" s="1350"/>
      <c r="E96" s="1379">
        <f>IF(E70&gt;0, E61*E82*(E68-E62)*E70,0)</f>
        <v>0</v>
      </c>
      <c r="F96" s="1379">
        <f>IF(F70&gt;0, F61*F82*(F68-F62)*F70,0)</f>
        <v>0</v>
      </c>
    </row>
    <row r="97" spans="3:12" ht="15" hidden="1">
      <c r="C97" s="1378" t="s">
        <v>1389</v>
      </c>
      <c r="D97" s="1350"/>
      <c r="E97" s="1379">
        <f xml:space="preserve">  IF(E70&gt;0, (1-E70)*E59*E82*(E68-E62), 0)</f>
        <v>0</v>
      </c>
      <c r="F97" s="1379">
        <f xml:space="preserve">  IF(F70&gt;0, (1-F70)*F59*F82*(F68-F62), 0)</f>
        <v>0</v>
      </c>
    </row>
    <row r="98" spans="3:12" ht="15" hidden="1">
      <c r="C98" s="1378" t="s">
        <v>1390</v>
      </c>
      <c r="D98" s="1350"/>
      <c r="E98" s="1379">
        <f>IF(E73="Endothermic",1,-1)*E71*E82*E72</f>
        <v>0</v>
      </c>
      <c r="F98" s="1379">
        <f>IF(F73="Endothermic",1,-1)*F71*F82*F72</f>
        <v>0</v>
      </c>
      <c r="K98" s="2059">
        <f>(IF(E98&lt;0,-1,0))*E98*$L$75</f>
        <v>0</v>
      </c>
      <c r="L98" s="1402">
        <f>(IF(F98&lt;0,-1,0))*F98*$L$75</f>
        <v>0</v>
      </c>
    </row>
    <row r="99" spans="3:12" ht="15" hidden="1">
      <c r="C99" s="1404" t="s">
        <v>1393</v>
      </c>
      <c r="D99" s="1405"/>
      <c r="E99" s="1406">
        <v>0</v>
      </c>
      <c r="F99" s="1406">
        <v>0</v>
      </c>
    </row>
    <row r="100" spans="3:12" ht="15" hidden="1">
      <c r="C100" s="1404" t="s">
        <v>1394</v>
      </c>
      <c r="D100" s="1405"/>
      <c r="E100" s="1406">
        <v>0</v>
      </c>
      <c r="F100" s="1406">
        <v>0</v>
      </c>
    </row>
    <row r="101" spans="3:12" ht="15.75" hidden="1">
      <c r="C101" s="1381" t="s">
        <v>1391</v>
      </c>
      <c r="D101" s="1382"/>
      <c r="E101" s="1395">
        <f>SUM(E94:E97)+(IF(E73="Endothermic",E98,0))</f>
        <v>0</v>
      </c>
      <c r="F101" s="1395">
        <f>SUM(F94:F97)+(IF(F73="Endothermic",F98,0))</f>
        <v>0</v>
      </c>
    </row>
    <row r="102" spans="3:12" ht="15" hidden="1">
      <c r="C102" s="1384"/>
      <c r="D102" s="1350"/>
      <c r="E102" s="1379"/>
      <c r="F102" s="1379"/>
    </row>
    <row r="103" spans="3:12" ht="16.5" hidden="1" thickBot="1">
      <c r="C103" s="1413" t="s">
        <v>1392</v>
      </c>
      <c r="D103" s="1414"/>
      <c r="E103" s="1415">
        <f>E91+E101+E74</f>
        <v>0</v>
      </c>
      <c r="F103" s="1415">
        <f>F91+F101+F74</f>
        <v>0</v>
      </c>
    </row>
    <row r="104" spans="3:12" ht="15" hidden="1"/>
    <row r="105" spans="3:12" ht="15.75" hidden="1" thickBot="1"/>
    <row r="106" spans="3:12" ht="43.5" customHeight="1">
      <c r="C106" s="2511" t="s">
        <v>22</v>
      </c>
      <c r="D106" s="2512"/>
      <c r="E106" s="1337" t="s">
        <v>1114</v>
      </c>
      <c r="F106" s="1338" t="s">
        <v>1119</v>
      </c>
    </row>
    <row r="107" spans="3:12" ht="20.100000000000001" customHeight="1">
      <c r="C107" s="2513" t="s">
        <v>783</v>
      </c>
      <c r="D107" s="2514"/>
      <c r="E107" s="1345"/>
      <c r="F107" s="1346"/>
    </row>
    <row r="108" spans="3:12" ht="30" customHeight="1">
      <c r="C108" s="2503" t="s">
        <v>750</v>
      </c>
      <c r="D108" s="2504"/>
      <c r="E108" s="2012" t="s">
        <v>906</v>
      </c>
      <c r="F108" s="2014" t="str">
        <f>E108</f>
        <v>Stainless Steel - 410</v>
      </c>
    </row>
    <row r="109" spans="3:12" ht="20.100000000000001" customHeight="1">
      <c r="C109" s="2503"/>
      <c r="D109" s="2504"/>
      <c r="E109" s="2033"/>
      <c r="F109" s="2034"/>
      <c r="K109" s="2055" t="s">
        <v>512</v>
      </c>
    </row>
    <row r="110" spans="3:12" ht="20.100000000000001" customHeight="1">
      <c r="C110" s="1170" t="s">
        <v>513</v>
      </c>
      <c r="D110" s="1351" t="s">
        <v>1346</v>
      </c>
      <c r="E110" s="1420">
        <f>IF(E$108="Other",K114,VLOOKUP($E$108,$O$5:$AA$100,5,))</f>
        <v>0.12</v>
      </c>
      <c r="F110" s="1421">
        <f>E110</f>
        <v>0.12</v>
      </c>
      <c r="K110" s="2083">
        <v>0</v>
      </c>
    </row>
    <row r="111" spans="3:12" ht="20.100000000000001" customHeight="1">
      <c r="C111" s="1170" t="s">
        <v>514</v>
      </c>
      <c r="D111" s="1351" t="s">
        <v>1347</v>
      </c>
      <c r="E111" s="1422">
        <f>IF(E$108="Other",K115,VLOOKUP($E$108,$O$5:$AA$100,6,))</f>
        <v>48</v>
      </c>
      <c r="F111" s="1423">
        <f t="shared" ref="F111:F112" si="13">E111</f>
        <v>48</v>
      </c>
      <c r="K111" s="2083">
        <v>0</v>
      </c>
    </row>
    <row r="112" spans="3:12" ht="20.100000000000001" customHeight="1">
      <c r="C112" s="1170" t="s">
        <v>515</v>
      </c>
      <c r="D112" s="1351" t="s">
        <v>1346</v>
      </c>
      <c r="E112" s="1420">
        <f>IF(E$108="Other",K116,VLOOKUP($E$108,$O$5:$AA$100,7,))</f>
        <v>0</v>
      </c>
      <c r="F112" s="1421">
        <f t="shared" si="13"/>
        <v>0</v>
      </c>
      <c r="K112" s="2083">
        <v>0</v>
      </c>
    </row>
    <row r="113" spans="3:13" ht="20.100000000000001" customHeight="1">
      <c r="C113" s="1170" t="s">
        <v>516</v>
      </c>
      <c r="D113" s="1351" t="s">
        <v>1175</v>
      </c>
      <c r="E113" s="2156">
        <f>IF(E$108="Other",K117,VLOOKUP($E$108,$O$5:$AA$100,8,))</f>
        <v>2800.0039999999999</v>
      </c>
      <c r="F113" s="2157">
        <f>E113</f>
        <v>2800.0039999999999</v>
      </c>
      <c r="K113" s="2083">
        <v>0</v>
      </c>
    </row>
    <row r="114" spans="3:13" ht="20.100000000000001" customHeight="1">
      <c r="C114" s="1358"/>
      <c r="D114" s="1359"/>
      <c r="E114" s="1360"/>
      <c r="F114" s="1361"/>
      <c r="K114" s="2055">
        <f>VALUE(K110)</f>
        <v>0</v>
      </c>
    </row>
    <row r="115" spans="3:13" ht="20.100000000000001" customHeight="1">
      <c r="C115" s="1170" t="s">
        <v>518</v>
      </c>
      <c r="D115" s="1351" t="s">
        <v>1341</v>
      </c>
      <c r="E115" s="930"/>
      <c r="F115" s="928"/>
      <c r="I115" s="1330">
        <f>E115*L126</f>
        <v>0</v>
      </c>
      <c r="J115" s="1330">
        <f>F115*L126</f>
        <v>0</v>
      </c>
      <c r="K115" s="2055">
        <f t="shared" ref="K115:K117" si="14">VALUE(K111)</f>
        <v>0</v>
      </c>
    </row>
    <row r="116" spans="3:13" ht="20.100000000000001" customHeight="1">
      <c r="C116" s="1170" t="s">
        <v>784</v>
      </c>
      <c r="D116" s="1351" t="s">
        <v>1116</v>
      </c>
      <c r="E116" s="2095"/>
      <c r="F116" s="2096"/>
      <c r="K116" s="2055">
        <f t="shared" si="14"/>
        <v>0</v>
      </c>
    </row>
    <row r="117" spans="3:13" ht="20.100000000000001" customHeight="1">
      <c r="C117" s="1170" t="s">
        <v>785</v>
      </c>
      <c r="D117" s="1351" t="s">
        <v>1116</v>
      </c>
      <c r="E117" s="2095"/>
      <c r="F117" s="2096"/>
      <c r="K117" s="2055">
        <f t="shared" si="14"/>
        <v>0</v>
      </c>
    </row>
    <row r="118" spans="3:13" ht="20.100000000000001" customHeight="1">
      <c r="C118" s="1170" t="s">
        <v>503</v>
      </c>
      <c r="D118" s="1351" t="s">
        <v>1175</v>
      </c>
      <c r="E118" s="930"/>
      <c r="F118" s="928"/>
    </row>
    <row r="119" spans="3:13" ht="20.100000000000001" customHeight="1">
      <c r="C119" s="1170" t="s">
        <v>519</v>
      </c>
      <c r="D119" s="1351" t="s">
        <v>1175</v>
      </c>
      <c r="E119" s="930"/>
      <c r="F119" s="928"/>
    </row>
    <row r="120" spans="3:13" ht="20.100000000000001" customHeight="1">
      <c r="C120" s="1170" t="s">
        <v>520</v>
      </c>
      <c r="D120" s="1351" t="s">
        <v>1175</v>
      </c>
      <c r="E120" s="930"/>
      <c r="F120" s="928"/>
    </row>
    <row r="121" spans="3:13" ht="20.100000000000001" customHeight="1">
      <c r="C121" s="1170" t="s">
        <v>751</v>
      </c>
      <c r="D121" s="1351" t="s">
        <v>1116</v>
      </c>
      <c r="E121" s="931"/>
      <c r="F121" s="927"/>
      <c r="G121" s="2515" t="str">
        <f>IF(OR(AND(E119&lt;E113, E121&gt;0),AND(F119&lt;F113, F121&gt;0)), $I$25,IF(OR(AND(E119&gt;E113,E121&lt;=0),AND(F119&gt;F113,F121&lt;=0)), $I$19,""))</f>
        <v/>
      </c>
      <c r="H121" s="2516"/>
    </row>
    <row r="122" spans="3:13" ht="20.100000000000001" customHeight="1">
      <c r="C122" s="1170" t="s">
        <v>752</v>
      </c>
      <c r="D122" s="1351" t="s">
        <v>1116</v>
      </c>
      <c r="E122" s="931"/>
      <c r="F122" s="927"/>
      <c r="G122" s="2515"/>
      <c r="H122" s="2516"/>
    </row>
    <row r="123" spans="3:13" ht="20.100000000000001" customHeight="1">
      <c r="C123" s="1170" t="s">
        <v>505</v>
      </c>
      <c r="D123" s="1351" t="s">
        <v>1347</v>
      </c>
      <c r="E123" s="930"/>
      <c r="F123" s="928"/>
      <c r="G123" s="2515"/>
      <c r="H123" s="2516"/>
    </row>
    <row r="124" spans="3:13" ht="20.100000000000001" customHeight="1">
      <c r="C124" s="1170" t="s">
        <v>788</v>
      </c>
      <c r="D124" s="1359"/>
      <c r="E124" s="933" t="s">
        <v>798</v>
      </c>
      <c r="F124" s="926" t="s">
        <v>798</v>
      </c>
      <c r="G124" s="2515"/>
      <c r="H124" s="2516"/>
    </row>
    <row r="125" spans="3:13" ht="20.100000000000001" customHeight="1" thickBot="1">
      <c r="C125" s="1366" t="s">
        <v>511</v>
      </c>
      <c r="D125" s="1367" t="s">
        <v>1173</v>
      </c>
      <c r="E125" s="965"/>
      <c r="F125" s="966"/>
    </row>
    <row r="126" spans="3:13" ht="20.100000000000001" customHeight="1" thickBot="1">
      <c r="C126" s="973" t="s">
        <v>755</v>
      </c>
      <c r="D126" s="1368" t="s">
        <v>1173</v>
      </c>
      <c r="E126" s="1416">
        <f>E154</f>
        <v>0</v>
      </c>
      <c r="F126" s="1417">
        <f>F154</f>
        <v>0</v>
      </c>
      <c r="L126" s="1330">
        <f>IF('Control page'!$D$11&gt;2,1,0)</f>
        <v>1</v>
      </c>
      <c r="M126" s="1365" t="s">
        <v>3</v>
      </c>
    </row>
    <row r="127" spans="3:13" ht="20.100000000000001" customHeight="1">
      <c r="C127" s="1373"/>
      <c r="D127" s="1339"/>
      <c r="E127" s="1339"/>
      <c r="F127" s="1339"/>
    </row>
    <row r="128" spans="3:13" ht="20.100000000000001" customHeight="1">
      <c r="C128" s="1373"/>
      <c r="D128" s="1339"/>
      <c r="E128" s="1339"/>
      <c r="F128" s="1339"/>
    </row>
    <row r="129" spans="3:6" ht="20.100000000000001" hidden="1" customHeight="1"/>
    <row r="130" spans="3:6" ht="20.100000000000001" hidden="1" customHeight="1"/>
    <row r="131" spans="3:6" ht="20.100000000000001" hidden="1" customHeight="1">
      <c r="C131" s="1374" t="s">
        <v>1178</v>
      </c>
      <c r="D131" s="1375"/>
      <c r="E131" s="1376"/>
      <c r="F131" s="1376"/>
    </row>
    <row r="132" spans="3:6" ht="20.100000000000001" hidden="1" customHeight="1">
      <c r="C132" s="1378" t="s">
        <v>1375</v>
      </c>
      <c r="D132" s="1350"/>
      <c r="E132" s="1379">
        <f>E115*E116</f>
        <v>0</v>
      </c>
      <c r="F132" s="1379">
        <f>F115*F116</f>
        <v>0</v>
      </c>
    </row>
    <row r="133" spans="3:6" ht="20.100000000000001" hidden="1" customHeight="1">
      <c r="C133" s="1378" t="s">
        <v>1376</v>
      </c>
      <c r="D133" s="1350"/>
      <c r="E133" s="1379">
        <f>E115-E132</f>
        <v>0</v>
      </c>
      <c r="F133" s="1379">
        <f>F115-F132</f>
        <v>0</v>
      </c>
    </row>
    <row r="134" spans="3:6" ht="20.100000000000001" hidden="1" customHeight="1">
      <c r="C134" s="1378" t="s">
        <v>1377</v>
      </c>
      <c r="D134" s="1350"/>
      <c r="E134" s="1380">
        <f>E133*E117/(1-E117)</f>
        <v>0</v>
      </c>
      <c r="F134" s="1380">
        <f>F133*F117/(1-F117)</f>
        <v>0</v>
      </c>
    </row>
    <row r="135" spans="3:6" ht="20.100000000000001" hidden="1" customHeight="1">
      <c r="C135" s="1381" t="s">
        <v>1378</v>
      </c>
      <c r="D135" s="1382"/>
      <c r="E135" s="1383">
        <f>E133+E134</f>
        <v>0</v>
      </c>
      <c r="F135" s="1383">
        <f>F133+F134</f>
        <v>0</v>
      </c>
    </row>
    <row r="136" spans="3:6" ht="20.100000000000001" hidden="1" customHeight="1">
      <c r="C136" s="1384"/>
      <c r="D136" s="1350"/>
      <c r="E136" s="1350"/>
      <c r="F136" s="1350"/>
    </row>
    <row r="137" spans="3:6" ht="20.100000000000001" hidden="1" customHeight="1">
      <c r="C137" s="1385" t="s">
        <v>789</v>
      </c>
      <c r="D137" s="1138"/>
      <c r="E137" s="1350"/>
      <c r="F137" s="1350"/>
    </row>
    <row r="138" spans="3:6" ht="20.100000000000001" hidden="1" customHeight="1">
      <c r="C138" s="1378" t="s">
        <v>1382</v>
      </c>
      <c r="D138" s="1350"/>
      <c r="E138" s="1379">
        <f>$G$37*E132*(212-E118)</f>
        <v>0</v>
      </c>
      <c r="F138" s="1379">
        <f>$G$37*F132*(212-F118)</f>
        <v>0</v>
      </c>
    </row>
    <row r="139" spans="3:6" ht="20.100000000000001" hidden="1" customHeight="1">
      <c r="C139" s="1378" t="s">
        <v>1383</v>
      </c>
      <c r="D139" s="1350"/>
      <c r="E139" s="1379">
        <f>IF(E120&gt;212,$G$38*(E132-E134),0)</f>
        <v>0</v>
      </c>
      <c r="F139" s="1379">
        <f>IF(F120&gt;212,$G$38*(F132-F134),0)</f>
        <v>0</v>
      </c>
    </row>
    <row r="140" spans="3:6" ht="20.100000000000001" hidden="1" customHeight="1">
      <c r="C140" s="1378" t="s">
        <v>1384</v>
      </c>
      <c r="D140" s="1350"/>
      <c r="E140" s="1379">
        <f xml:space="preserve">  IF(E120&gt;212, $G$39*(E132-E134)*(E120-212),0)</f>
        <v>0</v>
      </c>
      <c r="F140" s="1379">
        <f xml:space="preserve">  IF(F120&gt;212, $G$39*(F132-F134)*(F120-212),0)</f>
        <v>0</v>
      </c>
    </row>
    <row r="141" spans="3:6" ht="20.100000000000001" hidden="1" customHeight="1">
      <c r="C141" s="1389" t="s">
        <v>1385</v>
      </c>
      <c r="D141" s="1390"/>
      <c r="E141" s="1379">
        <f>$G$37*E134*(E120-212)</f>
        <v>0</v>
      </c>
      <c r="F141" s="1379">
        <f>$G$37*F134*(F120-212)</f>
        <v>0</v>
      </c>
    </row>
    <row r="142" spans="3:6" ht="20.100000000000001" hidden="1" customHeight="1">
      <c r="C142" s="1394" t="s">
        <v>1089</v>
      </c>
      <c r="D142" s="1382"/>
      <c r="E142" s="1395">
        <f>SUM(E138:E141)</f>
        <v>0</v>
      </c>
      <c r="F142" s="1395">
        <f>SUM(F138:F141)</f>
        <v>0</v>
      </c>
    </row>
    <row r="143" spans="3:6" ht="20.100000000000001" hidden="1" customHeight="1">
      <c r="C143" s="1396"/>
      <c r="D143" s="1397"/>
      <c r="E143" s="1398"/>
      <c r="F143" s="1398"/>
    </row>
    <row r="144" spans="3:6" ht="20.100000000000001" hidden="1" customHeight="1">
      <c r="C144" s="1385" t="s">
        <v>794</v>
      </c>
      <c r="D144" s="1138"/>
      <c r="E144" s="1350"/>
      <c r="F144" s="1350"/>
    </row>
    <row r="145" spans="3:15" ht="20.100000000000001" hidden="1" customHeight="1">
      <c r="C145" s="1378" t="s">
        <v>1386</v>
      </c>
      <c r="D145" s="1350"/>
      <c r="E145" s="1379">
        <f>IF(E121&lt;=0, E110*E133*(E119-E118), E110*E133*(E113-E118))</f>
        <v>0</v>
      </c>
      <c r="F145" s="1379">
        <f>IF(F121&lt;=0, F110*F133*(F119-F118), F110*F133*(F113-F118))</f>
        <v>0</v>
      </c>
    </row>
    <row r="146" spans="3:15" ht="20.100000000000001" hidden="1" customHeight="1">
      <c r="C146" s="1378" t="s">
        <v>1387</v>
      </c>
      <c r="D146" s="1350"/>
      <c r="E146" s="1379">
        <f>IF(E121&gt;0, E133*E111*E121,0)</f>
        <v>0</v>
      </c>
      <c r="F146" s="1379">
        <f>IF(F121&gt;0, F133*F111*F121,0)</f>
        <v>0</v>
      </c>
    </row>
    <row r="147" spans="3:15" ht="20.100000000000001" hidden="1" customHeight="1">
      <c r="C147" s="1378" t="s">
        <v>1388</v>
      </c>
      <c r="D147" s="1350"/>
      <c r="E147" s="1379">
        <f>IF(E121&gt;0, E112*E133*(E119-E113)*E121,0)</f>
        <v>0</v>
      </c>
      <c r="F147" s="1379">
        <f>IF(F121&gt;0, F112*F133*(F119-F113)*F121,0)</f>
        <v>0</v>
      </c>
    </row>
    <row r="148" spans="3:15" ht="20.100000000000001" hidden="1" customHeight="1">
      <c r="C148" s="1378" t="s">
        <v>1389</v>
      </c>
      <c r="D148" s="1350"/>
      <c r="E148" s="1379">
        <f xml:space="preserve">  IF(E121&gt;0, (1-E121)*E110*E133*(E119-E113), 0)</f>
        <v>0</v>
      </c>
      <c r="F148" s="1379">
        <f xml:space="preserve">  IF(F121&gt;0, (1-F121)*F110*F133*(F119-F113), 0)</f>
        <v>0</v>
      </c>
    </row>
    <row r="149" spans="3:15" ht="20.100000000000001" hidden="1" customHeight="1">
      <c r="C149" s="1378" t="s">
        <v>1390</v>
      </c>
      <c r="D149" s="1350"/>
      <c r="E149" s="1379">
        <f>IF(E124="Endothermic",1,-1)*E122*E133*E123</f>
        <v>0</v>
      </c>
      <c r="F149" s="1379">
        <f>IF(F124="Endothermic",1,-1)*F122*F133*F123</f>
        <v>0</v>
      </c>
      <c r="K149" s="2059">
        <f>(IF(E149&lt;0,-1,0))*E149*$L$126</f>
        <v>0</v>
      </c>
      <c r="L149" s="1402">
        <f>(IF(F149&lt;0,-1,0))*F149*$L$126</f>
        <v>0</v>
      </c>
    </row>
    <row r="150" spans="3:15" ht="20.100000000000001" hidden="1" customHeight="1">
      <c r="C150" s="1404" t="s">
        <v>1393</v>
      </c>
      <c r="D150" s="1405"/>
      <c r="E150" s="1406">
        <v>0</v>
      </c>
      <c r="F150" s="1406">
        <v>0</v>
      </c>
    </row>
    <row r="151" spans="3:15" ht="20.100000000000001" hidden="1" customHeight="1">
      <c r="C151" s="1404" t="s">
        <v>1394</v>
      </c>
      <c r="D151" s="1405"/>
      <c r="E151" s="1406">
        <v>0</v>
      </c>
      <c r="F151" s="1406">
        <v>0</v>
      </c>
    </row>
    <row r="152" spans="3:15" ht="20.100000000000001" hidden="1" customHeight="1">
      <c r="C152" s="1381" t="s">
        <v>1391</v>
      </c>
      <c r="D152" s="1382"/>
      <c r="E152" s="1395">
        <f>SUM(E145:E148)+(IF(E124="Endothermic",E149,0))</f>
        <v>0</v>
      </c>
      <c r="F152" s="1395">
        <f>SUM(F145:F148)+(IF(F124="Endothermic",F149,0))</f>
        <v>0</v>
      </c>
    </row>
    <row r="153" spans="3:15" ht="20.100000000000001" hidden="1" customHeight="1">
      <c r="C153" s="1384"/>
      <c r="D153" s="1350"/>
      <c r="E153" s="1379"/>
      <c r="F153" s="1379"/>
    </row>
    <row r="154" spans="3:15" ht="20.100000000000001" hidden="1" customHeight="1" thickBot="1">
      <c r="C154" s="1413" t="s">
        <v>1392</v>
      </c>
      <c r="D154" s="1414"/>
      <c r="E154" s="1415">
        <f>E142+E152+E125</f>
        <v>0</v>
      </c>
      <c r="F154" s="1415">
        <f>F142+F152+F125</f>
        <v>0</v>
      </c>
    </row>
    <row r="155" spans="3:15" ht="20.100000000000001" customHeight="1" thickBot="1">
      <c r="O155" s="1424" t="s">
        <v>1292</v>
      </c>
    </row>
    <row r="156" spans="3:15" ht="20.100000000000001" customHeight="1" thickBot="1">
      <c r="C156" s="2505" t="s">
        <v>1465</v>
      </c>
      <c r="D156" s="2506"/>
      <c r="E156" s="1425">
        <f>(E24*L24)+(E75*L75)+(E126*L126)</f>
        <v>0</v>
      </c>
      <c r="F156" s="1426">
        <f>(F24*L24)+(F75*L75)+(F126*L126)</f>
        <v>0</v>
      </c>
      <c r="I156" s="1330">
        <f>I115+I64+I13</f>
        <v>0</v>
      </c>
      <c r="J156" s="1330">
        <f>J115+J64+J13</f>
        <v>0</v>
      </c>
      <c r="K156" s="2059">
        <f>K149+K98+K98</f>
        <v>0</v>
      </c>
      <c r="L156" s="1402">
        <f>L149+L98+L98</f>
        <v>0</v>
      </c>
    </row>
    <row r="157" spans="3:15" ht="20.100000000000001" customHeight="1" thickBot="1">
      <c r="I157" s="1332">
        <f>ROUND(E126-F126,0)</f>
        <v>0</v>
      </c>
    </row>
    <row r="158" spans="3:15" ht="20.100000000000001" customHeight="1">
      <c r="C158" s="2521" t="s">
        <v>710</v>
      </c>
      <c r="D158" s="2522"/>
      <c r="E158" s="2522"/>
      <c r="F158" s="2523"/>
    </row>
    <row r="159" spans="3:15" ht="20.100000000000001" customHeight="1">
      <c r="C159" s="2518" t="s">
        <v>709</v>
      </c>
      <c r="D159" s="2519"/>
      <c r="E159" s="2519"/>
      <c r="F159" s="2520"/>
    </row>
    <row r="160" spans="3:15" ht="20.100000000000001" customHeight="1">
      <c r="C160" s="2525"/>
      <c r="D160" s="2526"/>
      <c r="E160" s="2526"/>
      <c r="F160" s="2527"/>
      <c r="I160" s="1330">
        <f>IF(C160="",0,1)</f>
        <v>0</v>
      </c>
    </row>
    <row r="161" spans="3:9" ht="20.100000000000001" customHeight="1">
      <c r="C161" s="2525"/>
      <c r="D161" s="2526"/>
      <c r="E161" s="2526"/>
      <c r="F161" s="2527"/>
      <c r="I161" s="1330">
        <f>IF(C161="",0,1)</f>
        <v>0</v>
      </c>
    </row>
    <row r="162" spans="3:9" ht="20.100000000000001" customHeight="1">
      <c r="C162" s="2525"/>
      <c r="D162" s="2526"/>
      <c r="E162" s="2526"/>
      <c r="F162" s="2527"/>
      <c r="I162" s="1330">
        <f>IF(C162="",0,1)</f>
        <v>0</v>
      </c>
    </row>
    <row r="163" spans="3:9" ht="20.100000000000001" customHeight="1">
      <c r="C163" s="2525"/>
      <c r="D163" s="2526"/>
      <c r="E163" s="2526"/>
      <c r="F163" s="2527"/>
      <c r="I163" s="1330">
        <f>IF(C163="",0,1)</f>
        <v>0</v>
      </c>
    </row>
    <row r="164" spans="3:9" ht="20.100000000000001" customHeight="1" thickBot="1">
      <c r="C164" s="2528"/>
      <c r="D164" s="2529"/>
      <c r="E164" s="2529"/>
      <c r="F164" s="2530"/>
      <c r="I164" s="1330">
        <f>IF(C164="",0,1)</f>
        <v>0</v>
      </c>
    </row>
    <row r="165" spans="3:9" ht="20.100000000000001" customHeight="1">
      <c r="C165" s="2524"/>
      <c r="D165" s="2517"/>
      <c r="E165" s="2517"/>
      <c r="F165" s="2517"/>
      <c r="I165" s="1399">
        <f>SUM(I160:I164)</f>
        <v>0</v>
      </c>
    </row>
    <row r="166" spans="3:9" ht="20.100000000000001" hidden="1" customHeight="1">
      <c r="C166" s="2524"/>
      <c r="D166" s="2517"/>
      <c r="E166" s="2517"/>
      <c r="F166" s="2517"/>
    </row>
    <row r="167" spans="3:9" ht="20.100000000000001" hidden="1" customHeight="1">
      <c r="C167" s="2524"/>
      <c r="D167" s="2517"/>
      <c r="E167" s="2517"/>
      <c r="F167" s="2517"/>
    </row>
    <row r="168" spans="3:9" ht="20.100000000000001" hidden="1" customHeight="1">
      <c r="C168" s="2524"/>
      <c r="D168" s="2517"/>
      <c r="E168" s="2517"/>
      <c r="F168" s="2517"/>
    </row>
  </sheetData>
  <sheetProtection password="B61E" sheet="1" objects="1" scenarios="1"/>
  <mergeCells count="26">
    <mergeCell ref="A6:A24"/>
    <mergeCell ref="C159:F159"/>
    <mergeCell ref="C158:F158"/>
    <mergeCell ref="C57:D58"/>
    <mergeCell ref="C168:F168"/>
    <mergeCell ref="C166:F166"/>
    <mergeCell ref="C165:F165"/>
    <mergeCell ref="C167:F167"/>
    <mergeCell ref="C160:F160"/>
    <mergeCell ref="C161:F161"/>
    <mergeCell ref="C162:F162"/>
    <mergeCell ref="C163:F163"/>
    <mergeCell ref="C164:F164"/>
    <mergeCell ref="C4:D4"/>
    <mergeCell ref="G36:H36"/>
    <mergeCell ref="G87:H87"/>
    <mergeCell ref="C108:D109"/>
    <mergeCell ref="C156:D156"/>
    <mergeCell ref="C6:D7"/>
    <mergeCell ref="C55:D55"/>
    <mergeCell ref="C56:D56"/>
    <mergeCell ref="C106:D106"/>
    <mergeCell ref="C107:D107"/>
    <mergeCell ref="G70:H73"/>
    <mergeCell ref="G121:H124"/>
    <mergeCell ref="G19:H22"/>
  </mergeCells>
  <phoneticPr fontId="5" type="noConversion"/>
  <conditionalFormatting sqref="G19">
    <cfRule type="expression" dxfId="92" priority="13" stopIfTrue="1">
      <formula>OR(AND(E17&gt;E11,E19&lt;=0),AND(F17&gt;F11,F19&lt;=0))</formula>
    </cfRule>
    <cfRule type="expression" dxfId="91" priority="14" stopIfTrue="1">
      <formula>OR(AND(E17&lt;E11,E19&gt;0),AND(F17&lt;F11,F19&gt;0))</formula>
    </cfRule>
    <cfRule type="expression" dxfId="90" priority="15" stopIfTrue="1">
      <formula>NOT(OR(AND(E17&gt;E11,E19&lt;=0),AND(F17&gt;F11,F19&lt;=0)))</formula>
    </cfRule>
  </conditionalFormatting>
  <conditionalFormatting sqref="G70">
    <cfRule type="expression" dxfId="89" priority="4" stopIfTrue="1">
      <formula>OR(AND(E68&gt;E62,E70&lt;=0),AND(F68&gt;F62,F70&lt;=0))</formula>
    </cfRule>
    <cfRule type="expression" dxfId="88" priority="5" stopIfTrue="1">
      <formula>OR(AND(E68&lt;E62,E70&gt;0),AND(F68&lt;F62,F70&gt;0))</formula>
    </cfRule>
    <cfRule type="expression" dxfId="87" priority="6" stopIfTrue="1">
      <formula>NOT(OR(AND(E68&gt;E62,E70&lt;=0),AND(F68&gt;F62,F70&lt;=0)))</formula>
    </cfRule>
  </conditionalFormatting>
  <conditionalFormatting sqref="G121">
    <cfRule type="expression" dxfId="86" priority="1" stopIfTrue="1">
      <formula>OR(AND(E119&gt;E113,E121&lt;=0),AND(F119&gt;F113,F121&lt;=0))</formula>
    </cfRule>
    <cfRule type="expression" dxfId="85" priority="2" stopIfTrue="1">
      <formula>OR(AND(E119&lt;E113,E121&gt;0),AND(F119&lt;F113,F121&gt;0))</formula>
    </cfRule>
    <cfRule type="expression" dxfId="84" priority="3" stopIfTrue="1">
      <formula>NOT(OR(AND(E119&gt;E113,E121&lt;=0),AND(F119&gt;F113,F121&lt;=0)))</formula>
    </cfRule>
  </conditionalFormatting>
  <dataValidations count="3">
    <dataValidation type="list" allowBlank="1" showInputMessage="1" showErrorMessage="1" sqref="E57 E108 E6">
      <formula1>$O$5:$O$45</formula1>
    </dataValidation>
    <dataValidation type="list" allowBlank="1" showInputMessage="1" showErrorMessage="1" sqref="E22:F22 E73:F73 E124:F124">
      <formula1>"Exothermic, Endothermic"</formula1>
    </dataValidation>
    <dataValidation type="decimal" allowBlank="1" showInputMessage="1" showErrorMessage="1" sqref="E65:F66 E14:F15 E19:F20 E70:F71 E116:F117 E121:F122">
      <formula1>0</formula1>
      <formula2>1</formula2>
    </dataValidation>
  </dataValidations>
  <pageMargins left="0.75" right="0.75" top="1" bottom="1" header="0.5" footer="0.5"/>
  <pageSetup scale="62" fitToHeight="4" orientation="portrait" r:id="rId1"/>
  <headerFooter alignWithMargins="0">
    <oddHeader>&amp;LLoad Charge Solid</oddHeader>
    <oddFooter>&amp;LUS Department of Energy&amp;C&amp;P&amp;R&amp;D</oddFooter>
  </headerFooter>
  <rowBreaks count="1" manualBreakCount="1">
    <brk id="78" min="2" max="5" man="1"/>
  </rowBreaks>
  <drawing r:id="rId2"/>
  <legacyDrawing r:id="rId3"/>
  <controls>
    <mc:AlternateContent xmlns:mc="http://schemas.openxmlformats.org/markup-compatibility/2006">
      <mc:Choice Requires="x14">
        <control shapeId="2573939" r:id="rId4" name="TextBox14">
          <controlPr locked="0" defaultSize="0" disabled="1" autoLine="0" linkedCell="K113" r:id="rId5">
            <anchor moveWithCells="1" sizeWithCells="1">
              <from>
                <xdr:col>4</xdr:col>
                <xdr:colOff>0</xdr:colOff>
                <xdr:row>112</xdr:row>
                <xdr:rowOff>0</xdr:rowOff>
              </from>
              <to>
                <xdr:col>5</xdr:col>
                <xdr:colOff>0</xdr:colOff>
                <xdr:row>113</xdr:row>
                <xdr:rowOff>0</xdr:rowOff>
              </to>
            </anchor>
          </controlPr>
        </control>
      </mc:Choice>
      <mc:Fallback>
        <control shapeId="2573939" r:id="rId4" name="TextBox14"/>
      </mc:Fallback>
    </mc:AlternateContent>
    <mc:AlternateContent xmlns:mc="http://schemas.openxmlformats.org/markup-compatibility/2006">
      <mc:Choice Requires="x14">
        <control shapeId="2573600" r:id="rId6" name="CommandButtonChgSolidData">
          <controlPr defaultSize="0" print="0" autoLine="0" r:id="rId7">
            <anchor moveWithCells="1">
              <from>
                <xdr:col>6</xdr:col>
                <xdr:colOff>361950</xdr:colOff>
                <xdr:row>5</xdr:row>
                <xdr:rowOff>9525</xdr:rowOff>
              </from>
              <to>
                <xdr:col>7</xdr:col>
                <xdr:colOff>600075</xdr:colOff>
                <xdr:row>6</xdr:row>
                <xdr:rowOff>133350</xdr:rowOff>
              </to>
            </anchor>
          </controlPr>
        </control>
      </mc:Choice>
      <mc:Fallback>
        <control shapeId="2573600" r:id="rId6" name="CommandButtonChgSolidData"/>
      </mc:Fallback>
    </mc:AlternateContent>
    <mc:AlternateContent xmlns:mc="http://schemas.openxmlformats.org/markup-compatibility/2006">
      <mc:Choice Requires="x14">
        <control shapeId="2573609" r:id="rId8" name="CommandButtonMatlSolidCopy">
          <controlPr defaultSize="0" print="0" autoLine="0" r:id="rId9">
            <anchor moveWithCells="1">
              <from>
                <xdr:col>6</xdr:col>
                <xdr:colOff>371475</xdr:colOff>
                <xdr:row>3</xdr:row>
                <xdr:rowOff>0</xdr:rowOff>
              </from>
              <to>
                <xdr:col>7</xdr:col>
                <xdr:colOff>609600</xdr:colOff>
                <xdr:row>3</xdr:row>
                <xdr:rowOff>504825</xdr:rowOff>
              </to>
            </anchor>
          </controlPr>
        </control>
      </mc:Choice>
      <mc:Fallback>
        <control shapeId="2573609" r:id="rId8" name="CommandButtonMatlSolidCopy"/>
      </mc:Fallback>
    </mc:AlternateContent>
    <mc:AlternateContent xmlns:mc="http://schemas.openxmlformats.org/markup-compatibility/2006">
      <mc:Choice Requires="x14">
        <control shapeId="2573860" r:id="rId10" name="TextBox1">
          <controlPr locked="0" defaultSize="0" disabled="1" autoLine="0" linkedCell="K8" r:id="rId11">
            <anchor moveWithCells="1" sizeWithCells="1">
              <from>
                <xdr:col>4</xdr:col>
                <xdr:colOff>0</xdr:colOff>
                <xdr:row>7</xdr:row>
                <xdr:rowOff>0</xdr:rowOff>
              </from>
              <to>
                <xdr:col>5</xdr:col>
                <xdr:colOff>0</xdr:colOff>
                <xdr:row>8</xdr:row>
                <xdr:rowOff>0</xdr:rowOff>
              </to>
            </anchor>
          </controlPr>
        </control>
      </mc:Choice>
      <mc:Fallback>
        <control shapeId="2573860" r:id="rId10" name="TextBox1"/>
      </mc:Fallback>
    </mc:AlternateContent>
    <mc:AlternateContent xmlns:mc="http://schemas.openxmlformats.org/markup-compatibility/2006">
      <mc:Choice Requires="x14">
        <control shapeId="2573864" r:id="rId12" name="TextBox2">
          <controlPr locked="0" defaultSize="0" disabled="1" autoLine="0" linkedCell="K9" r:id="rId13">
            <anchor moveWithCells="1" sizeWithCells="1">
              <from>
                <xdr:col>4</xdr:col>
                <xdr:colOff>0</xdr:colOff>
                <xdr:row>8</xdr:row>
                <xdr:rowOff>0</xdr:rowOff>
              </from>
              <to>
                <xdr:col>5</xdr:col>
                <xdr:colOff>0</xdr:colOff>
                <xdr:row>9</xdr:row>
                <xdr:rowOff>0</xdr:rowOff>
              </to>
            </anchor>
          </controlPr>
        </control>
      </mc:Choice>
      <mc:Fallback>
        <control shapeId="2573864" r:id="rId12" name="TextBox2"/>
      </mc:Fallback>
    </mc:AlternateContent>
    <mc:AlternateContent xmlns:mc="http://schemas.openxmlformats.org/markup-compatibility/2006">
      <mc:Choice Requires="x14">
        <control shapeId="2573865" r:id="rId14" name="TextBox3">
          <controlPr locked="0" defaultSize="0" disabled="1" autoLine="0" linkedCell="K10" r:id="rId15">
            <anchor moveWithCells="1" sizeWithCells="1">
              <from>
                <xdr:col>4</xdr:col>
                <xdr:colOff>0</xdr:colOff>
                <xdr:row>9</xdr:row>
                <xdr:rowOff>0</xdr:rowOff>
              </from>
              <to>
                <xdr:col>5</xdr:col>
                <xdr:colOff>0</xdr:colOff>
                <xdr:row>10</xdr:row>
                <xdr:rowOff>0</xdr:rowOff>
              </to>
            </anchor>
          </controlPr>
        </control>
      </mc:Choice>
      <mc:Fallback>
        <control shapeId="2573865" r:id="rId14" name="TextBox3"/>
      </mc:Fallback>
    </mc:AlternateContent>
    <mc:AlternateContent xmlns:mc="http://schemas.openxmlformats.org/markup-compatibility/2006">
      <mc:Choice Requires="x14">
        <control shapeId="2573867" r:id="rId16" name="TextBox4">
          <controlPr locked="0" defaultSize="0" disabled="1" autoLine="0" linkedCell="K11" r:id="rId17">
            <anchor moveWithCells="1" sizeWithCells="1">
              <from>
                <xdr:col>4</xdr:col>
                <xdr:colOff>0</xdr:colOff>
                <xdr:row>10</xdr:row>
                <xdr:rowOff>0</xdr:rowOff>
              </from>
              <to>
                <xdr:col>5</xdr:col>
                <xdr:colOff>0</xdr:colOff>
                <xdr:row>11</xdr:row>
                <xdr:rowOff>0</xdr:rowOff>
              </to>
            </anchor>
          </controlPr>
        </control>
      </mc:Choice>
      <mc:Fallback>
        <control shapeId="2573867" r:id="rId16" name="TextBox4"/>
      </mc:Fallback>
    </mc:AlternateContent>
    <mc:AlternateContent xmlns:mc="http://schemas.openxmlformats.org/markup-compatibility/2006">
      <mc:Choice Requires="x14">
        <control shapeId="2573869" r:id="rId18" name="TextBox5">
          <controlPr locked="0" defaultSize="0" disabled="1" autoLine="0" linkedCell="K7" r:id="rId19">
            <anchor moveWithCells="1" sizeWithCells="1">
              <from>
                <xdr:col>4</xdr:col>
                <xdr:colOff>0</xdr:colOff>
                <xdr:row>6</xdr:row>
                <xdr:rowOff>0</xdr:rowOff>
              </from>
              <to>
                <xdr:col>5</xdr:col>
                <xdr:colOff>0</xdr:colOff>
                <xdr:row>7</xdr:row>
                <xdr:rowOff>0</xdr:rowOff>
              </to>
            </anchor>
          </controlPr>
        </control>
      </mc:Choice>
      <mc:Fallback>
        <control shapeId="2573869" r:id="rId18" name="TextBox5"/>
      </mc:Fallback>
    </mc:AlternateContent>
    <mc:AlternateContent xmlns:mc="http://schemas.openxmlformats.org/markup-compatibility/2006">
      <mc:Choice Requires="x14">
        <control shapeId="2573892" r:id="rId20" name="TextBox6">
          <controlPr locked="0" defaultSize="0" disabled="1" autoLine="0" linkedCell="K59" r:id="rId21">
            <anchor moveWithCells="1" sizeWithCells="1">
              <from>
                <xdr:col>4</xdr:col>
                <xdr:colOff>0</xdr:colOff>
                <xdr:row>58</xdr:row>
                <xdr:rowOff>0</xdr:rowOff>
              </from>
              <to>
                <xdr:col>5</xdr:col>
                <xdr:colOff>0</xdr:colOff>
                <xdr:row>59</xdr:row>
                <xdr:rowOff>0</xdr:rowOff>
              </to>
            </anchor>
          </controlPr>
        </control>
      </mc:Choice>
      <mc:Fallback>
        <control shapeId="2573892" r:id="rId20" name="TextBox6"/>
      </mc:Fallback>
    </mc:AlternateContent>
    <mc:AlternateContent xmlns:mc="http://schemas.openxmlformats.org/markup-compatibility/2006">
      <mc:Choice Requires="x14">
        <control shapeId="2573893" r:id="rId22" name="TextBox7">
          <controlPr locked="0" defaultSize="0" disabled="1" autoLine="0" linkedCell="K60" r:id="rId23">
            <anchor moveWithCells="1" sizeWithCells="1">
              <from>
                <xdr:col>4</xdr:col>
                <xdr:colOff>0</xdr:colOff>
                <xdr:row>59</xdr:row>
                <xdr:rowOff>0</xdr:rowOff>
              </from>
              <to>
                <xdr:col>5</xdr:col>
                <xdr:colOff>0</xdr:colOff>
                <xdr:row>60</xdr:row>
                <xdr:rowOff>0</xdr:rowOff>
              </to>
            </anchor>
          </controlPr>
        </control>
      </mc:Choice>
      <mc:Fallback>
        <control shapeId="2573893" r:id="rId22" name="TextBox7"/>
      </mc:Fallback>
    </mc:AlternateContent>
    <mc:AlternateContent xmlns:mc="http://schemas.openxmlformats.org/markup-compatibility/2006">
      <mc:Choice Requires="x14">
        <control shapeId="2573894" r:id="rId24" name="TextBox8">
          <controlPr locked="0" defaultSize="0" disabled="1" autoLine="0" linkedCell="K61" r:id="rId25">
            <anchor moveWithCells="1" sizeWithCells="1">
              <from>
                <xdr:col>4</xdr:col>
                <xdr:colOff>0</xdr:colOff>
                <xdr:row>60</xdr:row>
                <xdr:rowOff>0</xdr:rowOff>
              </from>
              <to>
                <xdr:col>5</xdr:col>
                <xdr:colOff>0</xdr:colOff>
                <xdr:row>61</xdr:row>
                <xdr:rowOff>0</xdr:rowOff>
              </to>
            </anchor>
          </controlPr>
        </control>
      </mc:Choice>
      <mc:Fallback>
        <control shapeId="2573894" r:id="rId24" name="TextBox8"/>
      </mc:Fallback>
    </mc:AlternateContent>
    <mc:AlternateContent xmlns:mc="http://schemas.openxmlformats.org/markup-compatibility/2006">
      <mc:Choice Requires="x14">
        <control shapeId="2573895" r:id="rId26" name="TextBox9">
          <controlPr locked="0" defaultSize="0" disabled="1" autoLine="0" linkedCell="K62" r:id="rId27">
            <anchor moveWithCells="1" sizeWithCells="1">
              <from>
                <xdr:col>4</xdr:col>
                <xdr:colOff>0</xdr:colOff>
                <xdr:row>61</xdr:row>
                <xdr:rowOff>0</xdr:rowOff>
              </from>
              <to>
                <xdr:col>5</xdr:col>
                <xdr:colOff>0</xdr:colOff>
                <xdr:row>62</xdr:row>
                <xdr:rowOff>0</xdr:rowOff>
              </to>
            </anchor>
          </controlPr>
        </control>
      </mc:Choice>
      <mc:Fallback>
        <control shapeId="2573895" r:id="rId26" name="TextBox9"/>
      </mc:Fallback>
    </mc:AlternateContent>
    <mc:AlternateContent xmlns:mc="http://schemas.openxmlformats.org/markup-compatibility/2006">
      <mc:Choice Requires="x14">
        <control shapeId="2573896" r:id="rId28" name="TextBox10">
          <controlPr locked="0" defaultSize="0" disabled="1" autoLine="0" linkedCell="K58" r:id="rId29">
            <anchor moveWithCells="1" sizeWithCells="1">
              <from>
                <xdr:col>4</xdr:col>
                <xdr:colOff>0</xdr:colOff>
                <xdr:row>57</xdr:row>
                <xdr:rowOff>0</xdr:rowOff>
              </from>
              <to>
                <xdr:col>5</xdr:col>
                <xdr:colOff>0</xdr:colOff>
                <xdr:row>58</xdr:row>
                <xdr:rowOff>0</xdr:rowOff>
              </to>
            </anchor>
          </controlPr>
        </control>
      </mc:Choice>
      <mc:Fallback>
        <control shapeId="2573896" r:id="rId28" name="TextBox10"/>
      </mc:Fallback>
    </mc:AlternateContent>
    <mc:AlternateContent xmlns:mc="http://schemas.openxmlformats.org/markup-compatibility/2006">
      <mc:Choice Requires="x14">
        <control shapeId="2573900" r:id="rId30" name="TextBox11">
          <controlPr locked="0" defaultSize="0" disabled="1" autoLine="0" linkedCell="K110" r:id="rId31">
            <anchor moveWithCells="1" sizeWithCells="1">
              <from>
                <xdr:col>4</xdr:col>
                <xdr:colOff>0</xdr:colOff>
                <xdr:row>109</xdr:row>
                <xdr:rowOff>0</xdr:rowOff>
              </from>
              <to>
                <xdr:col>5</xdr:col>
                <xdr:colOff>0</xdr:colOff>
                <xdr:row>110</xdr:row>
                <xdr:rowOff>0</xdr:rowOff>
              </to>
            </anchor>
          </controlPr>
        </control>
      </mc:Choice>
      <mc:Fallback>
        <control shapeId="2573900" r:id="rId30" name="TextBox11"/>
      </mc:Fallback>
    </mc:AlternateContent>
    <mc:AlternateContent xmlns:mc="http://schemas.openxmlformats.org/markup-compatibility/2006">
      <mc:Choice Requires="x14">
        <control shapeId="2573901" r:id="rId32" name="TextBox12">
          <controlPr locked="0" defaultSize="0" disabled="1" autoLine="0" linkedCell="K111" r:id="rId33">
            <anchor moveWithCells="1" sizeWithCells="1">
              <from>
                <xdr:col>4</xdr:col>
                <xdr:colOff>0</xdr:colOff>
                <xdr:row>110</xdr:row>
                <xdr:rowOff>0</xdr:rowOff>
              </from>
              <to>
                <xdr:col>5</xdr:col>
                <xdr:colOff>0</xdr:colOff>
                <xdr:row>111</xdr:row>
                <xdr:rowOff>0</xdr:rowOff>
              </to>
            </anchor>
          </controlPr>
        </control>
      </mc:Choice>
      <mc:Fallback>
        <control shapeId="2573901" r:id="rId32" name="TextBox12"/>
      </mc:Fallback>
    </mc:AlternateContent>
    <mc:AlternateContent xmlns:mc="http://schemas.openxmlformats.org/markup-compatibility/2006">
      <mc:Choice Requires="x14">
        <control shapeId="2573902" r:id="rId34" name="TextBox13">
          <controlPr locked="0" defaultSize="0" disabled="1" autoLine="0" linkedCell="K112" r:id="rId35">
            <anchor moveWithCells="1" sizeWithCells="1">
              <from>
                <xdr:col>4</xdr:col>
                <xdr:colOff>0</xdr:colOff>
                <xdr:row>111</xdr:row>
                <xdr:rowOff>0</xdr:rowOff>
              </from>
              <to>
                <xdr:col>5</xdr:col>
                <xdr:colOff>0</xdr:colOff>
                <xdr:row>112</xdr:row>
                <xdr:rowOff>0</xdr:rowOff>
              </to>
            </anchor>
          </controlPr>
        </control>
      </mc:Choice>
      <mc:Fallback>
        <control shapeId="2573902" r:id="rId34" name="TextBox13"/>
      </mc:Fallback>
    </mc:AlternateContent>
    <mc:AlternateContent xmlns:mc="http://schemas.openxmlformats.org/markup-compatibility/2006">
      <mc:Choice Requires="x14">
        <control shapeId="2573904" r:id="rId36" name="TextBox15">
          <controlPr locked="0" defaultSize="0" disabled="1" autoLine="0" linkedCell="K109" r:id="rId37">
            <anchor moveWithCells="1" sizeWithCells="1">
              <from>
                <xdr:col>4</xdr:col>
                <xdr:colOff>0</xdr:colOff>
                <xdr:row>108</xdr:row>
                <xdr:rowOff>0</xdr:rowOff>
              </from>
              <to>
                <xdr:col>5</xdr:col>
                <xdr:colOff>0</xdr:colOff>
                <xdr:row>109</xdr:row>
                <xdr:rowOff>0</xdr:rowOff>
              </to>
            </anchor>
          </controlPr>
        </control>
      </mc:Choice>
      <mc:Fallback>
        <control shapeId="2573904" r:id="rId36" name="TextBox15"/>
      </mc:Fallback>
    </mc:AlternateContent>
    <mc:AlternateContent xmlns:mc="http://schemas.openxmlformats.org/markup-compatibility/2006">
      <mc:Choice Requires="x14">
        <control shapeId="2573923" r:id="rId38" name="CommandButtonHelp">
          <controlPr defaultSize="0" autoLine="0" r:id="rId39">
            <anchor moveWithCells="1">
              <from>
                <xdr:col>0</xdr:col>
                <xdr:colOff>76200</xdr:colOff>
                <xdr:row>4</xdr:row>
                <xdr:rowOff>152400</xdr:rowOff>
              </from>
              <to>
                <xdr:col>1</xdr:col>
                <xdr:colOff>304800</xdr:colOff>
                <xdr:row>20</xdr:row>
                <xdr:rowOff>104775</xdr:rowOff>
              </to>
            </anchor>
          </controlPr>
        </control>
      </mc:Choice>
      <mc:Fallback>
        <control shapeId="2573923" r:id="rId38" name="CommandButtonHelp"/>
      </mc:Fallback>
    </mc:AlternateContent>
    <mc:AlternateContent xmlns:mc="http://schemas.openxmlformats.org/markup-compatibility/2006">
      <mc:Choice Requires="x14">
        <control shapeId="2573937" r:id="rId40" name="CommandButton1">
          <controlPr defaultSize="0" autoLine="0" r:id="rId41">
            <anchor moveWithCells="1">
              <from>
                <xdr:col>6</xdr:col>
                <xdr:colOff>371475</xdr:colOff>
                <xdr:row>8</xdr:row>
                <xdr:rowOff>114300</xdr:rowOff>
              </from>
              <to>
                <xdr:col>7</xdr:col>
                <xdr:colOff>619125</xdr:colOff>
                <xdr:row>10</xdr:row>
                <xdr:rowOff>123825</xdr:rowOff>
              </to>
            </anchor>
          </controlPr>
        </control>
      </mc:Choice>
      <mc:Fallback>
        <control shapeId="2573937" r:id="rId40"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AJ129"/>
  <sheetViews>
    <sheetView topLeftCell="A3" workbookViewId="0">
      <selection activeCell="I7" sqref="I7"/>
    </sheetView>
  </sheetViews>
  <sheetFormatPr defaultColWidth="0" defaultRowHeight="20.100000000000001" customHeight="1" zeroHeight="1"/>
  <cols>
    <col min="1" max="2" width="5.7109375" style="1428" customWidth="1"/>
    <col min="3" max="3" width="50.7109375" style="1429" customWidth="1"/>
    <col min="4" max="4" width="11.7109375" style="1428" customWidth="1"/>
    <col min="5" max="6" width="19.7109375" style="1428" customWidth="1"/>
    <col min="7" max="7" width="8.7109375" style="1428" customWidth="1"/>
    <col min="8" max="8" width="16.7109375" style="1428" customWidth="1"/>
    <col min="9" max="9" width="16.140625" style="1428" hidden="1" customWidth="1"/>
    <col min="10" max="10" width="17.42578125" style="1428" hidden="1" customWidth="1"/>
    <col min="11" max="11" width="12.5703125" style="2061" hidden="1" customWidth="1"/>
    <col min="12" max="12" width="10.42578125" style="1428" hidden="1" customWidth="1"/>
    <col min="13" max="14" width="9.140625" style="1428" hidden="1" customWidth="1"/>
    <col min="15" max="15" width="30" style="1428" hidden="1" customWidth="1"/>
    <col min="16" max="16384" width="9.140625" style="1428" hidden="1"/>
  </cols>
  <sheetData>
    <row r="1" spans="2:36" ht="14.25" hidden="1"/>
    <row r="2" spans="2:36" ht="14.25" hidden="1">
      <c r="C2" s="1429" t="s">
        <v>721</v>
      </c>
      <c r="D2" s="1430">
        <f>'Control page'!D12</f>
        <v>3</v>
      </c>
      <c r="E2" s="1428" t="s">
        <v>1161</v>
      </c>
    </row>
    <row r="3" spans="2:36" ht="40.5" customHeight="1" thickBot="1">
      <c r="N3" s="1431" t="s">
        <v>822</v>
      </c>
      <c r="O3" s="1431" t="s">
        <v>823</v>
      </c>
      <c r="P3" s="1431" t="s">
        <v>824</v>
      </c>
      <c r="Q3" s="1431" t="s">
        <v>825</v>
      </c>
      <c r="R3" s="1431" t="s">
        <v>1078</v>
      </c>
      <c r="S3" s="1431" t="s">
        <v>1091</v>
      </c>
      <c r="T3" s="1431" t="s">
        <v>1331</v>
      </c>
      <c r="U3" s="1431" t="s">
        <v>1601</v>
      </c>
      <c r="V3" s="1431" t="s">
        <v>1332</v>
      </c>
      <c r="W3" s="1431" t="s">
        <v>1327</v>
      </c>
      <c r="X3" s="1431" t="s">
        <v>1333</v>
      </c>
      <c r="Y3" s="1431" t="s">
        <v>1334</v>
      </c>
      <c r="Z3" s="1431" t="s">
        <v>1335</v>
      </c>
      <c r="AA3" s="1431" t="s">
        <v>835</v>
      </c>
    </row>
    <row r="4" spans="2:36" s="1431" customFormat="1" ht="43.5" customHeight="1">
      <c r="B4" s="1432"/>
      <c r="C4" s="2499" t="s">
        <v>21</v>
      </c>
      <c r="D4" s="2500"/>
      <c r="E4" s="1337" t="s">
        <v>1114</v>
      </c>
      <c r="F4" s="1338" t="s">
        <v>1119</v>
      </c>
      <c r="G4" s="1433"/>
      <c r="H4" s="1433"/>
      <c r="I4" s="1433"/>
      <c r="J4" s="1433"/>
      <c r="K4" s="2062"/>
      <c r="N4" s="1428"/>
      <c r="O4" s="1428"/>
      <c r="P4" s="1428"/>
      <c r="Q4" s="1428"/>
      <c r="R4" s="1428">
        <f>16.02</f>
        <v>16.02</v>
      </c>
      <c r="S4" s="1428">
        <v>4.1870000000000003</v>
      </c>
      <c r="T4" s="1428">
        <v>2.3260000000000001</v>
      </c>
      <c r="U4" s="1428">
        <f>S4</f>
        <v>4.1870000000000003</v>
      </c>
      <c r="V4" s="1428" t="s">
        <v>837</v>
      </c>
      <c r="W4" s="1428" t="s">
        <v>837</v>
      </c>
      <c r="X4" s="1428">
        <v>2.3260000000000001</v>
      </c>
      <c r="Y4" s="1428">
        <f>X4</f>
        <v>2.3260000000000001</v>
      </c>
      <c r="Z4" s="1428">
        <f>Y4</f>
        <v>2.3260000000000001</v>
      </c>
      <c r="AA4" s="1428"/>
    </row>
    <row r="5" spans="2:36" s="1436" customFormat="1" ht="20.100000000000001" customHeight="1">
      <c r="B5" s="1432"/>
      <c r="C5" s="2543" t="s">
        <v>800</v>
      </c>
      <c r="D5" s="2544"/>
      <c r="E5" s="1000"/>
      <c r="F5" s="1434"/>
      <c r="G5" s="987"/>
      <c r="H5" s="1245"/>
      <c r="I5" s="1245"/>
      <c r="J5" s="1245"/>
      <c r="K5" s="2063"/>
      <c r="N5" s="1428">
        <v>41</v>
      </c>
      <c r="O5" s="1428" t="s">
        <v>914</v>
      </c>
      <c r="P5" s="1428" t="s">
        <v>800</v>
      </c>
      <c r="Q5" s="1428"/>
      <c r="R5" s="1428">
        <f>AB5/$R$4</f>
        <v>0</v>
      </c>
      <c r="S5" s="1437">
        <f>AC5/$S$4</f>
        <v>0.65010747551946502</v>
      </c>
      <c r="T5" s="1428">
        <f>AD5/$T$4</f>
        <v>0</v>
      </c>
      <c r="U5" s="1428">
        <f>AE5/$U$4</f>
        <v>0</v>
      </c>
      <c r="V5" s="1438">
        <f>AF5*1.8+32</f>
        <v>899.99600000000009</v>
      </c>
      <c r="W5" s="1428">
        <f>AG5*1.8+32</f>
        <v>-4.0000000000048885E-3</v>
      </c>
      <c r="X5" s="1428">
        <f>AH5/$X$4</f>
        <v>0</v>
      </c>
      <c r="Y5" s="1428">
        <f>AI5/$Y$4</f>
        <v>0</v>
      </c>
      <c r="Z5" s="1428">
        <f>AJ5/$Z$4</f>
        <v>0</v>
      </c>
      <c r="AA5" s="1428" t="b">
        <v>0</v>
      </c>
      <c r="AB5" s="1439">
        <v>0</v>
      </c>
      <c r="AC5" s="1439">
        <v>2.722</v>
      </c>
      <c r="AD5" s="1439">
        <v>0</v>
      </c>
      <c r="AE5" s="1439">
        <v>0</v>
      </c>
      <c r="AF5" s="1439">
        <v>482.22</v>
      </c>
      <c r="AG5" s="1439">
        <v>-17.78</v>
      </c>
      <c r="AH5" s="1439">
        <v>0</v>
      </c>
      <c r="AI5" s="1439">
        <v>0</v>
      </c>
      <c r="AJ5" s="1439">
        <f>AT5/$Z$4</f>
        <v>0</v>
      </c>
    </row>
    <row r="6" spans="2:36" ht="30" customHeight="1">
      <c r="B6" s="1432"/>
      <c r="C6" s="2503" t="s">
        <v>1602</v>
      </c>
      <c r="D6" s="2504"/>
      <c r="E6" s="2012" t="s">
        <v>923</v>
      </c>
      <c r="F6" s="2014" t="str">
        <f>E6</f>
        <v>Carbon tetrachloride</v>
      </c>
      <c r="G6" s="1433"/>
      <c r="H6" s="1027"/>
      <c r="I6" s="1027" t="s">
        <v>8</v>
      </c>
      <c r="J6" s="1027"/>
      <c r="K6" s="2063"/>
      <c r="N6" s="1428">
        <v>42</v>
      </c>
      <c r="O6" s="1428" t="s">
        <v>1626</v>
      </c>
      <c r="P6" s="1428" t="s">
        <v>800</v>
      </c>
      <c r="R6" s="1428">
        <f t="shared" ref="R6:R18" si="0">AB6/$R$4</f>
        <v>0</v>
      </c>
      <c r="S6" s="1437">
        <f t="shared" ref="S6:S18" si="1">AC6/$S$4</f>
        <v>1</v>
      </c>
      <c r="T6" s="1428">
        <f t="shared" ref="T6:T18" si="2">AD6/$T$4</f>
        <v>970.30008598452287</v>
      </c>
      <c r="U6" s="1437">
        <f t="shared" ref="U6:U18" si="3">AE6/$U$4</f>
        <v>0.47002627179364698</v>
      </c>
      <c r="V6" s="1438">
        <f t="shared" ref="V6:V18" si="4">AF6*1.8+32</f>
        <v>212</v>
      </c>
      <c r="W6" s="1428">
        <f t="shared" ref="W6:W18" si="5">AG6*1.8+32</f>
        <v>-4.0000000000048885E-3</v>
      </c>
      <c r="X6" s="1428">
        <f t="shared" ref="X6:X18" si="6">AH6/$X$4</f>
        <v>0</v>
      </c>
      <c r="Y6" s="1428">
        <f t="shared" ref="Y6:Y18" si="7">AI6/$Y$4</f>
        <v>0</v>
      </c>
      <c r="Z6" s="1428">
        <f t="shared" ref="Z6:Z18" si="8">AJ6/$Z$4</f>
        <v>0</v>
      </c>
      <c r="AA6" s="1428" t="b">
        <v>0</v>
      </c>
      <c r="AB6" s="1439">
        <v>0</v>
      </c>
      <c r="AC6" s="1439">
        <v>4.1870000000000003</v>
      </c>
      <c r="AD6" s="1439">
        <v>2256.9180000000001</v>
      </c>
      <c r="AE6" s="1439">
        <v>1.968</v>
      </c>
      <c r="AF6" s="1439">
        <v>100</v>
      </c>
      <c r="AG6" s="1439">
        <v>-17.78</v>
      </c>
      <c r="AH6" s="1439">
        <v>0</v>
      </c>
      <c r="AI6" s="1439">
        <v>0</v>
      </c>
      <c r="AJ6" s="1439">
        <v>0</v>
      </c>
    </row>
    <row r="7" spans="2:36" ht="20.100000000000001" customHeight="1">
      <c r="B7" s="1432"/>
      <c r="C7" s="2503"/>
      <c r="D7" s="2504"/>
      <c r="E7" s="2033"/>
      <c r="F7" s="2034"/>
      <c r="G7" s="1433"/>
      <c r="H7" s="1027"/>
      <c r="I7" s="1027" t="s">
        <v>6</v>
      </c>
      <c r="J7" s="1027"/>
      <c r="K7" s="2064" t="s">
        <v>1620</v>
      </c>
      <c r="N7" s="1428">
        <v>43</v>
      </c>
      <c r="O7" s="1428" t="s">
        <v>1471</v>
      </c>
      <c r="P7" s="1428" t="s">
        <v>800</v>
      </c>
      <c r="R7" s="1428">
        <f t="shared" si="0"/>
        <v>0</v>
      </c>
      <c r="S7" s="1437">
        <f t="shared" si="1"/>
        <v>1.0499164079293049</v>
      </c>
      <c r="T7" s="1428">
        <f t="shared" si="2"/>
        <v>868</v>
      </c>
      <c r="U7" s="1437">
        <f t="shared" si="3"/>
        <v>0.540004776689754</v>
      </c>
      <c r="V7" s="1438">
        <f t="shared" si="4"/>
        <v>365</v>
      </c>
      <c r="W7" s="1428">
        <f t="shared" si="5"/>
        <v>-4.0000000000048885E-3</v>
      </c>
      <c r="X7" s="1428">
        <f t="shared" si="6"/>
        <v>0</v>
      </c>
      <c r="Y7" s="1428">
        <f t="shared" si="7"/>
        <v>0</v>
      </c>
      <c r="Z7" s="1428">
        <f t="shared" si="8"/>
        <v>0</v>
      </c>
      <c r="AA7" s="1428" t="b">
        <v>0</v>
      </c>
      <c r="AB7" s="1439">
        <v>0</v>
      </c>
      <c r="AC7" s="1439">
        <v>4.3959999999999999</v>
      </c>
      <c r="AD7" s="1439">
        <v>2018.9680000000001</v>
      </c>
      <c r="AE7" s="1439">
        <v>2.2610000000000001</v>
      </c>
      <c r="AF7" s="1439">
        <v>185</v>
      </c>
      <c r="AG7" s="1439">
        <v>-17.78</v>
      </c>
      <c r="AH7" s="1439">
        <v>0</v>
      </c>
      <c r="AI7" s="1439">
        <v>0</v>
      </c>
      <c r="AJ7" s="1439">
        <v>0</v>
      </c>
    </row>
    <row r="8" spans="2:36" ht="20.100000000000001" customHeight="1">
      <c r="B8" s="1432"/>
      <c r="C8" s="1170" t="s">
        <v>497</v>
      </c>
      <c r="D8" s="1351" t="s">
        <v>1346</v>
      </c>
      <c r="E8" s="1440">
        <f>IF(E$6="Other",K12,VLOOKUP($E6,$O$5:$AA$44,5,))</f>
        <v>0.21495103893002149</v>
      </c>
      <c r="F8" s="1441">
        <f>E8</f>
        <v>0.21495103893002149</v>
      </c>
      <c r="G8" s="1442"/>
      <c r="H8" s="1443"/>
      <c r="I8" s="1027" t="s">
        <v>774</v>
      </c>
      <c r="J8" s="1027"/>
      <c r="K8" s="2085" t="s">
        <v>528</v>
      </c>
      <c r="N8" s="1428">
        <v>44</v>
      </c>
      <c r="O8" s="1428" t="s">
        <v>917</v>
      </c>
      <c r="P8" s="1428" t="s">
        <v>800</v>
      </c>
      <c r="R8" s="1428">
        <f t="shared" si="0"/>
        <v>0</v>
      </c>
      <c r="S8" s="1437">
        <f t="shared" si="1"/>
        <v>0.50991163123955086</v>
      </c>
      <c r="T8" s="1428">
        <f t="shared" si="2"/>
        <v>174</v>
      </c>
      <c r="U8" s="1437">
        <f t="shared" si="3"/>
        <v>0.40004776689754001</v>
      </c>
      <c r="V8" s="1438">
        <f t="shared" si="4"/>
        <v>244.4</v>
      </c>
      <c r="W8" s="1428">
        <f t="shared" si="5"/>
        <v>-4.0000000000048885E-3</v>
      </c>
      <c r="X8" s="1428">
        <f t="shared" si="6"/>
        <v>0</v>
      </c>
      <c r="Y8" s="1428">
        <f t="shared" si="7"/>
        <v>0</v>
      </c>
      <c r="Z8" s="1428">
        <f t="shared" si="8"/>
        <v>0</v>
      </c>
      <c r="AA8" s="1428" t="b">
        <v>0</v>
      </c>
      <c r="AB8" s="1439">
        <v>0</v>
      </c>
      <c r="AC8" s="1439">
        <v>2.1349999999999998</v>
      </c>
      <c r="AD8" s="1439">
        <v>404.72399999999999</v>
      </c>
      <c r="AE8" s="1439">
        <v>1.675</v>
      </c>
      <c r="AF8" s="1439">
        <v>118</v>
      </c>
      <c r="AG8" s="1439">
        <v>-17.78</v>
      </c>
      <c r="AH8" s="1439">
        <v>0</v>
      </c>
      <c r="AI8" s="1439">
        <v>0</v>
      </c>
      <c r="AJ8" s="1439">
        <v>0</v>
      </c>
    </row>
    <row r="9" spans="2:36" ht="20.100000000000001" customHeight="1">
      <c r="B9" s="1432"/>
      <c r="C9" s="1170" t="s">
        <v>498</v>
      </c>
      <c r="D9" s="1351" t="s">
        <v>1175</v>
      </c>
      <c r="E9" s="1444">
        <f>IF(E$6="Other",K13,VLOOKUP($E$6,$O$5:$AA$44,8,))</f>
        <v>170.006</v>
      </c>
      <c r="F9" s="1445">
        <f>E9</f>
        <v>170.006</v>
      </c>
      <c r="G9" s="1442"/>
      <c r="H9" s="1446"/>
      <c r="I9" s="1446"/>
      <c r="J9" s="1027"/>
      <c r="K9" s="2085" t="s">
        <v>528</v>
      </c>
      <c r="N9" s="1428">
        <v>45</v>
      </c>
      <c r="O9" s="1428" t="s">
        <v>918</v>
      </c>
      <c r="P9" s="1428" t="s">
        <v>800</v>
      </c>
      <c r="R9" s="1428">
        <f t="shared" si="0"/>
        <v>0</v>
      </c>
      <c r="S9" s="1437">
        <f t="shared" si="1"/>
        <v>0.34702651062813472</v>
      </c>
      <c r="T9" s="1428">
        <f t="shared" si="2"/>
        <v>239</v>
      </c>
      <c r="U9" s="1437">
        <f t="shared" si="3"/>
        <v>0.40004776689754001</v>
      </c>
      <c r="V9" s="1438">
        <f t="shared" si="4"/>
        <v>129.99200000000002</v>
      </c>
      <c r="W9" s="1428">
        <f t="shared" si="5"/>
        <v>-4.0000000000048885E-3</v>
      </c>
      <c r="X9" s="1428">
        <f t="shared" si="6"/>
        <v>0</v>
      </c>
      <c r="Y9" s="1428">
        <f t="shared" si="7"/>
        <v>0</v>
      </c>
      <c r="Z9" s="1428">
        <f t="shared" si="8"/>
        <v>0</v>
      </c>
      <c r="AA9" s="1428" t="b">
        <v>0</v>
      </c>
      <c r="AB9" s="1439">
        <v>0</v>
      </c>
      <c r="AC9" s="1439">
        <v>1.4530000000000001</v>
      </c>
      <c r="AD9" s="1439">
        <v>555.91399999999999</v>
      </c>
      <c r="AE9" s="1439">
        <v>1.675</v>
      </c>
      <c r="AF9" s="1439">
        <v>54.44</v>
      </c>
      <c r="AG9" s="1439">
        <v>-17.78</v>
      </c>
      <c r="AH9" s="1439">
        <v>0</v>
      </c>
      <c r="AI9" s="1439">
        <v>0</v>
      </c>
      <c r="AJ9" s="1439">
        <v>0</v>
      </c>
    </row>
    <row r="10" spans="2:36" ht="20.100000000000001" customHeight="1">
      <c r="B10" s="1432"/>
      <c r="C10" s="1170" t="s">
        <v>499</v>
      </c>
      <c r="D10" s="1351" t="s">
        <v>1347</v>
      </c>
      <c r="E10" s="1447">
        <f>IF(E$6="Other",K14,VLOOKUP($E$6,$O$5:$AA$44,6,))</f>
        <v>83.5</v>
      </c>
      <c r="F10" s="1448">
        <f>E10</f>
        <v>83.5</v>
      </c>
      <c r="G10" s="1433"/>
      <c r="H10" s="1446"/>
      <c r="I10" s="1446"/>
      <c r="J10" s="1027"/>
      <c r="K10" s="2085">
        <v>0</v>
      </c>
      <c r="N10" s="1428">
        <v>46</v>
      </c>
      <c r="O10" s="1428" t="s">
        <v>919</v>
      </c>
      <c r="P10" s="1428" t="s">
        <v>800</v>
      </c>
      <c r="R10" s="1428">
        <f t="shared" si="0"/>
        <v>0</v>
      </c>
      <c r="S10" s="1437">
        <f t="shared" si="1"/>
        <v>0.64795796513016479</v>
      </c>
      <c r="T10" s="1428">
        <f t="shared" si="2"/>
        <v>369</v>
      </c>
      <c r="U10" s="1437">
        <f t="shared" si="3"/>
        <v>0.44996417482684492</v>
      </c>
      <c r="V10" s="1438">
        <f t="shared" si="4"/>
        <v>172.00400000000002</v>
      </c>
      <c r="W10" s="1428">
        <f t="shared" si="5"/>
        <v>-4.0000000000048885E-3</v>
      </c>
      <c r="X10" s="1428">
        <f t="shared" si="6"/>
        <v>0</v>
      </c>
      <c r="Y10" s="1428">
        <f t="shared" si="7"/>
        <v>0</v>
      </c>
      <c r="Z10" s="1428">
        <f t="shared" si="8"/>
        <v>0</v>
      </c>
      <c r="AA10" s="1428" t="b">
        <v>0</v>
      </c>
      <c r="AB10" s="1439">
        <v>0</v>
      </c>
      <c r="AC10" s="1439">
        <v>2.7130000000000001</v>
      </c>
      <c r="AD10" s="1439">
        <v>858.29399999999998</v>
      </c>
      <c r="AE10" s="1439">
        <v>1.8839999999999999</v>
      </c>
      <c r="AF10" s="1439">
        <v>77.78</v>
      </c>
      <c r="AG10" s="1439">
        <v>-17.78</v>
      </c>
      <c r="AH10" s="1439">
        <v>0</v>
      </c>
      <c r="AI10" s="1439">
        <v>0</v>
      </c>
      <c r="AJ10" s="1439">
        <v>0</v>
      </c>
    </row>
    <row r="11" spans="2:36" ht="20.100000000000001" customHeight="1">
      <c r="B11" s="1432"/>
      <c r="C11" s="1170" t="s">
        <v>500</v>
      </c>
      <c r="D11" s="1351" t="s">
        <v>1346</v>
      </c>
      <c r="E11" s="1440">
        <f>IF(E6="Other",K15,VLOOKUP($E$6,$O$5:$AA$44,7,))</f>
        <v>0.25005970862192495</v>
      </c>
      <c r="F11" s="1441">
        <f>E11</f>
        <v>0.25005970862192495</v>
      </c>
      <c r="G11" s="1433"/>
      <c r="H11" s="1443"/>
      <c r="I11" s="1443"/>
      <c r="J11" s="1027"/>
      <c r="K11" s="2085">
        <v>0</v>
      </c>
      <c r="N11" s="1428">
        <v>47</v>
      </c>
      <c r="O11" s="1428" t="s">
        <v>920</v>
      </c>
      <c r="P11" s="1428" t="s">
        <v>800</v>
      </c>
      <c r="R11" s="1428">
        <f t="shared" si="0"/>
        <v>0</v>
      </c>
      <c r="S11" s="1437">
        <f t="shared" si="1"/>
        <v>0.60090757105326009</v>
      </c>
      <c r="T11" s="1428">
        <f t="shared" si="2"/>
        <v>481</v>
      </c>
      <c r="U11" s="1437">
        <f t="shared" si="3"/>
        <v>0.33006926200143294</v>
      </c>
      <c r="V11" s="1438">
        <f t="shared" si="4"/>
        <v>150.99799999999999</v>
      </c>
      <c r="W11" s="1428">
        <f t="shared" si="5"/>
        <v>-4.0000000000048885E-3</v>
      </c>
      <c r="X11" s="1428">
        <f t="shared" si="6"/>
        <v>0</v>
      </c>
      <c r="Y11" s="1428">
        <f t="shared" si="7"/>
        <v>0</v>
      </c>
      <c r="Z11" s="1428">
        <f t="shared" si="8"/>
        <v>0</v>
      </c>
      <c r="AA11" s="1428" t="b">
        <v>0</v>
      </c>
      <c r="AB11" s="1439">
        <v>0</v>
      </c>
      <c r="AC11" s="1439">
        <v>2.516</v>
      </c>
      <c r="AD11" s="1439">
        <v>1118.806</v>
      </c>
      <c r="AE11" s="1439">
        <v>1.3819999999999999</v>
      </c>
      <c r="AF11" s="1439">
        <v>66.11</v>
      </c>
      <c r="AG11" s="1439">
        <v>-17.78</v>
      </c>
      <c r="AH11" s="1439">
        <v>0</v>
      </c>
      <c r="AI11" s="1439">
        <v>0</v>
      </c>
      <c r="AJ11" s="1439">
        <v>0</v>
      </c>
    </row>
    <row r="12" spans="2:36" ht="20.100000000000001" customHeight="1">
      <c r="B12" s="1432"/>
      <c r="C12" s="1358"/>
      <c r="D12" s="1359"/>
      <c r="E12" s="1359"/>
      <c r="F12" s="1449"/>
      <c r="G12" s="1433"/>
      <c r="H12" s="1027"/>
      <c r="I12" s="1027"/>
      <c r="J12" s="1027"/>
      <c r="K12" s="2065">
        <f>VALUE(K8)</f>
        <v>0</v>
      </c>
      <c r="N12" s="1428">
        <v>48</v>
      </c>
      <c r="O12" s="1428" t="s">
        <v>921</v>
      </c>
      <c r="P12" s="1428" t="s">
        <v>800</v>
      </c>
      <c r="R12" s="1428">
        <f t="shared" si="0"/>
        <v>0</v>
      </c>
      <c r="S12" s="1437">
        <f t="shared" si="1"/>
        <v>0.42297587771674222</v>
      </c>
      <c r="T12" s="1428">
        <f t="shared" si="2"/>
        <v>170</v>
      </c>
      <c r="U12" s="1437">
        <f t="shared" si="3"/>
        <v>0.33006926200143294</v>
      </c>
      <c r="V12" s="1438">
        <f t="shared" si="4"/>
        <v>176</v>
      </c>
      <c r="W12" s="1428">
        <f t="shared" si="5"/>
        <v>-4.0000000000048885E-3</v>
      </c>
      <c r="X12" s="1428">
        <f t="shared" si="6"/>
        <v>0</v>
      </c>
      <c r="Y12" s="1428">
        <f t="shared" si="7"/>
        <v>0</v>
      </c>
      <c r="Z12" s="1428">
        <f t="shared" si="8"/>
        <v>0</v>
      </c>
      <c r="AA12" s="1428" t="b">
        <v>0</v>
      </c>
      <c r="AB12" s="1439">
        <v>0</v>
      </c>
      <c r="AC12" s="1439">
        <v>1.7709999999999999</v>
      </c>
      <c r="AD12" s="1439">
        <v>395.42</v>
      </c>
      <c r="AE12" s="1439">
        <v>1.3819999999999999</v>
      </c>
      <c r="AF12" s="1439">
        <v>80</v>
      </c>
      <c r="AG12" s="1439">
        <v>-17.78</v>
      </c>
      <c r="AH12" s="1439">
        <v>0</v>
      </c>
      <c r="AI12" s="1439">
        <v>0</v>
      </c>
      <c r="AJ12" s="1439">
        <v>0</v>
      </c>
    </row>
    <row r="13" spans="2:36" ht="20.100000000000001" customHeight="1">
      <c r="B13" s="1432"/>
      <c r="C13" s="1170" t="s">
        <v>501</v>
      </c>
      <c r="D13" s="1351" t="s">
        <v>1341</v>
      </c>
      <c r="E13" s="930"/>
      <c r="F13" s="928"/>
      <c r="G13" s="1450"/>
      <c r="H13" s="1451"/>
      <c r="I13" s="1452">
        <f>E13*L21</f>
        <v>0</v>
      </c>
      <c r="J13" s="1027">
        <f>F13*L21</f>
        <v>0</v>
      </c>
      <c r="K13" s="2065">
        <f t="shared" ref="K13:K15" si="9">VALUE(K9)</f>
        <v>0</v>
      </c>
      <c r="N13" s="1428">
        <v>49</v>
      </c>
      <c r="O13" s="1428" t="s">
        <v>922</v>
      </c>
      <c r="P13" s="1428" t="s">
        <v>800</v>
      </c>
      <c r="R13" s="1428">
        <f t="shared" si="0"/>
        <v>0</v>
      </c>
      <c r="S13" s="1437">
        <f t="shared" si="1"/>
        <v>0.10699785048961069</v>
      </c>
      <c r="T13" s="1428">
        <f t="shared" si="2"/>
        <v>82</v>
      </c>
      <c r="U13" s="1437">
        <f t="shared" si="3"/>
        <v>5.493193217100549E-2</v>
      </c>
      <c r="V13" s="1438">
        <f t="shared" si="4"/>
        <v>141.99799999999999</v>
      </c>
      <c r="W13" s="1428">
        <f t="shared" si="5"/>
        <v>-4.0000000000048885E-3</v>
      </c>
      <c r="X13" s="1428">
        <f t="shared" si="6"/>
        <v>0</v>
      </c>
      <c r="Y13" s="1428">
        <f t="shared" si="7"/>
        <v>0</v>
      </c>
      <c r="Z13" s="1428">
        <f t="shared" si="8"/>
        <v>0</v>
      </c>
      <c r="AA13" s="1428" t="b">
        <v>0</v>
      </c>
      <c r="AB13" s="1439">
        <v>0</v>
      </c>
      <c r="AC13" s="1439">
        <v>0.44800000000000001</v>
      </c>
      <c r="AD13" s="1439">
        <v>190.732</v>
      </c>
      <c r="AE13" s="1439">
        <v>0.23</v>
      </c>
      <c r="AF13" s="1439">
        <v>61.11</v>
      </c>
      <c r="AG13" s="1439">
        <v>-17.78</v>
      </c>
      <c r="AH13" s="1439">
        <v>0</v>
      </c>
      <c r="AI13" s="1439">
        <v>0</v>
      </c>
      <c r="AJ13" s="1439">
        <v>0</v>
      </c>
    </row>
    <row r="14" spans="2:36" ht="20.100000000000001" customHeight="1">
      <c r="B14" s="1432"/>
      <c r="C14" s="1170" t="s">
        <v>503</v>
      </c>
      <c r="D14" s="1351" t="s">
        <v>1175</v>
      </c>
      <c r="E14" s="930"/>
      <c r="F14" s="928"/>
      <c r="G14" s="1433"/>
      <c r="H14" s="1027"/>
      <c r="I14" s="1027"/>
      <c r="J14" s="1027"/>
      <c r="K14" s="2065">
        <f t="shared" si="9"/>
        <v>0</v>
      </c>
      <c r="N14" s="1428">
        <v>50</v>
      </c>
      <c r="O14" s="1428" t="s">
        <v>923</v>
      </c>
      <c r="P14" s="1428" t="s">
        <v>800</v>
      </c>
      <c r="R14" s="1428">
        <f t="shared" si="0"/>
        <v>0</v>
      </c>
      <c r="S14" s="1437">
        <f t="shared" si="1"/>
        <v>0.21495103893002149</v>
      </c>
      <c r="T14" s="1428">
        <f t="shared" si="2"/>
        <v>83.5</v>
      </c>
      <c r="U14" s="1437">
        <f t="shared" si="3"/>
        <v>0.25005970862192495</v>
      </c>
      <c r="V14" s="1438">
        <f t="shared" si="4"/>
        <v>170.006</v>
      </c>
      <c r="W14" s="1428">
        <f t="shared" si="5"/>
        <v>-4.0000000000048885E-3</v>
      </c>
      <c r="X14" s="1428">
        <f t="shared" si="6"/>
        <v>0</v>
      </c>
      <c r="Y14" s="1428">
        <f t="shared" si="7"/>
        <v>0</v>
      </c>
      <c r="Z14" s="1428">
        <f t="shared" si="8"/>
        <v>0</v>
      </c>
      <c r="AA14" s="1428" t="b">
        <v>0</v>
      </c>
      <c r="AB14" s="1439">
        <v>0</v>
      </c>
      <c r="AC14" s="1439">
        <v>0.9</v>
      </c>
      <c r="AD14" s="1439">
        <v>194.221</v>
      </c>
      <c r="AE14" s="1439">
        <v>1.0469999999999999</v>
      </c>
      <c r="AF14" s="1439">
        <v>76.67</v>
      </c>
      <c r="AG14" s="1439">
        <v>-17.78</v>
      </c>
      <c r="AH14" s="1439">
        <v>0</v>
      </c>
      <c r="AI14" s="1439">
        <v>0</v>
      </c>
      <c r="AJ14" s="1439">
        <v>0</v>
      </c>
    </row>
    <row r="15" spans="2:36" ht="20.100000000000001" customHeight="1">
      <c r="B15" s="1432"/>
      <c r="C15" s="1170" t="s">
        <v>502</v>
      </c>
      <c r="D15" s="1351" t="s">
        <v>1175</v>
      </c>
      <c r="E15" s="930"/>
      <c r="F15" s="928"/>
      <c r="G15" s="2531" t="str">
        <f>IF(OR(AND(E15&lt;E9,E16&gt;0), AND(F15&lt;F9,F16&gt;0)), $I$22, IF(OR(AND(E15&gt;E9,E16&lt;=0),AND(F15&gt;F9,F16&lt;=0)),$I$16,""))</f>
        <v/>
      </c>
      <c r="H15" s="2532"/>
      <c r="I15" s="1027"/>
      <c r="J15" s="1027"/>
      <c r="K15" s="2065">
        <f t="shared" si="9"/>
        <v>0</v>
      </c>
      <c r="N15" s="1428">
        <v>51</v>
      </c>
      <c r="O15" s="1428" t="s">
        <v>924</v>
      </c>
      <c r="P15" s="1428" t="s">
        <v>800</v>
      </c>
      <c r="R15" s="1428">
        <f t="shared" si="0"/>
        <v>0</v>
      </c>
      <c r="S15" s="1437">
        <f t="shared" si="1"/>
        <v>0.57009792213995703</v>
      </c>
      <c r="T15" s="1428">
        <f t="shared" si="2"/>
        <v>104.99999999999999</v>
      </c>
      <c r="U15" s="1437">
        <f t="shared" si="3"/>
        <v>0.55003582517315497</v>
      </c>
      <c r="V15" s="1438">
        <f t="shared" si="4"/>
        <v>375.00800000000004</v>
      </c>
      <c r="W15" s="1428">
        <f t="shared" si="5"/>
        <v>-4.0000000000048885E-3</v>
      </c>
      <c r="X15" s="1428">
        <f t="shared" si="6"/>
        <v>0</v>
      </c>
      <c r="Y15" s="1428">
        <f t="shared" si="7"/>
        <v>0</v>
      </c>
      <c r="Z15" s="1428">
        <f t="shared" si="8"/>
        <v>0</v>
      </c>
      <c r="AA15" s="1428" t="b">
        <v>0</v>
      </c>
      <c r="AB15" s="1439">
        <v>0</v>
      </c>
      <c r="AC15" s="1439">
        <v>2.387</v>
      </c>
      <c r="AD15" s="1439">
        <v>244.23</v>
      </c>
      <c r="AE15" s="1439">
        <v>2.3029999999999999</v>
      </c>
      <c r="AF15" s="1439">
        <v>190.56</v>
      </c>
      <c r="AG15" s="1439">
        <v>-17.78</v>
      </c>
      <c r="AH15" s="1439">
        <v>0</v>
      </c>
      <c r="AI15" s="1439">
        <v>0</v>
      </c>
      <c r="AJ15" s="1439">
        <v>0</v>
      </c>
    </row>
    <row r="16" spans="2:36" ht="20.100000000000001" customHeight="1">
      <c r="B16" s="1432"/>
      <c r="C16" s="1170" t="s">
        <v>504</v>
      </c>
      <c r="D16" s="1351" t="s">
        <v>1116</v>
      </c>
      <c r="E16" s="932"/>
      <c r="F16" s="929"/>
      <c r="G16" s="2531"/>
      <c r="H16" s="2532"/>
      <c r="I16" s="1453" t="s">
        <v>19</v>
      </c>
      <c r="J16" s="1027"/>
      <c r="K16" s="2065"/>
      <c r="N16" s="1428">
        <v>52</v>
      </c>
      <c r="O16" s="1428" t="s">
        <v>925</v>
      </c>
      <c r="P16" s="1428" t="s">
        <v>800</v>
      </c>
      <c r="R16" s="1428">
        <f t="shared" si="0"/>
        <v>0</v>
      </c>
      <c r="S16" s="1437">
        <f t="shared" si="1"/>
        <v>0.57989013613565799</v>
      </c>
      <c r="T16" s="1428">
        <f t="shared" si="2"/>
        <v>108</v>
      </c>
      <c r="U16" s="1437">
        <f t="shared" si="3"/>
        <v>0.55003582517315497</v>
      </c>
      <c r="V16" s="1438">
        <f t="shared" si="4"/>
        <v>600.00800000000004</v>
      </c>
      <c r="W16" s="1428">
        <f t="shared" si="5"/>
        <v>-4.0000000000048885E-3</v>
      </c>
      <c r="X16" s="1428">
        <f t="shared" si="6"/>
        <v>0</v>
      </c>
      <c r="Y16" s="1428">
        <f t="shared" si="7"/>
        <v>0</v>
      </c>
      <c r="Z16" s="1428">
        <f t="shared" si="8"/>
        <v>0</v>
      </c>
      <c r="AA16" s="1428" t="b">
        <v>0</v>
      </c>
      <c r="AB16" s="1439">
        <v>0</v>
      </c>
      <c r="AC16" s="1439">
        <v>2.4279999999999999</v>
      </c>
      <c r="AD16" s="1439">
        <v>251.208</v>
      </c>
      <c r="AE16" s="1439">
        <v>2.3029999999999999</v>
      </c>
      <c r="AF16" s="1439">
        <v>315.56</v>
      </c>
      <c r="AG16" s="1439">
        <v>-17.78</v>
      </c>
      <c r="AH16" s="1439">
        <v>0</v>
      </c>
      <c r="AI16" s="1439">
        <v>0</v>
      </c>
      <c r="AJ16" s="1439">
        <v>0</v>
      </c>
    </row>
    <row r="17" spans="2:36" ht="20.100000000000001" customHeight="1">
      <c r="B17" s="1432"/>
      <c r="C17" s="1170" t="s">
        <v>801</v>
      </c>
      <c r="D17" s="1351" t="s">
        <v>1116</v>
      </c>
      <c r="E17" s="931"/>
      <c r="F17" s="927"/>
      <c r="G17" s="2531"/>
      <c r="H17" s="2532"/>
      <c r="I17" s="1454"/>
      <c r="J17" s="1027"/>
      <c r="K17" s="2063"/>
      <c r="N17" s="1428">
        <v>53</v>
      </c>
      <c r="O17" s="1428" t="s">
        <v>926</v>
      </c>
      <c r="P17" s="1428" t="s">
        <v>800</v>
      </c>
      <c r="R17" s="1428">
        <f t="shared" si="0"/>
        <v>0</v>
      </c>
      <c r="S17" s="1437">
        <f t="shared" si="1"/>
        <v>0.57009792213995703</v>
      </c>
      <c r="T17" s="1428">
        <f t="shared" si="2"/>
        <v>260</v>
      </c>
      <c r="U17" s="1437">
        <f t="shared" si="3"/>
        <v>0.62001433006926199</v>
      </c>
      <c r="V17" s="1438">
        <f t="shared" si="4"/>
        <v>260.00599999999997</v>
      </c>
      <c r="W17" s="1428">
        <f t="shared" si="5"/>
        <v>-4.0000000000048885E-3</v>
      </c>
      <c r="X17" s="1428">
        <f t="shared" si="6"/>
        <v>0</v>
      </c>
      <c r="Y17" s="1428">
        <f t="shared" si="7"/>
        <v>0</v>
      </c>
      <c r="Z17" s="1428">
        <f t="shared" si="8"/>
        <v>0</v>
      </c>
      <c r="AA17" s="1428" t="b">
        <v>0</v>
      </c>
      <c r="AB17" s="1439">
        <v>0</v>
      </c>
      <c r="AC17" s="1439">
        <v>2.387</v>
      </c>
      <c r="AD17" s="1439">
        <v>604.76</v>
      </c>
      <c r="AE17" s="1439">
        <v>2.5960000000000001</v>
      </c>
      <c r="AF17" s="1439">
        <v>126.67</v>
      </c>
      <c r="AG17" s="1439">
        <v>-17.78</v>
      </c>
      <c r="AH17" s="1439">
        <v>0</v>
      </c>
      <c r="AI17" s="1439">
        <v>0</v>
      </c>
      <c r="AJ17" s="1439">
        <v>0</v>
      </c>
    </row>
    <row r="18" spans="2:36" ht="20.100000000000001" customHeight="1">
      <c r="B18" s="1432"/>
      <c r="C18" s="1170" t="s">
        <v>505</v>
      </c>
      <c r="D18" s="1351" t="s">
        <v>1347</v>
      </c>
      <c r="E18" s="930"/>
      <c r="F18" s="928"/>
      <c r="G18" s="2531"/>
      <c r="H18" s="2532"/>
      <c r="I18" s="1446"/>
      <c r="J18" s="1027"/>
      <c r="K18" s="2063"/>
      <c r="N18" s="1428">
        <v>54</v>
      </c>
      <c r="O18" s="1428" t="s">
        <v>927</v>
      </c>
      <c r="P18" s="1428" t="s">
        <v>800</v>
      </c>
      <c r="R18" s="1428">
        <f t="shared" si="0"/>
        <v>0</v>
      </c>
      <c r="S18" s="1428">
        <f t="shared" si="1"/>
        <v>0</v>
      </c>
      <c r="T18" s="1428">
        <f t="shared" si="2"/>
        <v>0</v>
      </c>
      <c r="U18" s="1428">
        <f t="shared" si="3"/>
        <v>0</v>
      </c>
      <c r="V18" s="1428">
        <f t="shared" si="4"/>
        <v>32</v>
      </c>
      <c r="W18" s="1428">
        <f t="shared" si="5"/>
        <v>32</v>
      </c>
      <c r="X18" s="1428">
        <f t="shared" si="6"/>
        <v>0</v>
      </c>
      <c r="Y18" s="1428">
        <f t="shared" si="7"/>
        <v>0</v>
      </c>
      <c r="Z18" s="1428">
        <f t="shared" si="8"/>
        <v>0</v>
      </c>
      <c r="AA18" s="1428" t="b">
        <v>0</v>
      </c>
      <c r="AB18" s="1439"/>
      <c r="AC18" s="1439"/>
      <c r="AD18" s="1439"/>
      <c r="AE18" s="1439"/>
      <c r="AF18" s="1439"/>
      <c r="AG18" s="1439"/>
      <c r="AH18" s="1439"/>
      <c r="AI18" s="1439"/>
      <c r="AJ18" s="1439">
        <v>0</v>
      </c>
    </row>
    <row r="19" spans="2:36" ht="20.100000000000001" customHeight="1">
      <c r="B19" s="1432"/>
      <c r="C19" s="1170" t="s">
        <v>802</v>
      </c>
      <c r="D19" s="1359"/>
      <c r="E19" s="1168" t="s">
        <v>798</v>
      </c>
      <c r="F19" s="1169" t="s">
        <v>798</v>
      </c>
      <c r="G19" s="2531"/>
      <c r="H19" s="2532"/>
      <c r="I19" s="1027"/>
      <c r="J19" s="1027"/>
      <c r="K19" s="2063"/>
      <c r="O19" s="1428" t="s">
        <v>1292</v>
      </c>
    </row>
    <row r="20" spans="2:36" ht="20.100000000000001" customHeight="1" thickBot="1">
      <c r="B20" s="1432"/>
      <c r="C20" s="1366" t="s">
        <v>506</v>
      </c>
      <c r="D20" s="1367" t="s">
        <v>1116</v>
      </c>
      <c r="E20" s="965"/>
      <c r="F20" s="966"/>
      <c r="G20" s="1450"/>
      <c r="H20" s="1455"/>
      <c r="I20" s="1455"/>
      <c r="J20" s="1027"/>
      <c r="K20" s="2063"/>
    </row>
    <row r="21" spans="2:36" ht="20.100000000000001" customHeight="1" thickBot="1">
      <c r="B21" s="1432"/>
      <c r="C21" s="973" t="s">
        <v>753</v>
      </c>
      <c r="D21" s="1368" t="s">
        <v>1173</v>
      </c>
      <c r="E21" s="1369">
        <f>E40</f>
        <v>0</v>
      </c>
      <c r="F21" s="1370">
        <f>F40</f>
        <v>0</v>
      </c>
      <c r="G21" s="1456"/>
      <c r="H21" s="1455"/>
      <c r="I21" s="1457"/>
      <c r="J21" s="1027"/>
      <c r="K21" s="2063"/>
      <c r="L21" s="1428">
        <f>IF('Control page'!$D$12=0,0,1)</f>
        <v>1</v>
      </c>
      <c r="M21" s="1428" t="s">
        <v>3</v>
      </c>
    </row>
    <row r="22" spans="2:36" s="1027" customFormat="1" ht="20.100000000000001" customHeight="1">
      <c r="C22" s="918"/>
      <c r="D22" s="1433"/>
      <c r="E22" s="1433"/>
      <c r="F22" s="1433"/>
      <c r="G22" s="1433"/>
      <c r="I22" s="1433" t="s">
        <v>18</v>
      </c>
      <c r="K22" s="2064"/>
    </row>
    <row r="23" spans="2:36" s="1027" customFormat="1" ht="20.100000000000001" customHeight="1">
      <c r="C23" s="918"/>
      <c r="D23" s="1433"/>
      <c r="E23" s="1433"/>
      <c r="F23" s="1433"/>
      <c r="G23" s="1433"/>
      <c r="I23" s="1458">
        <f>I21*1.055</f>
        <v>0</v>
      </c>
      <c r="K23" s="2064"/>
    </row>
    <row r="24" spans="2:36" s="1027" customFormat="1" ht="20.100000000000001" customHeight="1">
      <c r="C24" s="918"/>
      <c r="D24" s="1433"/>
      <c r="E24" s="1433"/>
      <c r="F24" s="1433"/>
      <c r="G24" s="1433"/>
      <c r="K24" s="2064"/>
    </row>
    <row r="25" spans="2:36" ht="20.100000000000001" hidden="1" customHeight="1">
      <c r="C25" s="1459" t="s">
        <v>1178</v>
      </c>
      <c r="D25" s="1460"/>
    </row>
    <row r="26" spans="2:36" s="1027" customFormat="1" ht="20.100000000000001" hidden="1" customHeight="1">
      <c r="C26" s="918" t="s">
        <v>803</v>
      </c>
      <c r="D26" s="1433"/>
      <c r="E26" s="1461">
        <f>E13*E16</f>
        <v>0</v>
      </c>
      <c r="F26" s="1461">
        <f>F13*F16</f>
        <v>0</v>
      </c>
      <c r="G26" s="1461"/>
      <c r="H26" s="1027" t="s">
        <v>1395</v>
      </c>
      <c r="K26" s="2064"/>
    </row>
    <row r="27" spans="2:36" ht="20.100000000000001" hidden="1" customHeight="1">
      <c r="C27" s="1429" t="s">
        <v>804</v>
      </c>
      <c r="E27" s="1461">
        <f>E13-E26</f>
        <v>0</v>
      </c>
      <c r="F27" s="1461">
        <f>F13-F26</f>
        <v>0</v>
      </c>
      <c r="G27" s="1461"/>
      <c r="H27" s="1027" t="s">
        <v>1395</v>
      </c>
    </row>
    <row r="28" spans="2:36" ht="20.100000000000001" hidden="1" customHeight="1">
      <c r="E28" s="1461"/>
      <c r="F28" s="1461"/>
      <c r="G28" s="1461"/>
    </row>
    <row r="29" spans="2:36" ht="20.100000000000001" hidden="1" customHeight="1">
      <c r="C29" s="1429" t="s">
        <v>805</v>
      </c>
      <c r="E29" s="1461"/>
      <c r="F29" s="1461"/>
      <c r="G29" s="1461"/>
    </row>
    <row r="30" spans="2:36" ht="20.100000000000001" hidden="1" customHeight="1">
      <c r="C30" s="1429" t="s">
        <v>806</v>
      </c>
      <c r="E30" s="1461">
        <f>E26*E8*(E9-E14)</f>
        <v>0</v>
      </c>
      <c r="F30" s="1461">
        <f>F26*F8*(F9-F14)</f>
        <v>0</v>
      </c>
      <c r="G30" s="1461"/>
      <c r="H30" s="1428" t="s">
        <v>1173</v>
      </c>
    </row>
    <row r="31" spans="2:36" ht="20.100000000000001" hidden="1" customHeight="1">
      <c r="C31" s="1429" t="s">
        <v>807</v>
      </c>
      <c r="E31" s="1461">
        <f>IF(E15&gt;E9,E26*E10,0)</f>
        <v>0</v>
      </c>
      <c r="F31" s="1461">
        <f>IF(F15&gt;F9,F26*F10,0)</f>
        <v>0</v>
      </c>
      <c r="G31" s="1461"/>
      <c r="H31" s="1428" t="s">
        <v>1173</v>
      </c>
    </row>
    <row r="32" spans="2:36" ht="20.100000000000001" hidden="1" customHeight="1">
      <c r="C32" s="1429" t="s">
        <v>808</v>
      </c>
      <c r="E32" s="1461">
        <f>IF(E15&gt;E9, E11*E26*(E15-E9), 0)</f>
        <v>0</v>
      </c>
      <c r="F32" s="1461">
        <f>IF(F15&gt;F9, F11*F26*(F15-F9), 0)</f>
        <v>0</v>
      </c>
      <c r="G32" s="1461"/>
      <c r="H32" s="1428" t="s">
        <v>1173</v>
      </c>
    </row>
    <row r="33" spans="3:12" ht="20.100000000000001" hidden="1" customHeight="1">
      <c r="C33" s="1462" t="s">
        <v>809</v>
      </c>
      <c r="D33" s="1463"/>
      <c r="E33" s="1464">
        <f>SUM(E30:E32)</f>
        <v>0</v>
      </c>
      <c r="F33" s="1464">
        <f>SUM(F30:F32)</f>
        <v>0</v>
      </c>
      <c r="G33" s="1465"/>
      <c r="H33" s="1428" t="s">
        <v>1173</v>
      </c>
    </row>
    <row r="34" spans="3:12" ht="20.100000000000001" hidden="1" customHeight="1">
      <c r="E34" s="1461"/>
      <c r="F34" s="1461"/>
      <c r="G34" s="1461"/>
    </row>
    <row r="35" spans="3:12" ht="20.100000000000001" hidden="1" customHeight="1">
      <c r="C35" s="1429" t="s">
        <v>810</v>
      </c>
      <c r="E35" s="1461"/>
      <c r="F35" s="1461"/>
      <c r="G35" s="1461"/>
    </row>
    <row r="36" spans="3:12" ht="20.100000000000001" hidden="1" customHeight="1">
      <c r="C36" s="1429" t="s">
        <v>811</v>
      </c>
      <c r="E36" s="1461">
        <f>E8*E27*(E15-E14)</f>
        <v>0</v>
      </c>
      <c r="F36" s="1461">
        <f>F8*F27*(F15-F14)</f>
        <v>0</v>
      </c>
      <c r="G36" s="1461"/>
      <c r="H36" s="1428" t="s">
        <v>1173</v>
      </c>
    </row>
    <row r="37" spans="3:12" ht="20.100000000000001" hidden="1" customHeight="1">
      <c r="C37" s="1429" t="s">
        <v>812</v>
      </c>
      <c r="E37" s="1461">
        <f>IF(E19="Endothermic",1,-1)*E17*E13*E18</f>
        <v>0</v>
      </c>
      <c r="F37" s="1461">
        <f>IF(F19="Endothermic",1,-1)*F17*F13*F18</f>
        <v>0</v>
      </c>
      <c r="G37" s="1461"/>
      <c r="H37" s="1428" t="s">
        <v>1173</v>
      </c>
      <c r="K37" s="2066">
        <f>IF(E37&lt;0,-1,0)*E37*L21</f>
        <v>0</v>
      </c>
      <c r="L37" s="1466">
        <f>IF(F37&lt;0,-1,0)*F37*L21</f>
        <v>0</v>
      </c>
    </row>
    <row r="38" spans="3:12" ht="20.100000000000001" hidden="1" customHeight="1">
      <c r="C38" s="1462" t="s">
        <v>813</v>
      </c>
      <c r="D38" s="1463"/>
      <c r="E38" s="1464">
        <f>E36+(IF(E19="Endothermic",E37,0))</f>
        <v>0</v>
      </c>
      <c r="F38" s="1464">
        <f>F36+(IF(F19="Endothermic",F37,0))</f>
        <v>0</v>
      </c>
      <c r="G38" s="1465"/>
      <c r="H38" s="1428" t="s">
        <v>1173</v>
      </c>
    </row>
    <row r="39" spans="3:12" ht="20.100000000000001" hidden="1" customHeight="1">
      <c r="E39" s="1461"/>
      <c r="F39" s="1461"/>
      <c r="G39" s="1461"/>
    </row>
    <row r="40" spans="3:12" ht="20.100000000000001" hidden="1" customHeight="1">
      <c r="C40" s="1462" t="s">
        <v>814</v>
      </c>
      <c r="D40" s="1463"/>
      <c r="E40" s="1464">
        <f>E33+E38+E20</f>
        <v>0</v>
      </c>
      <c r="F40" s="1464">
        <f>F33+F38+F20</f>
        <v>0</v>
      </c>
      <c r="G40" s="1465"/>
      <c r="H40" s="1428" t="s">
        <v>1173</v>
      </c>
    </row>
    <row r="41" spans="3:12" ht="20.100000000000001" customHeight="1"/>
    <row r="42" spans="3:12" s="1436" customFormat="1" ht="20.100000000000001" customHeight="1" thickBot="1">
      <c r="C42" s="1467"/>
      <c r="K42" s="2067"/>
    </row>
    <row r="43" spans="3:12" s="1436" customFormat="1" ht="43.5" customHeight="1">
      <c r="C43" s="2511" t="s">
        <v>20</v>
      </c>
      <c r="D43" s="2512"/>
      <c r="E43" s="1337" t="s">
        <v>1114</v>
      </c>
      <c r="F43" s="1338" t="s">
        <v>1119</v>
      </c>
      <c r="K43" s="2067"/>
    </row>
    <row r="44" spans="3:12" s="1436" customFormat="1" ht="20.100000000000001" customHeight="1">
      <c r="C44" s="2513" t="s">
        <v>800</v>
      </c>
      <c r="D44" s="2514"/>
      <c r="E44" s="1000"/>
      <c r="F44" s="1434"/>
      <c r="K44" s="2067"/>
    </row>
    <row r="45" spans="3:12" s="1436" customFormat="1" ht="30" customHeight="1">
      <c r="C45" s="2503" t="s">
        <v>1602</v>
      </c>
      <c r="D45" s="2504"/>
      <c r="E45" s="2012" t="s">
        <v>920</v>
      </c>
      <c r="F45" s="2014" t="str">
        <f>E45</f>
        <v>Alcohol - methyl</v>
      </c>
      <c r="K45" s="2067"/>
    </row>
    <row r="46" spans="3:12" s="1436" customFormat="1" ht="20.100000000000001" customHeight="1">
      <c r="C46" s="2503"/>
      <c r="D46" s="2504"/>
      <c r="E46" s="2033"/>
      <c r="F46" s="2034"/>
      <c r="K46" s="2064" t="s">
        <v>490</v>
      </c>
    </row>
    <row r="47" spans="3:12" s="1436" customFormat="1" ht="20.100000000000001" customHeight="1">
      <c r="C47" s="1170" t="s">
        <v>497</v>
      </c>
      <c r="D47" s="1351" t="s">
        <v>1346</v>
      </c>
      <c r="E47" s="1440">
        <f>IF(E45="Other",K51,VLOOKUP(E45,$O$5:$AA$44,5,))</f>
        <v>0.60090757105326009</v>
      </c>
      <c r="F47" s="1441">
        <f>E47</f>
        <v>0.60090757105326009</v>
      </c>
      <c r="K47" s="2085">
        <v>0</v>
      </c>
    </row>
    <row r="48" spans="3:12" s="1436" customFormat="1" ht="20.100000000000001" customHeight="1">
      <c r="C48" s="1170" t="s">
        <v>498</v>
      </c>
      <c r="D48" s="1351" t="s">
        <v>946</v>
      </c>
      <c r="E48" s="1444">
        <f>IF(E45="Other",K52,VLOOKUP(E45,$O$5:$AA$44,8,))</f>
        <v>150.99799999999999</v>
      </c>
      <c r="F48" s="1445">
        <f>E48</f>
        <v>150.99799999999999</v>
      </c>
      <c r="K48" s="2085">
        <v>0</v>
      </c>
    </row>
    <row r="49" spans="3:13" s="1436" customFormat="1" ht="20.100000000000001" customHeight="1">
      <c r="C49" s="1170" t="s">
        <v>499</v>
      </c>
      <c r="D49" s="1351" t="s">
        <v>1347</v>
      </c>
      <c r="E49" s="1447">
        <f>IF(E45="Other",K53,VLOOKUP(E45,$O$5:$AA$44,6,))</f>
        <v>481</v>
      </c>
      <c r="F49" s="1448">
        <f>E49</f>
        <v>481</v>
      </c>
      <c r="K49" s="2085">
        <v>0</v>
      </c>
    </row>
    <row r="50" spans="3:13" ht="20.100000000000001" customHeight="1">
      <c r="C50" s="1170" t="s">
        <v>500</v>
      </c>
      <c r="D50" s="1351" t="s">
        <v>1346</v>
      </c>
      <c r="E50" s="1440">
        <f>IF(E45="Other",K54,VLOOKUP(E45,$O$5:$AA$44,7,))</f>
        <v>0.33006926200143294</v>
      </c>
      <c r="F50" s="1441">
        <f>E50</f>
        <v>0.33006926200143294</v>
      </c>
      <c r="K50" s="2085">
        <v>0</v>
      </c>
    </row>
    <row r="51" spans="3:13" ht="20.100000000000001" customHeight="1">
      <c r="C51" s="1358"/>
      <c r="D51" s="1359"/>
      <c r="E51" s="1359"/>
      <c r="F51" s="1449"/>
      <c r="K51" s="2061">
        <f>VALUE(K47)</f>
        <v>0</v>
      </c>
    </row>
    <row r="52" spans="3:13" ht="20.100000000000001" customHeight="1">
      <c r="C52" s="1170" t="s">
        <v>501</v>
      </c>
      <c r="D52" s="1351" t="s">
        <v>1341</v>
      </c>
      <c r="E52" s="930"/>
      <c r="F52" s="928"/>
      <c r="I52" s="1452">
        <f>E52*L60</f>
        <v>0</v>
      </c>
      <c r="J52" s="1027">
        <f>F52*L60</f>
        <v>0</v>
      </c>
      <c r="K52" s="2061">
        <f t="shared" ref="K52:K54" si="10">VALUE(K48)</f>
        <v>0</v>
      </c>
    </row>
    <row r="53" spans="3:13" ht="20.100000000000001" customHeight="1">
      <c r="C53" s="1170" t="s">
        <v>503</v>
      </c>
      <c r="D53" s="1351" t="s">
        <v>1175</v>
      </c>
      <c r="E53" s="930"/>
      <c r="F53" s="928"/>
      <c r="K53" s="2061">
        <f t="shared" si="10"/>
        <v>0</v>
      </c>
    </row>
    <row r="54" spans="3:13" ht="20.100000000000001" customHeight="1">
      <c r="C54" s="1170" t="s">
        <v>502</v>
      </c>
      <c r="D54" s="1351" t="s">
        <v>1175</v>
      </c>
      <c r="E54" s="930"/>
      <c r="F54" s="928"/>
      <c r="G54" s="2531" t="str">
        <f>IF(OR(AND(E54&lt;E48,E55&gt;0), AND(F54&lt;F48,F55&gt;0)), $I$22, IF(OR(AND(E54&gt;E48,E55&lt;=0),AND(F54&gt;F48,F55&lt;=0)),$I$16,""))</f>
        <v/>
      </c>
      <c r="H54" s="2532"/>
      <c r="K54" s="2061">
        <f t="shared" si="10"/>
        <v>0</v>
      </c>
    </row>
    <row r="55" spans="3:13" ht="20.100000000000001" customHeight="1">
      <c r="C55" s="1170" t="s">
        <v>504</v>
      </c>
      <c r="D55" s="1351" t="s">
        <v>1116</v>
      </c>
      <c r="E55" s="932"/>
      <c r="F55" s="929"/>
      <c r="G55" s="2531"/>
      <c r="H55" s="2532"/>
    </row>
    <row r="56" spans="3:13" ht="20.100000000000001" customHeight="1">
      <c r="C56" s="1170" t="s">
        <v>801</v>
      </c>
      <c r="D56" s="1351" t="s">
        <v>1116</v>
      </c>
      <c r="E56" s="931"/>
      <c r="F56" s="927"/>
      <c r="G56" s="2531"/>
      <c r="H56" s="2532"/>
    </row>
    <row r="57" spans="3:13" ht="20.100000000000001" customHeight="1">
      <c r="C57" s="1170" t="s">
        <v>505</v>
      </c>
      <c r="D57" s="1351" t="s">
        <v>1347</v>
      </c>
      <c r="E57" s="930"/>
      <c r="F57" s="928"/>
      <c r="G57" s="2531"/>
      <c r="H57" s="2532"/>
    </row>
    <row r="58" spans="3:13" ht="20.100000000000001" customHeight="1">
      <c r="C58" s="1170" t="s">
        <v>802</v>
      </c>
      <c r="D58" s="1359"/>
      <c r="E58" s="1168" t="s">
        <v>799</v>
      </c>
      <c r="F58" s="1169" t="s">
        <v>799</v>
      </c>
      <c r="G58" s="2531"/>
      <c r="H58" s="2532"/>
    </row>
    <row r="59" spans="3:13" ht="20.100000000000001" customHeight="1" thickBot="1">
      <c r="C59" s="1366" t="s">
        <v>506</v>
      </c>
      <c r="D59" s="1367" t="s">
        <v>1116</v>
      </c>
      <c r="E59" s="965"/>
      <c r="F59" s="966"/>
    </row>
    <row r="60" spans="3:13" ht="20.100000000000001" customHeight="1" thickBot="1">
      <c r="C60" s="973" t="s">
        <v>754</v>
      </c>
      <c r="D60" s="1368" t="s">
        <v>1173</v>
      </c>
      <c r="E60" s="1369">
        <f>E79</f>
        <v>0</v>
      </c>
      <c r="F60" s="1370">
        <f>F79</f>
        <v>0</v>
      </c>
      <c r="L60" s="1428">
        <f>IF('Control page'!$D$12&gt;1,1,0)</f>
        <v>1</v>
      </c>
      <c r="M60" s="1428" t="s">
        <v>3</v>
      </c>
    </row>
    <row r="61" spans="3:13" ht="20.100000000000001" customHeight="1">
      <c r="C61" s="918"/>
      <c r="D61" s="1433"/>
      <c r="E61" s="1433"/>
      <c r="F61" s="1433"/>
    </row>
    <row r="62" spans="3:13" ht="20.100000000000001" customHeight="1">
      <c r="C62" s="918"/>
      <c r="D62" s="1433"/>
      <c r="E62" s="1433"/>
      <c r="F62" s="1433"/>
    </row>
    <row r="63" spans="3:13" ht="20.100000000000001" customHeight="1">
      <c r="C63" s="918"/>
      <c r="D63" s="1433"/>
      <c r="E63" s="1433"/>
      <c r="F63" s="1433"/>
    </row>
    <row r="64" spans="3:13" ht="20.100000000000001" hidden="1" customHeight="1">
      <c r="C64" s="1459" t="s">
        <v>1178</v>
      </c>
      <c r="D64" s="1460"/>
    </row>
    <row r="65" spans="3:12" ht="20.100000000000001" hidden="1" customHeight="1">
      <c r="C65" s="918" t="s">
        <v>803</v>
      </c>
      <c r="D65" s="1433"/>
      <c r="E65" s="1461">
        <f>E52*E55</f>
        <v>0</v>
      </c>
      <c r="F65" s="1461">
        <f>F52*F55</f>
        <v>0</v>
      </c>
      <c r="H65" s="1027" t="s">
        <v>1395</v>
      </c>
    </row>
    <row r="66" spans="3:12" ht="20.100000000000001" hidden="1" customHeight="1">
      <c r="C66" s="1429" t="s">
        <v>804</v>
      </c>
      <c r="E66" s="1461">
        <f>E52-E65</f>
        <v>0</v>
      </c>
      <c r="F66" s="1461">
        <f>F52-F65</f>
        <v>0</v>
      </c>
      <c r="H66" s="1027" t="s">
        <v>1395</v>
      </c>
    </row>
    <row r="67" spans="3:12" ht="20.100000000000001" hidden="1" customHeight="1">
      <c r="E67" s="1461"/>
      <c r="F67" s="1461"/>
    </row>
    <row r="68" spans="3:12" ht="20.100000000000001" hidden="1" customHeight="1">
      <c r="C68" s="1429" t="s">
        <v>805</v>
      </c>
      <c r="E68" s="1461"/>
      <c r="F68" s="1461"/>
    </row>
    <row r="69" spans="3:12" ht="20.100000000000001" hidden="1" customHeight="1">
      <c r="C69" s="1429" t="s">
        <v>806</v>
      </c>
      <c r="E69" s="1461">
        <f>E65*E47*(E48-E53)</f>
        <v>0</v>
      </c>
      <c r="F69" s="1461">
        <f>F65*F47*(F48-F53)</f>
        <v>0</v>
      </c>
      <c r="H69" s="1428" t="s">
        <v>1173</v>
      </c>
    </row>
    <row r="70" spans="3:12" ht="20.100000000000001" hidden="1" customHeight="1">
      <c r="C70" s="1429" t="s">
        <v>807</v>
      </c>
      <c r="E70" s="1461">
        <f>IF(E54&gt;E48,E65*E49,0)</f>
        <v>0</v>
      </c>
      <c r="F70" s="1461">
        <f>IF(F54&gt;F48,F65*F49,0)</f>
        <v>0</v>
      </c>
      <c r="H70" s="1428" t="s">
        <v>1173</v>
      </c>
    </row>
    <row r="71" spans="3:12" ht="20.100000000000001" hidden="1" customHeight="1">
      <c r="C71" s="1429" t="s">
        <v>808</v>
      </c>
      <c r="E71" s="1461">
        <f>IF(E54&gt;E48, E50*E65*(E54-E48), 0)</f>
        <v>0</v>
      </c>
      <c r="F71" s="1461">
        <f>IF(F54&gt;F48, F50*F65*(F54-F48), 0)</f>
        <v>0</v>
      </c>
      <c r="H71" s="1428" t="s">
        <v>1173</v>
      </c>
    </row>
    <row r="72" spans="3:12" ht="20.100000000000001" hidden="1" customHeight="1">
      <c r="C72" s="1462" t="s">
        <v>809</v>
      </c>
      <c r="D72" s="1463"/>
      <c r="E72" s="1464">
        <f>SUM(E69:E71)</f>
        <v>0</v>
      </c>
      <c r="F72" s="1464">
        <f>SUM(F69:F71)</f>
        <v>0</v>
      </c>
      <c r="H72" s="1428" t="s">
        <v>1173</v>
      </c>
    </row>
    <row r="73" spans="3:12" ht="20.100000000000001" hidden="1" customHeight="1">
      <c r="E73" s="1461"/>
      <c r="F73" s="1461"/>
    </row>
    <row r="74" spans="3:12" ht="20.100000000000001" hidden="1" customHeight="1">
      <c r="C74" s="1429" t="s">
        <v>810</v>
      </c>
      <c r="E74" s="1461"/>
      <c r="F74" s="1461"/>
    </row>
    <row r="75" spans="3:12" ht="20.100000000000001" hidden="1" customHeight="1">
      <c r="C75" s="1429" t="s">
        <v>811</v>
      </c>
      <c r="E75" s="1461">
        <f>E47*E66*(E54-E53)</f>
        <v>0</v>
      </c>
      <c r="F75" s="1461">
        <f>F47*F66*(F54-F53)</f>
        <v>0</v>
      </c>
      <c r="H75" s="1428" t="s">
        <v>1173</v>
      </c>
    </row>
    <row r="76" spans="3:12" ht="20.100000000000001" hidden="1" customHeight="1">
      <c r="C76" s="1429" t="s">
        <v>812</v>
      </c>
      <c r="E76" s="1461">
        <f>IF(E58="Endothermic",1,-1)*E56*E52*E57</f>
        <v>0</v>
      </c>
      <c r="F76" s="1461">
        <f>IF(F58="Endothermic",1,-1)*F56*F52*F57</f>
        <v>0</v>
      </c>
      <c r="H76" s="1428" t="s">
        <v>1173</v>
      </c>
      <c r="K76" s="2066">
        <f>IF(E76&lt;0,-1,0)*E76*L60</f>
        <v>0</v>
      </c>
      <c r="L76" s="1466">
        <f>IF(F76&lt;0,-1,0)*F76*L60</f>
        <v>0</v>
      </c>
    </row>
    <row r="77" spans="3:12" ht="20.100000000000001" hidden="1" customHeight="1">
      <c r="C77" s="1462" t="s">
        <v>813</v>
      </c>
      <c r="D77" s="1463"/>
      <c r="E77" s="1464">
        <f>E75+(IF(E58="Endothermic",E76,0))</f>
        <v>0</v>
      </c>
      <c r="F77" s="1464">
        <f>F75+(IF(F58="Endothermic",F76,0))</f>
        <v>0</v>
      </c>
      <c r="H77" s="1428" t="s">
        <v>1173</v>
      </c>
    </row>
    <row r="78" spans="3:12" ht="20.100000000000001" hidden="1" customHeight="1">
      <c r="E78" s="1461"/>
      <c r="F78" s="1461"/>
    </row>
    <row r="79" spans="3:12" ht="20.100000000000001" hidden="1" customHeight="1">
      <c r="C79" s="1462" t="s">
        <v>814</v>
      </c>
      <c r="D79" s="1463"/>
      <c r="E79" s="1464">
        <f>E72+E77+E59</f>
        <v>0</v>
      </c>
      <c r="F79" s="1464">
        <f>F72+F77+F59</f>
        <v>0</v>
      </c>
      <c r="H79" s="1428" t="s">
        <v>1173</v>
      </c>
    </row>
    <row r="80" spans="3:12" ht="20.100000000000001" customHeight="1"/>
    <row r="81" spans="3:11" ht="20.100000000000001" customHeight="1" thickBot="1"/>
    <row r="82" spans="3:11" ht="43.5" customHeight="1">
      <c r="C82" s="2511" t="s">
        <v>22</v>
      </c>
      <c r="D82" s="2512"/>
      <c r="E82" s="1337" t="s">
        <v>1114</v>
      </c>
      <c r="F82" s="1338" t="s">
        <v>1119</v>
      </c>
    </row>
    <row r="83" spans="3:11" ht="20.100000000000001" customHeight="1">
      <c r="C83" s="2536" t="s">
        <v>800</v>
      </c>
      <c r="D83" s="2537"/>
      <c r="E83" s="1000"/>
      <c r="F83" s="1434"/>
    </row>
    <row r="84" spans="3:11" ht="30" customHeight="1">
      <c r="C84" s="2503" t="s">
        <v>1602</v>
      </c>
      <c r="D84" s="2504"/>
      <c r="E84" s="2012" t="s">
        <v>923</v>
      </c>
      <c r="F84" s="2014" t="str">
        <f>E84</f>
        <v>Carbon tetrachloride</v>
      </c>
    </row>
    <row r="85" spans="3:11" ht="20.100000000000001" customHeight="1">
      <c r="C85" s="2503"/>
      <c r="D85" s="2504"/>
      <c r="E85" s="2033"/>
      <c r="F85" s="2034"/>
      <c r="K85" s="2064" t="s">
        <v>490</v>
      </c>
    </row>
    <row r="86" spans="3:11" ht="20.100000000000001" customHeight="1">
      <c r="C86" s="1170" t="s">
        <v>497</v>
      </c>
      <c r="D86" s="1351" t="s">
        <v>1346</v>
      </c>
      <c r="E86" s="1352">
        <f>IF(E84="Other",K90,VLOOKUP(E84,$O$5:$AA$44,5,))</f>
        <v>0.21495103893002149</v>
      </c>
      <c r="F86" s="1353">
        <f>E86</f>
        <v>0.21495103893002149</v>
      </c>
      <c r="K86" s="2085">
        <v>0</v>
      </c>
    </row>
    <row r="87" spans="3:11" ht="20.100000000000001" customHeight="1">
      <c r="C87" s="1170" t="s">
        <v>498</v>
      </c>
      <c r="D87" s="1351" t="s">
        <v>1175</v>
      </c>
      <c r="E87" s="1468">
        <f>IF(E84="Other",K91,VLOOKUP(E84,$O$5:$AA$44,8,))</f>
        <v>170.006</v>
      </c>
      <c r="F87" s="1469">
        <f>E87</f>
        <v>170.006</v>
      </c>
      <c r="K87" s="2085">
        <v>0</v>
      </c>
    </row>
    <row r="88" spans="3:11" ht="20.100000000000001" customHeight="1">
      <c r="C88" s="1170" t="s">
        <v>499</v>
      </c>
      <c r="D88" s="1351" t="s">
        <v>1347</v>
      </c>
      <c r="E88" s="1354">
        <f>IF(E84="Other",K92,VLOOKUP(E84,$O$5:$AA$44,6,))</f>
        <v>83.5</v>
      </c>
      <c r="F88" s="1355">
        <f>E88</f>
        <v>83.5</v>
      </c>
      <c r="K88" s="2085">
        <v>0</v>
      </c>
    </row>
    <row r="89" spans="3:11" ht="20.100000000000001" customHeight="1">
      <c r="C89" s="1170" t="s">
        <v>500</v>
      </c>
      <c r="D89" s="1351" t="s">
        <v>1346</v>
      </c>
      <c r="E89" s="1352">
        <f>IF(E84="Other",K93,VLOOKUP(E84,$O$5:$AA$44,7,))</f>
        <v>0.25005970862192495</v>
      </c>
      <c r="F89" s="1353">
        <f>E89</f>
        <v>0.25005970862192495</v>
      </c>
      <c r="K89" s="2085">
        <v>0</v>
      </c>
    </row>
    <row r="90" spans="3:11" ht="20.100000000000001" customHeight="1">
      <c r="C90" s="1358"/>
      <c r="D90" s="1359"/>
      <c r="E90" s="1359"/>
      <c r="F90" s="1449"/>
      <c r="K90" s="2061">
        <f>VALUE(K86)</f>
        <v>0</v>
      </c>
    </row>
    <row r="91" spans="3:11" ht="20.100000000000001" customHeight="1">
      <c r="C91" s="1170" t="s">
        <v>501</v>
      </c>
      <c r="D91" s="1351" t="s">
        <v>1341</v>
      </c>
      <c r="E91" s="930"/>
      <c r="F91" s="928"/>
      <c r="I91" s="1452">
        <f>E91*L99</f>
        <v>0</v>
      </c>
      <c r="J91" s="1027">
        <f>F91*L99</f>
        <v>0</v>
      </c>
      <c r="K91" s="2061">
        <f t="shared" ref="K91:K93" si="11">VALUE(K87)</f>
        <v>0</v>
      </c>
    </row>
    <row r="92" spans="3:11" ht="20.100000000000001" customHeight="1">
      <c r="C92" s="1170" t="s">
        <v>503</v>
      </c>
      <c r="D92" s="1351" t="s">
        <v>1175</v>
      </c>
      <c r="E92" s="930"/>
      <c r="F92" s="928"/>
      <c r="K92" s="2061">
        <f t="shared" si="11"/>
        <v>0</v>
      </c>
    </row>
    <row r="93" spans="3:11" ht="20.100000000000001" customHeight="1">
      <c r="C93" s="1170" t="s">
        <v>502</v>
      </c>
      <c r="D93" s="1351" t="s">
        <v>1175</v>
      </c>
      <c r="E93" s="930"/>
      <c r="F93" s="928"/>
      <c r="G93" s="2531" t="str">
        <f>IF(OR(AND(E93&lt;E87,E94&gt;0), AND(F93&lt;F87,F94&gt;0)), $I$22, IF(OR(AND(E93&gt;E87,E94&lt;=0),AND(F93&gt;F87,F94&lt;=0)),$I$16,""))</f>
        <v/>
      </c>
      <c r="H93" s="2532"/>
      <c r="K93" s="2061">
        <f t="shared" si="11"/>
        <v>0</v>
      </c>
    </row>
    <row r="94" spans="3:11" ht="20.100000000000001" customHeight="1">
      <c r="C94" s="1170" t="s">
        <v>504</v>
      </c>
      <c r="D94" s="1351" t="s">
        <v>1116</v>
      </c>
      <c r="E94" s="932"/>
      <c r="F94" s="929"/>
      <c r="G94" s="2531"/>
      <c r="H94" s="2532"/>
    </row>
    <row r="95" spans="3:11" ht="20.100000000000001" customHeight="1">
      <c r="C95" s="1170" t="s">
        <v>801</v>
      </c>
      <c r="D95" s="1351" t="s">
        <v>1116</v>
      </c>
      <c r="E95" s="931"/>
      <c r="F95" s="927"/>
      <c r="G95" s="2531"/>
      <c r="H95" s="2532"/>
    </row>
    <row r="96" spans="3:11" ht="20.100000000000001" customHeight="1">
      <c r="C96" s="1170" t="s">
        <v>505</v>
      </c>
      <c r="D96" s="1351" t="s">
        <v>1347</v>
      </c>
      <c r="E96" s="930"/>
      <c r="F96" s="928"/>
      <c r="G96" s="2531"/>
      <c r="H96" s="2532"/>
    </row>
    <row r="97" spans="3:13" ht="20.100000000000001" customHeight="1">
      <c r="C97" s="1170" t="s">
        <v>802</v>
      </c>
      <c r="D97" s="1359"/>
      <c r="E97" s="1168" t="s">
        <v>798</v>
      </c>
      <c r="F97" s="1169" t="s">
        <v>798</v>
      </c>
      <c r="G97" s="2531"/>
      <c r="H97" s="2532"/>
    </row>
    <row r="98" spans="3:13" ht="20.100000000000001" customHeight="1" thickBot="1">
      <c r="C98" s="1366" t="s">
        <v>506</v>
      </c>
      <c r="D98" s="1367" t="s">
        <v>1116</v>
      </c>
      <c r="E98" s="965"/>
      <c r="F98" s="966"/>
    </row>
    <row r="99" spans="3:13" ht="20.100000000000001" customHeight="1" thickBot="1">
      <c r="C99" s="973" t="s">
        <v>755</v>
      </c>
      <c r="D99" s="1368" t="s">
        <v>1173</v>
      </c>
      <c r="E99" s="1369">
        <f>E118</f>
        <v>0</v>
      </c>
      <c r="F99" s="1370">
        <f>F118</f>
        <v>0</v>
      </c>
      <c r="L99" s="1428">
        <f>IF('Control page'!$D$12&gt;2,1,0)</f>
        <v>1</v>
      </c>
      <c r="M99" s="1428" t="s">
        <v>3</v>
      </c>
    </row>
    <row r="100" spans="3:13" ht="20.100000000000001" customHeight="1">
      <c r="C100" s="918"/>
      <c r="D100" s="1433"/>
      <c r="E100" s="1433"/>
      <c r="F100" s="1433"/>
    </row>
    <row r="101" spans="3:13" ht="20.100000000000001" customHeight="1">
      <c r="C101" s="918"/>
      <c r="D101" s="1433"/>
      <c r="E101" s="1433"/>
      <c r="F101" s="1433"/>
    </row>
    <row r="102" spans="3:13" ht="20.100000000000001" customHeight="1">
      <c r="C102" s="918"/>
      <c r="D102" s="1433"/>
      <c r="E102" s="1433"/>
      <c r="F102" s="1433"/>
    </row>
    <row r="103" spans="3:13" ht="20.100000000000001" hidden="1" customHeight="1">
      <c r="C103" s="1459" t="s">
        <v>1178</v>
      </c>
      <c r="D103" s="1460"/>
    </row>
    <row r="104" spans="3:13" ht="20.100000000000001" hidden="1" customHeight="1">
      <c r="C104" s="918" t="s">
        <v>803</v>
      </c>
      <c r="D104" s="1433"/>
      <c r="E104" s="1461">
        <f>E91*E94</f>
        <v>0</v>
      </c>
      <c r="F104" s="1461">
        <f>F91*F94</f>
        <v>0</v>
      </c>
      <c r="H104" s="1027" t="s">
        <v>1395</v>
      </c>
    </row>
    <row r="105" spans="3:13" ht="20.100000000000001" hidden="1" customHeight="1">
      <c r="C105" s="1429" t="s">
        <v>804</v>
      </c>
      <c r="E105" s="1461">
        <f>E91-E104</f>
        <v>0</v>
      </c>
      <c r="F105" s="1461">
        <f>F91-F104</f>
        <v>0</v>
      </c>
      <c r="H105" s="1027" t="s">
        <v>1395</v>
      </c>
    </row>
    <row r="106" spans="3:13" ht="20.100000000000001" hidden="1" customHeight="1">
      <c r="E106" s="1461"/>
      <c r="F106" s="1461"/>
    </row>
    <row r="107" spans="3:13" ht="20.100000000000001" hidden="1" customHeight="1">
      <c r="C107" s="1429" t="s">
        <v>805</v>
      </c>
      <c r="E107" s="1461"/>
      <c r="F107" s="1461"/>
    </row>
    <row r="108" spans="3:13" ht="20.100000000000001" hidden="1" customHeight="1">
      <c r="C108" s="1429" t="s">
        <v>806</v>
      </c>
      <c r="E108" s="1461">
        <f>E104*E86*(E87-E92)</f>
        <v>0</v>
      </c>
      <c r="F108" s="1461">
        <f>F104*F86*(F87-F92)</f>
        <v>0</v>
      </c>
      <c r="H108" s="1428" t="s">
        <v>1173</v>
      </c>
    </row>
    <row r="109" spans="3:13" ht="20.100000000000001" hidden="1" customHeight="1">
      <c r="C109" s="1429" t="s">
        <v>807</v>
      </c>
      <c r="E109" s="1461">
        <f>IF(E93&gt;E87,E104*E88,0)</f>
        <v>0</v>
      </c>
      <c r="F109" s="1461">
        <f>IF(F93&gt;F87,F104*F88,0)</f>
        <v>0</v>
      </c>
      <c r="H109" s="1428" t="s">
        <v>1173</v>
      </c>
    </row>
    <row r="110" spans="3:13" ht="20.100000000000001" hidden="1" customHeight="1">
      <c r="C110" s="1429" t="s">
        <v>808</v>
      </c>
      <c r="E110" s="1461">
        <f>IF(E93&gt;E87, E89*E104*(E93-E87), 0)</f>
        <v>0</v>
      </c>
      <c r="F110" s="1461">
        <f>IF(F93&gt;F87, F89*F104*(F93-F87), 0)</f>
        <v>0</v>
      </c>
      <c r="H110" s="1428" t="s">
        <v>1173</v>
      </c>
    </row>
    <row r="111" spans="3:13" ht="20.100000000000001" hidden="1" customHeight="1">
      <c r="C111" s="1462" t="s">
        <v>809</v>
      </c>
      <c r="D111" s="1463"/>
      <c r="E111" s="1464">
        <f>SUM(E108:E110)</f>
        <v>0</v>
      </c>
      <c r="F111" s="1464">
        <f>SUM(F108:F110)</f>
        <v>0</v>
      </c>
      <c r="H111" s="1428" t="s">
        <v>1173</v>
      </c>
    </row>
    <row r="112" spans="3:13" ht="20.100000000000001" hidden="1" customHeight="1">
      <c r="E112" s="1461"/>
      <c r="F112" s="1461"/>
    </row>
    <row r="113" spans="3:12" ht="20.100000000000001" hidden="1" customHeight="1">
      <c r="C113" s="1429" t="s">
        <v>810</v>
      </c>
      <c r="E113" s="1461"/>
      <c r="F113" s="1461"/>
    </row>
    <row r="114" spans="3:12" ht="20.100000000000001" hidden="1" customHeight="1">
      <c r="C114" s="1429" t="s">
        <v>811</v>
      </c>
      <c r="E114" s="1461">
        <f>E86*E105*(E93-E92)</f>
        <v>0</v>
      </c>
      <c r="F114" s="1461">
        <f>F86*F105*(F93-F92)</f>
        <v>0</v>
      </c>
      <c r="H114" s="1428" t="s">
        <v>1173</v>
      </c>
    </row>
    <row r="115" spans="3:12" ht="20.100000000000001" hidden="1" customHeight="1">
      <c r="C115" s="1429" t="s">
        <v>812</v>
      </c>
      <c r="E115" s="1461">
        <f>IF(E97="Endothermic",1,-1)*E95*E91*E96</f>
        <v>0</v>
      </c>
      <c r="F115" s="1461">
        <f>IF(F97="Endothermic",1,-1)*F95*F91*F96</f>
        <v>0</v>
      </c>
      <c r="H115" s="1428" t="s">
        <v>1173</v>
      </c>
      <c r="K115" s="2066">
        <f>IF(E115&lt;0,-1,0)*E115*L99</f>
        <v>0</v>
      </c>
      <c r="L115" s="1466">
        <f>IF(F115&lt;0,-1,0)*F115*L99</f>
        <v>0</v>
      </c>
    </row>
    <row r="116" spans="3:12" ht="20.100000000000001" hidden="1" customHeight="1">
      <c r="C116" s="1462" t="s">
        <v>813</v>
      </c>
      <c r="D116" s="1463"/>
      <c r="E116" s="1464">
        <f>E114+(IF(E97="Endothermic",E115,0))</f>
        <v>0</v>
      </c>
      <c r="F116" s="1464">
        <f>F114+(IF(F97="Endothermic",F115,0))</f>
        <v>0</v>
      </c>
      <c r="H116" s="1428" t="s">
        <v>1173</v>
      </c>
    </row>
    <row r="117" spans="3:12" ht="20.100000000000001" hidden="1" customHeight="1">
      <c r="E117" s="1461"/>
      <c r="F117" s="1461"/>
    </row>
    <row r="118" spans="3:12" ht="20.100000000000001" hidden="1" customHeight="1">
      <c r="C118" s="1462" t="s">
        <v>814</v>
      </c>
      <c r="D118" s="1463"/>
      <c r="E118" s="1464">
        <f>E111+E116+E98</f>
        <v>0</v>
      </c>
      <c r="F118" s="1464">
        <f>F111+F116+F98</f>
        <v>0</v>
      </c>
      <c r="H118" s="1428" t="s">
        <v>1173</v>
      </c>
    </row>
    <row r="119" spans="3:12" ht="20.100000000000001" customHeight="1" thickBot="1">
      <c r="I119" s="1428" t="s">
        <v>1173</v>
      </c>
    </row>
    <row r="120" spans="3:12" ht="20.100000000000001" customHeight="1" thickBot="1">
      <c r="C120" s="2538" t="s">
        <v>1465</v>
      </c>
      <c r="D120" s="2539"/>
      <c r="E120" s="1470">
        <f>(E21*L21)+(E60*L60)+(E99*L99)</f>
        <v>0</v>
      </c>
      <c r="F120" s="1470">
        <f>(F21*L21)+(F60*L60)+(F99*L99)</f>
        <v>0</v>
      </c>
      <c r="I120" s="1471">
        <f>I91+I52+I13</f>
        <v>0</v>
      </c>
      <c r="J120" s="1471">
        <f>J91+J52+J13</f>
        <v>0</v>
      </c>
      <c r="K120" s="2066">
        <f>K115+K76+K76</f>
        <v>0</v>
      </c>
      <c r="L120" s="1466">
        <f>L115+L76+L76</f>
        <v>0</v>
      </c>
    </row>
    <row r="121" spans="3:12" ht="20.100000000000001" customHeight="1" thickBot="1"/>
    <row r="122" spans="3:12" ht="20.100000000000001" customHeight="1">
      <c r="C122" s="2540" t="s">
        <v>710</v>
      </c>
      <c r="D122" s="2541"/>
      <c r="E122" s="2541"/>
      <c r="F122" s="2542"/>
    </row>
    <row r="123" spans="3:12" ht="20.100000000000001" customHeight="1">
      <c r="C123" s="2533" t="s">
        <v>709</v>
      </c>
      <c r="D123" s="2534"/>
      <c r="E123" s="2534"/>
      <c r="F123" s="2535"/>
    </row>
    <row r="124" spans="3:12" ht="20.100000000000001" customHeight="1">
      <c r="C124" s="2525"/>
      <c r="D124" s="2526"/>
      <c r="E124" s="2526"/>
      <c r="F124" s="2527"/>
      <c r="I124" s="1428">
        <f>IF(C124="",0,1)</f>
        <v>0</v>
      </c>
    </row>
    <row r="125" spans="3:12" ht="20.100000000000001" customHeight="1">
      <c r="C125" s="2525"/>
      <c r="D125" s="2526"/>
      <c r="E125" s="2526"/>
      <c r="F125" s="2527"/>
      <c r="I125" s="1428">
        <f>IF(C125="",0,1)</f>
        <v>0</v>
      </c>
    </row>
    <row r="126" spans="3:12" ht="20.100000000000001" customHeight="1">
      <c r="C126" s="2525"/>
      <c r="D126" s="2526"/>
      <c r="E126" s="2526"/>
      <c r="F126" s="2527"/>
      <c r="I126" s="1428">
        <f>IF(C126="",0,1)</f>
        <v>0</v>
      </c>
    </row>
    <row r="127" spans="3:12" ht="20.100000000000001" customHeight="1">
      <c r="C127" s="2525"/>
      <c r="D127" s="2526"/>
      <c r="E127" s="2526"/>
      <c r="F127" s="2527"/>
      <c r="I127" s="1428">
        <f>IF(C127="",0,1)</f>
        <v>0</v>
      </c>
    </row>
    <row r="128" spans="3:12" ht="20.100000000000001" customHeight="1">
      <c r="C128" s="2525"/>
      <c r="D128" s="2526"/>
      <c r="E128" s="2526"/>
      <c r="F128" s="2527"/>
      <c r="I128" s="1428">
        <f>IF(C128="",0,1)</f>
        <v>0</v>
      </c>
    </row>
    <row r="129" spans="9:9" ht="20.100000000000001" customHeight="1">
      <c r="I129" s="1428">
        <f>SUM(I124:I128)</f>
        <v>0</v>
      </c>
    </row>
  </sheetData>
  <sheetProtection password="B61E" sheet="1" objects="1" scenarios="1"/>
  <mergeCells count="20">
    <mergeCell ref="C5:D5"/>
    <mergeCell ref="C4:D4"/>
    <mergeCell ref="C43:D43"/>
    <mergeCell ref="C44:D44"/>
    <mergeCell ref="C82:D82"/>
    <mergeCell ref="C124:F124"/>
    <mergeCell ref="C125:F125"/>
    <mergeCell ref="C126:F126"/>
    <mergeCell ref="C127:F127"/>
    <mergeCell ref="C128:F128"/>
    <mergeCell ref="G15:H19"/>
    <mergeCell ref="G54:H58"/>
    <mergeCell ref="G93:H97"/>
    <mergeCell ref="C123:F123"/>
    <mergeCell ref="C6:D7"/>
    <mergeCell ref="C45:D46"/>
    <mergeCell ref="C84:D85"/>
    <mergeCell ref="C83:D83"/>
    <mergeCell ref="C120:D120"/>
    <mergeCell ref="C122:F122"/>
  </mergeCells>
  <phoneticPr fontId="5" type="noConversion"/>
  <conditionalFormatting sqref="G15">
    <cfRule type="expression" dxfId="83" priority="73" stopIfTrue="1">
      <formula>OR(AND(E15&gt;E9,E16&lt;=0),AND(F15&gt;F9,F16&lt;=0))</formula>
    </cfRule>
    <cfRule type="expression" dxfId="82" priority="74" stopIfTrue="1">
      <formula>OR(AND(E15&lt;E9,E16&gt;0),AND(F15&lt;F9,F16&gt;0))</formula>
    </cfRule>
    <cfRule type="expression" dxfId="81" priority="75" stopIfTrue="1">
      <formula>NOT(OR(AND(E15&gt;E9,E16&lt;=0),AND(F15&gt;F9,F16&lt;=0)))</formula>
    </cfRule>
  </conditionalFormatting>
  <conditionalFormatting sqref="G54">
    <cfRule type="expression" dxfId="80" priority="4" stopIfTrue="1">
      <formula>OR(AND(E54&gt;E48,E55&lt;=0),AND(F54&gt;F48,F55&lt;=0))</formula>
    </cfRule>
    <cfRule type="expression" dxfId="79" priority="5" stopIfTrue="1">
      <formula>OR(AND(E54&lt;E48,E55&gt;0),AND(F54&lt;F48,F55&gt;0))</formula>
    </cfRule>
    <cfRule type="expression" dxfId="78" priority="6" stopIfTrue="1">
      <formula>NOT(OR(AND(E54&gt;E48,E55&lt;=0),AND(F54&gt;F48,F55&lt;=0)))</formula>
    </cfRule>
  </conditionalFormatting>
  <conditionalFormatting sqref="G93">
    <cfRule type="expression" dxfId="77" priority="1" stopIfTrue="1">
      <formula>OR(AND(E93&gt;E87,E94&lt;=0),AND(F93&gt;F87,F94&lt;=0))</formula>
    </cfRule>
    <cfRule type="expression" dxfId="76" priority="2" stopIfTrue="1">
      <formula>OR(AND(E93&lt;E87,E94&gt;0),AND(F93&lt;F87,F94&gt;0))</formula>
    </cfRule>
    <cfRule type="expression" dxfId="75" priority="3" stopIfTrue="1">
      <formula>NOT(OR(AND(E93&gt;E87,E94&lt;=0),AND(F93&gt;F87,F94&lt;=0)))</formula>
    </cfRule>
  </conditionalFormatting>
  <dataValidations count="3">
    <dataValidation type="list" allowBlank="1" showInputMessage="1" showErrorMessage="1" sqref="E19:F19 E58:F58 E97:F97">
      <formula1>"Exothermic, Endothermic"</formula1>
    </dataValidation>
    <dataValidation type="list" allowBlank="1" showInputMessage="1" showErrorMessage="1" sqref="E84 E6 E45">
      <formula1>$O$5:$O$19</formula1>
    </dataValidation>
    <dataValidation type="decimal" allowBlank="1" showInputMessage="1" showErrorMessage="1" sqref="E16:F17 E55:F56 E94:F95">
      <formula1>0</formula1>
      <formula2>100</formula2>
    </dataValidation>
  </dataValidations>
  <pageMargins left="0.75" right="0.75" top="1" bottom="2.13" header="0.5" footer="0.5"/>
  <pageSetup scale="58" orientation="portrait" r:id="rId1"/>
  <headerFooter alignWithMargins="0">
    <oddHeader>&amp;LLoad Charge Liquid</oddHeader>
    <oddFooter>&amp;LUS Department of Energy&amp;C&amp;P&amp;R&amp;D</oddFooter>
  </headerFooter>
  <rowBreaks count="1" manualBreakCount="1">
    <brk id="80" max="16383" man="1"/>
  </rowBreaks>
  <drawing r:id="rId2"/>
  <legacyDrawing r:id="rId3"/>
  <controls>
    <mc:AlternateContent xmlns:mc="http://schemas.openxmlformats.org/markup-compatibility/2006">
      <mc:Choice Requires="x14">
        <control shapeId="2063010" r:id="rId4" name="CommandButtonMatlLiquidCopy">
          <controlPr defaultSize="0" print="0" autoLine="0" r:id="rId5">
            <anchor moveWithCells="1">
              <from>
                <xdr:col>6</xdr:col>
                <xdr:colOff>361950</xdr:colOff>
                <xdr:row>3</xdr:row>
                <xdr:rowOff>9525</xdr:rowOff>
              </from>
              <to>
                <xdr:col>7</xdr:col>
                <xdr:colOff>781050</xdr:colOff>
                <xdr:row>3</xdr:row>
                <xdr:rowOff>514350</xdr:rowOff>
              </to>
            </anchor>
          </controlPr>
        </control>
      </mc:Choice>
      <mc:Fallback>
        <control shapeId="2063010" r:id="rId4" name="CommandButtonMatlLiquidCopy"/>
      </mc:Fallback>
    </mc:AlternateContent>
    <mc:AlternateContent xmlns:mc="http://schemas.openxmlformats.org/markup-compatibility/2006">
      <mc:Choice Requires="x14">
        <control shapeId="2063011" r:id="rId6" name="CommandButtonChgLiquidData">
          <controlPr defaultSize="0" print="0" autoLine="0" r:id="rId7">
            <anchor moveWithCells="1">
              <from>
                <xdr:col>6</xdr:col>
                <xdr:colOff>371475</xdr:colOff>
                <xdr:row>4</xdr:row>
                <xdr:rowOff>238125</xdr:rowOff>
              </from>
              <to>
                <xdr:col>7</xdr:col>
                <xdr:colOff>790575</xdr:colOff>
                <xdr:row>6</xdr:row>
                <xdr:rowOff>123825</xdr:rowOff>
              </to>
            </anchor>
          </controlPr>
        </control>
      </mc:Choice>
      <mc:Fallback>
        <control shapeId="2063011" r:id="rId6" name="CommandButtonChgLiquidData"/>
      </mc:Fallback>
    </mc:AlternateContent>
    <mc:AlternateContent xmlns:mc="http://schemas.openxmlformats.org/markup-compatibility/2006">
      <mc:Choice Requires="x14">
        <control shapeId="2063303" r:id="rId8" name="TextBox1">
          <controlPr locked="0" defaultSize="0" disabled="1" autoLine="0" linkedCell="K8" r:id="rId9">
            <anchor moveWithCells="1" sizeWithCells="1">
              <from>
                <xdr:col>4</xdr:col>
                <xdr:colOff>0</xdr:colOff>
                <xdr:row>7</xdr:row>
                <xdr:rowOff>0</xdr:rowOff>
              </from>
              <to>
                <xdr:col>5</xdr:col>
                <xdr:colOff>0</xdr:colOff>
                <xdr:row>8</xdr:row>
                <xdr:rowOff>0</xdr:rowOff>
              </to>
            </anchor>
          </controlPr>
        </control>
      </mc:Choice>
      <mc:Fallback>
        <control shapeId="2063303" r:id="rId8" name="TextBox1"/>
      </mc:Fallback>
    </mc:AlternateContent>
    <mc:AlternateContent xmlns:mc="http://schemas.openxmlformats.org/markup-compatibility/2006">
      <mc:Choice Requires="x14">
        <control shapeId="2063304" r:id="rId10" name="TextBox2">
          <controlPr locked="0" defaultSize="0" disabled="1" autoLine="0" linkedCell="K9" r:id="rId11">
            <anchor moveWithCells="1" sizeWithCells="1">
              <from>
                <xdr:col>4</xdr:col>
                <xdr:colOff>0</xdr:colOff>
                <xdr:row>8</xdr:row>
                <xdr:rowOff>0</xdr:rowOff>
              </from>
              <to>
                <xdr:col>5</xdr:col>
                <xdr:colOff>0</xdr:colOff>
                <xdr:row>9</xdr:row>
                <xdr:rowOff>0</xdr:rowOff>
              </to>
            </anchor>
          </controlPr>
        </control>
      </mc:Choice>
      <mc:Fallback>
        <control shapeId="2063304" r:id="rId10" name="TextBox2"/>
      </mc:Fallback>
    </mc:AlternateContent>
    <mc:AlternateContent xmlns:mc="http://schemas.openxmlformats.org/markup-compatibility/2006">
      <mc:Choice Requires="x14">
        <control shapeId="2063305" r:id="rId12" name="TextBox3">
          <controlPr locked="0" defaultSize="0" disabled="1" autoLine="0" linkedCell="K10" r:id="rId13">
            <anchor moveWithCells="1" sizeWithCells="1">
              <from>
                <xdr:col>4</xdr:col>
                <xdr:colOff>0</xdr:colOff>
                <xdr:row>9</xdr:row>
                <xdr:rowOff>0</xdr:rowOff>
              </from>
              <to>
                <xdr:col>5</xdr:col>
                <xdr:colOff>0</xdr:colOff>
                <xdr:row>10</xdr:row>
                <xdr:rowOff>0</xdr:rowOff>
              </to>
            </anchor>
          </controlPr>
        </control>
      </mc:Choice>
      <mc:Fallback>
        <control shapeId="2063305" r:id="rId12" name="TextBox3"/>
      </mc:Fallback>
    </mc:AlternateContent>
    <mc:AlternateContent xmlns:mc="http://schemas.openxmlformats.org/markup-compatibility/2006">
      <mc:Choice Requires="x14">
        <control shapeId="2063307" r:id="rId14" name="TextBox5">
          <controlPr locked="0" defaultSize="0" disabled="1" autoLine="0" linkedCell="K7" r:id="rId15">
            <anchor moveWithCells="1" sizeWithCells="1">
              <from>
                <xdr:col>4</xdr:col>
                <xdr:colOff>0</xdr:colOff>
                <xdr:row>6</xdr:row>
                <xdr:rowOff>0</xdr:rowOff>
              </from>
              <to>
                <xdr:col>5</xdr:col>
                <xdr:colOff>0</xdr:colOff>
                <xdr:row>7</xdr:row>
                <xdr:rowOff>0</xdr:rowOff>
              </to>
            </anchor>
          </controlPr>
        </control>
      </mc:Choice>
      <mc:Fallback>
        <control shapeId="2063307" r:id="rId14" name="TextBox5"/>
      </mc:Fallback>
    </mc:AlternateContent>
    <mc:AlternateContent xmlns:mc="http://schemas.openxmlformats.org/markup-compatibility/2006">
      <mc:Choice Requires="x14">
        <control shapeId="2063309" r:id="rId16" name="TextBox4">
          <controlPr locked="0" defaultSize="0" disabled="1" autoLine="0" linkedCell="K11" r:id="rId17">
            <anchor moveWithCells="1" sizeWithCells="1">
              <from>
                <xdr:col>4</xdr:col>
                <xdr:colOff>0</xdr:colOff>
                <xdr:row>10</xdr:row>
                <xdr:rowOff>0</xdr:rowOff>
              </from>
              <to>
                <xdr:col>5</xdr:col>
                <xdr:colOff>0</xdr:colOff>
                <xdr:row>11</xdr:row>
                <xdr:rowOff>0</xdr:rowOff>
              </to>
            </anchor>
          </controlPr>
        </control>
      </mc:Choice>
      <mc:Fallback>
        <control shapeId="2063309" r:id="rId16" name="TextBox4"/>
      </mc:Fallback>
    </mc:AlternateContent>
    <mc:AlternateContent xmlns:mc="http://schemas.openxmlformats.org/markup-compatibility/2006">
      <mc:Choice Requires="x14">
        <control shapeId="2063310" r:id="rId18" name="TextBox6">
          <controlPr locked="0" defaultSize="0" disabled="1" autoLine="0" linkedCell="K47" r:id="rId19">
            <anchor moveWithCells="1" sizeWithCells="1">
              <from>
                <xdr:col>4</xdr:col>
                <xdr:colOff>0</xdr:colOff>
                <xdr:row>46</xdr:row>
                <xdr:rowOff>0</xdr:rowOff>
              </from>
              <to>
                <xdr:col>5</xdr:col>
                <xdr:colOff>0</xdr:colOff>
                <xdr:row>47</xdr:row>
                <xdr:rowOff>0</xdr:rowOff>
              </to>
            </anchor>
          </controlPr>
        </control>
      </mc:Choice>
      <mc:Fallback>
        <control shapeId="2063310" r:id="rId18" name="TextBox6"/>
      </mc:Fallback>
    </mc:AlternateContent>
    <mc:AlternateContent xmlns:mc="http://schemas.openxmlformats.org/markup-compatibility/2006">
      <mc:Choice Requires="x14">
        <control shapeId="2063311" r:id="rId20" name="TextBox7">
          <controlPr locked="0" defaultSize="0" disabled="1" autoLine="0" linkedCell="K48" r:id="rId21">
            <anchor moveWithCells="1" sizeWithCells="1">
              <from>
                <xdr:col>4</xdr:col>
                <xdr:colOff>0</xdr:colOff>
                <xdr:row>47</xdr:row>
                <xdr:rowOff>0</xdr:rowOff>
              </from>
              <to>
                <xdr:col>5</xdr:col>
                <xdr:colOff>0</xdr:colOff>
                <xdr:row>48</xdr:row>
                <xdr:rowOff>0</xdr:rowOff>
              </to>
            </anchor>
          </controlPr>
        </control>
      </mc:Choice>
      <mc:Fallback>
        <control shapeId="2063311" r:id="rId20" name="TextBox7"/>
      </mc:Fallback>
    </mc:AlternateContent>
    <mc:AlternateContent xmlns:mc="http://schemas.openxmlformats.org/markup-compatibility/2006">
      <mc:Choice Requires="x14">
        <control shapeId="2063312" r:id="rId22" name="TextBox8">
          <controlPr locked="0" defaultSize="0" disabled="1" autoLine="0" linkedCell="K49" r:id="rId23">
            <anchor moveWithCells="1" sizeWithCells="1">
              <from>
                <xdr:col>4</xdr:col>
                <xdr:colOff>0</xdr:colOff>
                <xdr:row>48</xdr:row>
                <xdr:rowOff>0</xdr:rowOff>
              </from>
              <to>
                <xdr:col>5</xdr:col>
                <xdr:colOff>0</xdr:colOff>
                <xdr:row>49</xdr:row>
                <xdr:rowOff>0</xdr:rowOff>
              </to>
            </anchor>
          </controlPr>
        </control>
      </mc:Choice>
      <mc:Fallback>
        <control shapeId="2063312" r:id="rId22" name="TextBox8"/>
      </mc:Fallback>
    </mc:AlternateContent>
    <mc:AlternateContent xmlns:mc="http://schemas.openxmlformats.org/markup-compatibility/2006">
      <mc:Choice Requires="x14">
        <control shapeId="2063313" r:id="rId24" name="TextBox9">
          <controlPr locked="0" defaultSize="0" disabled="1" autoLine="0" linkedCell="K50" r:id="rId25">
            <anchor moveWithCells="1" sizeWithCells="1">
              <from>
                <xdr:col>4</xdr:col>
                <xdr:colOff>0</xdr:colOff>
                <xdr:row>49</xdr:row>
                <xdr:rowOff>0</xdr:rowOff>
              </from>
              <to>
                <xdr:col>5</xdr:col>
                <xdr:colOff>0</xdr:colOff>
                <xdr:row>50</xdr:row>
                <xdr:rowOff>0</xdr:rowOff>
              </to>
            </anchor>
          </controlPr>
        </control>
      </mc:Choice>
      <mc:Fallback>
        <control shapeId="2063313" r:id="rId24" name="TextBox9"/>
      </mc:Fallback>
    </mc:AlternateContent>
    <mc:AlternateContent xmlns:mc="http://schemas.openxmlformats.org/markup-compatibility/2006">
      <mc:Choice Requires="x14">
        <control shapeId="2063314" r:id="rId26" name="TextBox10">
          <controlPr locked="0" defaultSize="0" disabled="1" autoLine="0" linkedCell="K46" r:id="rId27">
            <anchor moveWithCells="1" sizeWithCells="1">
              <from>
                <xdr:col>4</xdr:col>
                <xdr:colOff>0</xdr:colOff>
                <xdr:row>45</xdr:row>
                <xdr:rowOff>0</xdr:rowOff>
              </from>
              <to>
                <xdr:col>5</xdr:col>
                <xdr:colOff>0</xdr:colOff>
                <xdr:row>46</xdr:row>
                <xdr:rowOff>0</xdr:rowOff>
              </to>
            </anchor>
          </controlPr>
        </control>
      </mc:Choice>
      <mc:Fallback>
        <control shapeId="2063314" r:id="rId26" name="TextBox10"/>
      </mc:Fallback>
    </mc:AlternateContent>
    <mc:AlternateContent xmlns:mc="http://schemas.openxmlformats.org/markup-compatibility/2006">
      <mc:Choice Requires="x14">
        <control shapeId="2063318" r:id="rId28" name="TextBox11">
          <controlPr locked="0" defaultSize="0" disabled="1" autoLine="0" linkedCell="K86" r:id="rId29">
            <anchor moveWithCells="1" sizeWithCells="1">
              <from>
                <xdr:col>4</xdr:col>
                <xdr:colOff>0</xdr:colOff>
                <xdr:row>85</xdr:row>
                <xdr:rowOff>0</xdr:rowOff>
              </from>
              <to>
                <xdr:col>5</xdr:col>
                <xdr:colOff>0</xdr:colOff>
                <xdr:row>86</xdr:row>
                <xdr:rowOff>0</xdr:rowOff>
              </to>
            </anchor>
          </controlPr>
        </control>
      </mc:Choice>
      <mc:Fallback>
        <control shapeId="2063318" r:id="rId28" name="TextBox11"/>
      </mc:Fallback>
    </mc:AlternateContent>
    <mc:AlternateContent xmlns:mc="http://schemas.openxmlformats.org/markup-compatibility/2006">
      <mc:Choice Requires="x14">
        <control shapeId="2063319" r:id="rId30" name="TextBox12">
          <controlPr locked="0" defaultSize="0" disabled="1" autoLine="0" linkedCell="K87" r:id="rId31">
            <anchor moveWithCells="1" sizeWithCells="1">
              <from>
                <xdr:col>4</xdr:col>
                <xdr:colOff>0</xdr:colOff>
                <xdr:row>86</xdr:row>
                <xdr:rowOff>0</xdr:rowOff>
              </from>
              <to>
                <xdr:col>5</xdr:col>
                <xdr:colOff>0</xdr:colOff>
                <xdr:row>87</xdr:row>
                <xdr:rowOff>0</xdr:rowOff>
              </to>
            </anchor>
          </controlPr>
        </control>
      </mc:Choice>
      <mc:Fallback>
        <control shapeId="2063319" r:id="rId30" name="TextBox12"/>
      </mc:Fallback>
    </mc:AlternateContent>
    <mc:AlternateContent xmlns:mc="http://schemas.openxmlformats.org/markup-compatibility/2006">
      <mc:Choice Requires="x14">
        <control shapeId="2063320" r:id="rId32" name="TextBox13">
          <controlPr locked="0" defaultSize="0" disabled="1" autoLine="0" linkedCell="K88" r:id="rId33">
            <anchor moveWithCells="1" sizeWithCells="1">
              <from>
                <xdr:col>4</xdr:col>
                <xdr:colOff>0</xdr:colOff>
                <xdr:row>87</xdr:row>
                <xdr:rowOff>0</xdr:rowOff>
              </from>
              <to>
                <xdr:col>5</xdr:col>
                <xdr:colOff>0</xdr:colOff>
                <xdr:row>88</xdr:row>
                <xdr:rowOff>0</xdr:rowOff>
              </to>
            </anchor>
          </controlPr>
        </control>
      </mc:Choice>
      <mc:Fallback>
        <control shapeId="2063320" r:id="rId32" name="TextBox13"/>
      </mc:Fallback>
    </mc:AlternateContent>
    <mc:AlternateContent xmlns:mc="http://schemas.openxmlformats.org/markup-compatibility/2006">
      <mc:Choice Requires="x14">
        <control shapeId="2063321" r:id="rId34" name="TextBox14">
          <controlPr locked="0" defaultSize="0" disabled="1" autoLine="0" linkedCell="K89" r:id="rId35">
            <anchor moveWithCells="1" sizeWithCells="1">
              <from>
                <xdr:col>4</xdr:col>
                <xdr:colOff>0</xdr:colOff>
                <xdr:row>88</xdr:row>
                <xdr:rowOff>0</xdr:rowOff>
              </from>
              <to>
                <xdr:col>5</xdr:col>
                <xdr:colOff>0</xdr:colOff>
                <xdr:row>89</xdr:row>
                <xdr:rowOff>0</xdr:rowOff>
              </to>
            </anchor>
          </controlPr>
        </control>
      </mc:Choice>
      <mc:Fallback>
        <control shapeId="2063321" r:id="rId34" name="TextBox14"/>
      </mc:Fallback>
    </mc:AlternateContent>
    <mc:AlternateContent xmlns:mc="http://schemas.openxmlformats.org/markup-compatibility/2006">
      <mc:Choice Requires="x14">
        <control shapeId="2063322" r:id="rId36" name="TextBox15">
          <controlPr locked="0" defaultSize="0" disabled="1" autoLine="0" linkedCell="K85" r:id="rId37">
            <anchor moveWithCells="1" sizeWithCells="1">
              <from>
                <xdr:col>4</xdr:col>
                <xdr:colOff>0</xdr:colOff>
                <xdr:row>84</xdr:row>
                <xdr:rowOff>0</xdr:rowOff>
              </from>
              <to>
                <xdr:col>5</xdr:col>
                <xdr:colOff>0</xdr:colOff>
                <xdr:row>85</xdr:row>
                <xdr:rowOff>0</xdr:rowOff>
              </to>
            </anchor>
          </controlPr>
        </control>
      </mc:Choice>
      <mc:Fallback>
        <control shapeId="2063322" r:id="rId36" name="TextBox15"/>
      </mc:Fallback>
    </mc:AlternateContent>
    <mc:AlternateContent xmlns:mc="http://schemas.openxmlformats.org/markup-compatibility/2006">
      <mc:Choice Requires="x14">
        <control shapeId="2063336" r:id="rId38" name="CommandButtonHelp">
          <controlPr defaultSize="0" autoLine="0" r:id="rId39">
            <anchor moveWithCells="1">
              <from>
                <xdr:col>0</xdr:col>
                <xdr:colOff>76200</xdr:colOff>
                <xdr:row>3</xdr:row>
                <xdr:rowOff>523875</xdr:rowOff>
              </from>
              <to>
                <xdr:col>1</xdr:col>
                <xdr:colOff>304800</xdr:colOff>
                <xdr:row>19</xdr:row>
                <xdr:rowOff>19050</xdr:rowOff>
              </to>
            </anchor>
          </controlPr>
        </control>
      </mc:Choice>
      <mc:Fallback>
        <control shapeId="2063336" r:id="rId38" name="CommandButtonHelp"/>
      </mc:Fallback>
    </mc:AlternateContent>
    <mc:AlternateContent xmlns:mc="http://schemas.openxmlformats.org/markup-compatibility/2006">
      <mc:Choice Requires="x14">
        <control shapeId="2063352" r:id="rId40" name="CommandButton1">
          <controlPr defaultSize="0" autoLine="0" r:id="rId41">
            <anchor moveWithCells="1">
              <from>
                <xdr:col>6</xdr:col>
                <xdr:colOff>352425</xdr:colOff>
                <xdr:row>8</xdr:row>
                <xdr:rowOff>133350</xdr:rowOff>
              </from>
              <to>
                <xdr:col>7</xdr:col>
                <xdr:colOff>781050</xdr:colOff>
                <xdr:row>10</xdr:row>
                <xdr:rowOff>152400</xdr:rowOff>
              </to>
            </anchor>
          </controlPr>
        </control>
      </mc:Choice>
      <mc:Fallback>
        <control shapeId="2063352" r:id="rId40"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L114"/>
  <sheetViews>
    <sheetView topLeftCell="A3" workbookViewId="0">
      <selection activeCell="I7" sqref="I7"/>
    </sheetView>
  </sheetViews>
  <sheetFormatPr defaultColWidth="0" defaultRowHeight="14.25" zeroHeight="1"/>
  <cols>
    <col min="1" max="2" width="5.7109375" style="1302" customWidth="1"/>
    <col min="3" max="3" width="50.7109375" style="1429" customWidth="1"/>
    <col min="4" max="4" width="11.7109375" style="1428" customWidth="1"/>
    <col min="5" max="6" width="19.7109375" style="1428" customWidth="1"/>
    <col min="7" max="7" width="8.7109375" style="1302" customWidth="1"/>
    <col min="8" max="8" width="16.7109375" style="1302" customWidth="1"/>
    <col min="9" max="9" width="22.28515625" style="1302" hidden="1" customWidth="1"/>
    <col min="10" max="10" width="9.7109375" style="1302" hidden="1" customWidth="1"/>
    <col min="11" max="11" width="10.42578125" style="2068" hidden="1" customWidth="1"/>
    <col min="12" max="14" width="9.140625" style="1302" hidden="1" customWidth="1"/>
    <col min="15" max="15" width="30.7109375" style="1302" hidden="1" customWidth="1"/>
    <col min="16" max="16384" width="9.140625" style="1302" hidden="1"/>
  </cols>
  <sheetData>
    <row r="1" spans="2:38" hidden="1"/>
    <row r="2" spans="2:38" hidden="1"/>
    <row r="3" spans="2:38" ht="43.5" customHeight="1" thickBot="1">
      <c r="N3" s="1472" t="s">
        <v>822</v>
      </c>
      <c r="O3" s="1472" t="s">
        <v>823</v>
      </c>
      <c r="P3" s="1472" t="s">
        <v>824</v>
      </c>
      <c r="Q3" s="1472" t="s">
        <v>825</v>
      </c>
      <c r="R3" s="1472" t="s">
        <v>1336</v>
      </c>
      <c r="S3" s="1472" t="s">
        <v>1603</v>
      </c>
      <c r="T3" s="1472" t="s">
        <v>1337</v>
      </c>
      <c r="U3" s="1472" t="s">
        <v>1604</v>
      </c>
      <c r="V3" s="1472" t="s">
        <v>1332</v>
      </c>
      <c r="W3" s="1472" t="s">
        <v>1327</v>
      </c>
      <c r="X3" s="1472" t="s">
        <v>1338</v>
      </c>
      <c r="Y3" s="1472" t="s">
        <v>1334</v>
      </c>
      <c r="Z3" s="1472" t="s">
        <v>1335</v>
      </c>
      <c r="AA3" s="1472" t="s">
        <v>835</v>
      </c>
    </row>
    <row r="4" spans="2:38" s="1475" customFormat="1" ht="43.5" customHeight="1">
      <c r="B4" s="1473"/>
      <c r="C4" s="2511" t="s">
        <v>21</v>
      </c>
      <c r="D4" s="2512"/>
      <c r="E4" s="1337" t="s">
        <v>1114</v>
      </c>
      <c r="F4" s="1338" t="s">
        <v>1119</v>
      </c>
      <c r="G4" s="1474"/>
      <c r="H4" s="1474"/>
      <c r="I4" s="1474"/>
      <c r="J4" s="1435"/>
      <c r="K4" s="2069"/>
      <c r="R4" s="1302">
        <f>16.02</f>
        <v>16.02</v>
      </c>
      <c r="S4" s="1302">
        <v>4.1870000000000003</v>
      </c>
      <c r="T4" s="1302">
        <v>2.3260000000000001</v>
      </c>
      <c r="U4" s="1302">
        <f>S4</f>
        <v>4.1870000000000003</v>
      </c>
      <c r="V4" s="1302" t="s">
        <v>837</v>
      </c>
      <c r="W4" s="1302" t="s">
        <v>837</v>
      </c>
      <c r="X4" s="1302">
        <v>2.3260000000000001</v>
      </c>
      <c r="Y4" s="1302">
        <f>X4</f>
        <v>2.3260000000000001</v>
      </c>
      <c r="Z4" s="1302">
        <f>Y4</f>
        <v>2.3260000000000001</v>
      </c>
    </row>
    <row r="5" spans="2:38" s="1304" customFormat="1" ht="20.100000000000001" customHeight="1">
      <c r="B5" s="1473"/>
      <c r="C5" s="2513" t="s">
        <v>1198</v>
      </c>
      <c r="D5" s="2545"/>
      <c r="E5" s="1000"/>
      <c r="F5" s="1434"/>
      <c r="G5" s="1476"/>
      <c r="H5" s="1476"/>
      <c r="I5" s="1476"/>
      <c r="J5" s="1435"/>
      <c r="K5" s="2070"/>
      <c r="N5" s="1302">
        <v>55</v>
      </c>
      <c r="O5" s="1302" t="s">
        <v>928</v>
      </c>
      <c r="P5" s="1302" t="s">
        <v>1198</v>
      </c>
      <c r="Q5" s="1302"/>
      <c r="R5" s="1302">
        <f>AC5/$R$4</f>
        <v>0</v>
      </c>
      <c r="S5" s="1302">
        <f>AD5/$S$4</f>
        <v>0.47002627179364698</v>
      </c>
      <c r="T5" s="1302">
        <v>0</v>
      </c>
      <c r="U5" s="1302">
        <v>0</v>
      </c>
      <c r="V5" s="1302">
        <f>AG5*1.8+32</f>
        <v>-4.0000000000048885E-3</v>
      </c>
      <c r="W5" s="1302">
        <f>AH5*1.8+32</f>
        <v>-4.0000000000048885E-3</v>
      </c>
      <c r="X5" s="1302">
        <v>0</v>
      </c>
      <c r="Y5" s="1302">
        <v>0</v>
      </c>
      <c r="Z5" s="1302">
        <v>0</v>
      </c>
      <c r="AA5" s="1302" t="b">
        <v>0</v>
      </c>
      <c r="AC5" s="1477">
        <v>0</v>
      </c>
      <c r="AD5" s="1477">
        <v>1.968</v>
      </c>
      <c r="AE5" s="1477">
        <v>0</v>
      </c>
      <c r="AF5" s="1477">
        <v>0</v>
      </c>
      <c r="AG5" s="1477">
        <v>-17.78</v>
      </c>
      <c r="AH5" s="1477">
        <v>-17.78</v>
      </c>
      <c r="AI5" s="1477">
        <v>0</v>
      </c>
      <c r="AJ5" s="1477">
        <v>0</v>
      </c>
      <c r="AK5" s="1477">
        <v>0</v>
      </c>
      <c r="AL5" s="1478"/>
    </row>
    <row r="6" spans="2:38" s="1480" customFormat="1" ht="30" customHeight="1">
      <c r="B6" s="1473"/>
      <c r="C6" s="2503" t="s">
        <v>1605</v>
      </c>
      <c r="D6" s="2504"/>
      <c r="E6" s="2012" t="s">
        <v>928</v>
      </c>
      <c r="F6" s="2014" t="str">
        <f>E6</f>
        <v>Water vapor - near atm. pressure</v>
      </c>
      <c r="G6" s="1479"/>
      <c r="H6" s="1479"/>
      <c r="I6" s="1045" t="s">
        <v>8</v>
      </c>
      <c r="J6" s="1435"/>
      <c r="K6" s="2071"/>
      <c r="N6" s="1302">
        <v>56</v>
      </c>
      <c r="O6" s="1302" t="s">
        <v>1472</v>
      </c>
      <c r="P6" s="1302" t="s">
        <v>1198</v>
      </c>
      <c r="Q6" s="1302"/>
      <c r="R6" s="1302">
        <v>0</v>
      </c>
      <c r="S6" s="1302">
        <f t="shared" ref="S6:S13" si="0">AD6/$S$4</f>
        <v>0.49008836876044898</v>
      </c>
      <c r="T6" s="1302">
        <v>0</v>
      </c>
      <c r="U6" s="1302">
        <v>0</v>
      </c>
      <c r="V6" s="1302">
        <f t="shared" ref="V6:V14" si="1">AG6*1.8+32</f>
        <v>-4.0000000000048885E-3</v>
      </c>
      <c r="W6" s="1302">
        <f t="shared" ref="W6:W14" si="2">AH6*1.8+32</f>
        <v>-4.0000000000048885E-3</v>
      </c>
      <c r="X6" s="1302">
        <v>0</v>
      </c>
      <c r="Y6" s="1302">
        <v>0</v>
      </c>
      <c r="Z6" s="1302">
        <v>0</v>
      </c>
      <c r="AA6" s="1302" t="b">
        <v>0</v>
      </c>
      <c r="AC6" s="1477">
        <v>0</v>
      </c>
      <c r="AD6" s="1477">
        <v>2.052</v>
      </c>
      <c r="AE6" s="1477">
        <v>0</v>
      </c>
      <c r="AF6" s="1477">
        <v>0</v>
      </c>
      <c r="AG6" s="1477">
        <v>-17.78</v>
      </c>
      <c r="AH6" s="1477">
        <v>-17.78</v>
      </c>
      <c r="AI6" s="1477">
        <v>0</v>
      </c>
      <c r="AJ6" s="1477">
        <v>0</v>
      </c>
      <c r="AK6" s="1477">
        <v>0</v>
      </c>
      <c r="AL6" s="1481"/>
    </row>
    <row r="7" spans="2:38" ht="20.100000000000001" customHeight="1">
      <c r="B7" s="1473"/>
      <c r="C7" s="2503"/>
      <c r="D7" s="2504"/>
      <c r="E7" s="2033"/>
      <c r="F7" s="2034"/>
      <c r="G7" s="1312"/>
      <c r="H7" s="1312"/>
      <c r="I7" s="1482" t="s">
        <v>6</v>
      </c>
      <c r="J7" s="1435"/>
      <c r="K7" s="2068" t="s">
        <v>490</v>
      </c>
      <c r="N7" s="1302">
        <v>57</v>
      </c>
      <c r="O7" s="1302" t="s">
        <v>1473</v>
      </c>
      <c r="P7" s="1302" t="s">
        <v>1198</v>
      </c>
      <c r="R7" s="1302">
        <v>0</v>
      </c>
      <c r="S7" s="1302">
        <f t="shared" si="0"/>
        <v>0.50991163123955086</v>
      </c>
      <c r="T7" s="1302">
        <v>0</v>
      </c>
      <c r="U7" s="1302">
        <v>0</v>
      </c>
      <c r="V7" s="1302">
        <f t="shared" si="1"/>
        <v>-4.0000000000048885E-3</v>
      </c>
      <c r="W7" s="1302">
        <f t="shared" si="2"/>
        <v>-4.0000000000048885E-3</v>
      </c>
      <c r="X7" s="1302">
        <v>0</v>
      </c>
      <c r="Y7" s="1302">
        <v>0</v>
      </c>
      <c r="Z7" s="1302">
        <v>0</v>
      </c>
      <c r="AA7" s="1302" t="b">
        <v>0</v>
      </c>
      <c r="AC7" s="1477">
        <v>0</v>
      </c>
      <c r="AD7" s="1477">
        <v>2.1349999999999998</v>
      </c>
      <c r="AE7" s="1477">
        <v>0</v>
      </c>
      <c r="AF7" s="1477">
        <v>0</v>
      </c>
      <c r="AG7" s="1477">
        <v>-17.78</v>
      </c>
      <c r="AH7" s="1477">
        <v>-17.78</v>
      </c>
      <c r="AI7" s="1477">
        <v>0</v>
      </c>
      <c r="AJ7" s="1477">
        <v>0</v>
      </c>
      <c r="AK7" s="1477">
        <v>0</v>
      </c>
      <c r="AL7" s="1477"/>
    </row>
    <row r="8" spans="2:38" ht="20.100000000000001" customHeight="1">
      <c r="B8" s="1473"/>
      <c r="C8" s="1170" t="s">
        <v>508</v>
      </c>
      <c r="D8" s="1351" t="s">
        <v>1346</v>
      </c>
      <c r="E8" s="1440">
        <f>IF(E6="Other",K8,VLOOKUP(E6,$O$5:$AA$44,5,))</f>
        <v>0.47002627179364698</v>
      </c>
      <c r="F8" s="1441">
        <f>E8</f>
        <v>0.47002627179364698</v>
      </c>
      <c r="G8" s="1483"/>
      <c r="H8" s="1484"/>
      <c r="I8" s="1045" t="s">
        <v>774</v>
      </c>
      <c r="J8" s="1435"/>
      <c r="K8" s="2086">
        <v>0</v>
      </c>
      <c r="N8" s="1302">
        <v>58</v>
      </c>
      <c r="O8" s="1302" t="s">
        <v>1474</v>
      </c>
      <c r="P8" s="1302" t="s">
        <v>1198</v>
      </c>
      <c r="R8" s="1302">
        <v>0</v>
      </c>
      <c r="S8" s="1302">
        <f t="shared" si="0"/>
        <v>0.58992118461905896</v>
      </c>
      <c r="T8" s="1302">
        <v>0</v>
      </c>
      <c r="U8" s="1302">
        <v>0</v>
      </c>
      <c r="V8" s="1302">
        <f t="shared" si="1"/>
        <v>-4.0000000000048885E-3</v>
      </c>
      <c r="W8" s="1302">
        <f t="shared" si="2"/>
        <v>-4.0000000000048885E-3</v>
      </c>
      <c r="X8" s="1302">
        <v>0</v>
      </c>
      <c r="Y8" s="1302">
        <v>0</v>
      </c>
      <c r="Z8" s="1302">
        <v>0</v>
      </c>
      <c r="AA8" s="1302" t="b">
        <v>0</v>
      </c>
      <c r="AC8" s="1477">
        <v>0</v>
      </c>
      <c r="AD8" s="1477">
        <v>2.4700000000000002</v>
      </c>
      <c r="AE8" s="1477">
        <v>0</v>
      </c>
      <c r="AF8" s="1477">
        <v>0</v>
      </c>
      <c r="AG8" s="1477">
        <v>-17.78</v>
      </c>
      <c r="AH8" s="1477">
        <v>-17.78</v>
      </c>
      <c r="AI8" s="1477">
        <v>0</v>
      </c>
      <c r="AJ8" s="1477">
        <v>0</v>
      </c>
      <c r="AK8" s="1477">
        <v>0</v>
      </c>
      <c r="AL8" s="1477"/>
    </row>
    <row r="9" spans="2:38" ht="20.100000000000001" customHeight="1">
      <c r="B9" s="1473"/>
      <c r="C9" s="1358"/>
      <c r="D9" s="1359"/>
      <c r="E9" s="1359"/>
      <c r="F9" s="1449"/>
      <c r="G9" s="1312"/>
      <c r="H9" s="1485"/>
      <c r="I9" s="1312"/>
      <c r="J9" s="1435"/>
      <c r="N9" s="1302">
        <v>59</v>
      </c>
      <c r="O9" s="1302" t="s">
        <v>932</v>
      </c>
      <c r="P9" s="1302" t="s">
        <v>1198</v>
      </c>
      <c r="R9" s="1302">
        <v>0</v>
      </c>
      <c r="S9" s="1302">
        <f t="shared" si="0"/>
        <v>0.24504418438022449</v>
      </c>
      <c r="T9" s="1302">
        <v>0</v>
      </c>
      <c r="U9" s="1302">
        <v>0</v>
      </c>
      <c r="V9" s="1302">
        <f t="shared" si="1"/>
        <v>-4.0000000000048885E-3</v>
      </c>
      <c r="W9" s="1302">
        <f t="shared" si="2"/>
        <v>-4.0000000000048885E-3</v>
      </c>
      <c r="X9" s="1302">
        <v>0</v>
      </c>
      <c r="Y9" s="1302">
        <v>0</v>
      </c>
      <c r="Z9" s="1302">
        <v>0</v>
      </c>
      <c r="AA9" s="1302" t="b">
        <v>0</v>
      </c>
      <c r="AC9" s="1477">
        <v>0</v>
      </c>
      <c r="AD9" s="1477">
        <v>1.026</v>
      </c>
      <c r="AE9" s="1477">
        <v>0</v>
      </c>
      <c r="AF9" s="1477">
        <v>0</v>
      </c>
      <c r="AG9" s="1477">
        <v>-17.78</v>
      </c>
      <c r="AH9" s="1477">
        <v>-17.78</v>
      </c>
      <c r="AI9" s="1477">
        <v>0</v>
      </c>
      <c r="AJ9" s="1477">
        <v>0</v>
      </c>
      <c r="AK9" s="1477">
        <v>0</v>
      </c>
      <c r="AL9" s="1477"/>
    </row>
    <row r="10" spans="2:38" ht="20.100000000000001" customHeight="1">
      <c r="B10" s="1473"/>
      <c r="C10" s="1170" t="s">
        <v>509</v>
      </c>
      <c r="D10" s="1351" t="s">
        <v>1341</v>
      </c>
      <c r="E10" s="930"/>
      <c r="F10" s="928"/>
      <c r="G10" s="1486"/>
      <c r="H10" s="1487"/>
      <c r="I10" s="1312">
        <f>E10*L19</f>
        <v>0</v>
      </c>
      <c r="J10" s="1452">
        <f>F10*L19</f>
        <v>0</v>
      </c>
      <c r="N10" s="1302">
        <v>60</v>
      </c>
      <c r="O10" s="1302" t="s">
        <v>933</v>
      </c>
      <c r="P10" s="1302" t="s">
        <v>1198</v>
      </c>
      <c r="R10" s="1302">
        <v>0</v>
      </c>
      <c r="S10" s="1302">
        <f t="shared" si="0"/>
        <v>0.25005970862192495</v>
      </c>
      <c r="T10" s="1302">
        <v>0</v>
      </c>
      <c r="U10" s="1302">
        <v>0</v>
      </c>
      <c r="V10" s="1302">
        <f t="shared" si="1"/>
        <v>-4.0000000000048885E-3</v>
      </c>
      <c r="W10" s="1302">
        <f t="shared" si="2"/>
        <v>-4.0000000000048885E-3</v>
      </c>
      <c r="X10" s="1302">
        <v>0</v>
      </c>
      <c r="Y10" s="1302">
        <v>0</v>
      </c>
      <c r="Z10" s="1302">
        <v>0</v>
      </c>
      <c r="AA10" s="1302" t="b">
        <v>0</v>
      </c>
      <c r="AC10" s="1477">
        <v>0</v>
      </c>
      <c r="AD10" s="1477">
        <v>1.0469999999999999</v>
      </c>
      <c r="AE10" s="1477">
        <v>0</v>
      </c>
      <c r="AF10" s="1477">
        <v>0</v>
      </c>
      <c r="AG10" s="1477">
        <v>-17.78</v>
      </c>
      <c r="AH10" s="1477">
        <v>-17.78</v>
      </c>
      <c r="AI10" s="1477">
        <v>0</v>
      </c>
      <c r="AJ10" s="1477">
        <v>0</v>
      </c>
      <c r="AK10" s="1477">
        <v>0</v>
      </c>
      <c r="AL10" s="1477"/>
    </row>
    <row r="11" spans="2:38" ht="20.100000000000001" customHeight="1">
      <c r="B11" s="1473"/>
      <c r="C11" s="1170" t="s">
        <v>510</v>
      </c>
      <c r="D11" s="1351" t="s">
        <v>1116</v>
      </c>
      <c r="E11" s="2095"/>
      <c r="F11" s="2096"/>
      <c r="G11" s="1488"/>
      <c r="H11" s="1489"/>
      <c r="I11" s="1312"/>
      <c r="J11" s="1435"/>
      <c r="N11" s="1302">
        <v>61</v>
      </c>
      <c r="O11" s="1302" t="s">
        <v>934</v>
      </c>
      <c r="P11" s="1302" t="s">
        <v>1198</v>
      </c>
      <c r="R11" s="1302">
        <v>0</v>
      </c>
      <c r="S11" s="1302">
        <f t="shared" si="0"/>
        <v>0.22999761165512297</v>
      </c>
      <c r="T11" s="1302">
        <v>0</v>
      </c>
      <c r="U11" s="1302">
        <v>0</v>
      </c>
      <c r="V11" s="1302">
        <f t="shared" si="1"/>
        <v>-4.0000000000048885E-3</v>
      </c>
      <c r="W11" s="1302">
        <f t="shared" si="2"/>
        <v>-4.0000000000048885E-3</v>
      </c>
      <c r="X11" s="1302">
        <v>0</v>
      </c>
      <c r="Y11" s="1302">
        <v>0</v>
      </c>
      <c r="Z11" s="1302">
        <v>0</v>
      </c>
      <c r="AA11" s="1302" t="b">
        <v>0</v>
      </c>
      <c r="AC11" s="1477">
        <v>0</v>
      </c>
      <c r="AD11" s="1477">
        <v>0.96299999999999997</v>
      </c>
      <c r="AE11" s="1477">
        <v>0</v>
      </c>
      <c r="AF11" s="1477">
        <v>0</v>
      </c>
      <c r="AG11" s="1477">
        <v>-17.78</v>
      </c>
      <c r="AH11" s="1477">
        <v>-17.78</v>
      </c>
      <c r="AI11" s="1477">
        <v>0</v>
      </c>
      <c r="AJ11" s="1477">
        <v>0</v>
      </c>
      <c r="AK11" s="1477">
        <v>0</v>
      </c>
      <c r="AL11" s="1477"/>
    </row>
    <row r="12" spans="2:38" ht="20.100000000000001" customHeight="1">
      <c r="B12" s="1473"/>
      <c r="C12" s="1170" t="s">
        <v>503</v>
      </c>
      <c r="D12" s="1351" t="s">
        <v>1175</v>
      </c>
      <c r="E12" s="930"/>
      <c r="F12" s="928"/>
      <c r="G12" s="1312"/>
      <c r="H12" s="1487"/>
      <c r="I12" s="1312"/>
      <c r="J12" s="1435"/>
      <c r="N12" s="1302">
        <v>62</v>
      </c>
      <c r="O12" s="1302" t="s">
        <v>935</v>
      </c>
      <c r="P12" s="1302" t="s">
        <v>1198</v>
      </c>
      <c r="R12" s="1302">
        <v>0</v>
      </c>
      <c r="S12" s="1302">
        <f t="shared" si="0"/>
        <v>0.24002866013852397</v>
      </c>
      <c r="T12" s="1302">
        <v>0</v>
      </c>
      <c r="U12" s="1302">
        <v>0</v>
      </c>
      <c r="V12" s="1302">
        <f t="shared" si="1"/>
        <v>-4.0000000000048885E-3</v>
      </c>
      <c r="W12" s="1302">
        <f t="shared" si="2"/>
        <v>-4.0000000000048885E-3</v>
      </c>
      <c r="X12" s="1302">
        <v>0</v>
      </c>
      <c r="Y12" s="1302">
        <v>0</v>
      </c>
      <c r="Z12" s="1302">
        <v>0</v>
      </c>
      <c r="AA12" s="1302" t="b">
        <v>0</v>
      </c>
      <c r="AC12" s="1477">
        <v>0</v>
      </c>
      <c r="AD12" s="1477">
        <v>1.0049999999999999</v>
      </c>
      <c r="AE12" s="1477">
        <v>0</v>
      </c>
      <c r="AF12" s="1477">
        <v>0</v>
      </c>
      <c r="AG12" s="1477">
        <v>-17.78</v>
      </c>
      <c r="AH12" s="1477">
        <v>-17.78</v>
      </c>
      <c r="AI12" s="1477">
        <v>0</v>
      </c>
      <c r="AJ12" s="1477">
        <v>0</v>
      </c>
      <c r="AK12" s="1477">
        <v>0</v>
      </c>
      <c r="AL12" s="1477"/>
    </row>
    <row r="13" spans="2:38" ht="20.100000000000001" customHeight="1">
      <c r="B13" s="1473"/>
      <c r="C13" s="1170" t="s">
        <v>502</v>
      </c>
      <c r="D13" s="1351" t="s">
        <v>1175</v>
      </c>
      <c r="E13" s="930"/>
      <c r="F13" s="928"/>
      <c r="G13" s="1312"/>
      <c r="H13" s="1487"/>
      <c r="I13" s="1312"/>
      <c r="J13" s="1435"/>
      <c r="N13" s="1302">
        <v>63</v>
      </c>
      <c r="O13" s="1302" t="s">
        <v>936</v>
      </c>
      <c r="P13" s="1302" t="s">
        <v>1198</v>
      </c>
      <c r="R13" s="1302">
        <v>0</v>
      </c>
      <c r="S13" s="1302">
        <f t="shared" si="0"/>
        <v>0.25005970862192495</v>
      </c>
      <c r="T13" s="1302">
        <v>0</v>
      </c>
      <c r="U13" s="1302">
        <v>0</v>
      </c>
      <c r="V13" s="1302">
        <f t="shared" si="1"/>
        <v>-4.0000000000048885E-3</v>
      </c>
      <c r="W13" s="1302">
        <f t="shared" si="2"/>
        <v>-4.0000000000048885E-3</v>
      </c>
      <c r="X13" s="1302">
        <v>0</v>
      </c>
      <c r="Y13" s="1302">
        <v>0</v>
      </c>
      <c r="Z13" s="1302">
        <v>0</v>
      </c>
      <c r="AA13" s="1302" t="b">
        <v>0</v>
      </c>
      <c r="AC13" s="1477">
        <v>0</v>
      </c>
      <c r="AD13" s="1477">
        <v>1.0469999999999999</v>
      </c>
      <c r="AE13" s="1477">
        <v>0</v>
      </c>
      <c r="AF13" s="1477">
        <v>0</v>
      </c>
      <c r="AG13" s="1477">
        <v>-17.78</v>
      </c>
      <c r="AH13" s="1477">
        <v>-17.78</v>
      </c>
      <c r="AI13" s="1477">
        <v>0</v>
      </c>
      <c r="AJ13" s="1477">
        <v>0</v>
      </c>
      <c r="AK13" s="1477">
        <v>0</v>
      </c>
      <c r="AL13" s="1477"/>
    </row>
    <row r="14" spans="2:38" ht="20.100000000000001" customHeight="1">
      <c r="B14" s="1473"/>
      <c r="C14" s="1170" t="s">
        <v>500</v>
      </c>
      <c r="D14" s="1351" t="s">
        <v>1346</v>
      </c>
      <c r="E14" s="2097"/>
      <c r="F14" s="2098"/>
      <c r="G14" s="1483"/>
      <c r="H14" s="1484"/>
      <c r="I14" s="1312"/>
      <c r="J14" s="1435"/>
      <c r="N14" s="1302">
        <v>64</v>
      </c>
      <c r="O14" s="1302" t="s">
        <v>937</v>
      </c>
      <c r="P14" s="1302" t="s">
        <v>1198</v>
      </c>
      <c r="R14" s="1302">
        <v>0</v>
      </c>
      <c r="S14" s="1302">
        <v>14.445</v>
      </c>
      <c r="T14" s="1302">
        <v>0</v>
      </c>
      <c r="U14" s="1302">
        <v>0</v>
      </c>
      <c r="V14" s="1302">
        <f t="shared" si="1"/>
        <v>-4.0000000000048885E-3</v>
      </c>
      <c r="W14" s="1302">
        <f t="shared" si="2"/>
        <v>-4.0000000000048885E-3</v>
      </c>
      <c r="X14" s="1302">
        <v>0</v>
      </c>
      <c r="Y14" s="1302">
        <v>0</v>
      </c>
      <c r="Z14" s="1302">
        <v>0</v>
      </c>
      <c r="AA14" s="1302" t="b">
        <v>0</v>
      </c>
      <c r="AC14" s="1477">
        <v>0</v>
      </c>
      <c r="AD14" s="1477">
        <v>14.445</v>
      </c>
      <c r="AE14" s="1477">
        <v>0</v>
      </c>
      <c r="AF14" s="1477">
        <v>0</v>
      </c>
      <c r="AG14" s="1477">
        <v>-17.78</v>
      </c>
      <c r="AH14" s="1477">
        <v>-17.78</v>
      </c>
      <c r="AI14" s="1477">
        <v>0</v>
      </c>
      <c r="AJ14" s="1477">
        <v>0</v>
      </c>
      <c r="AK14" s="1477">
        <v>0</v>
      </c>
      <c r="AL14" s="1477"/>
    </row>
    <row r="15" spans="2:38" ht="20.100000000000001" customHeight="1">
      <c r="B15" s="1473"/>
      <c r="C15" s="1170" t="s">
        <v>815</v>
      </c>
      <c r="D15" s="1351" t="s">
        <v>1116</v>
      </c>
      <c r="E15" s="931"/>
      <c r="F15" s="927"/>
      <c r="G15" s="1488"/>
      <c r="H15" s="1488"/>
      <c r="I15" s="1312"/>
      <c r="J15" s="1435"/>
      <c r="O15" s="1302" t="s">
        <v>1292</v>
      </c>
    </row>
    <row r="16" spans="2:38" ht="20.100000000000001" customHeight="1">
      <c r="B16" s="1473"/>
      <c r="C16" s="1170" t="s">
        <v>505</v>
      </c>
      <c r="D16" s="1351" t="s">
        <v>1347</v>
      </c>
      <c r="E16" s="930"/>
      <c r="F16" s="928"/>
      <c r="G16" s="1490"/>
      <c r="H16" s="1486"/>
      <c r="I16" s="1312"/>
      <c r="J16" s="1435"/>
    </row>
    <row r="17" spans="2:13" ht="20.100000000000001" customHeight="1">
      <c r="B17" s="1473"/>
      <c r="C17" s="1170" t="s">
        <v>802</v>
      </c>
      <c r="D17" s="1359"/>
      <c r="E17" s="1168" t="s">
        <v>799</v>
      </c>
      <c r="F17" s="1169" t="s">
        <v>799</v>
      </c>
      <c r="G17" s="1312"/>
      <c r="H17" s="1485"/>
      <c r="I17" s="1312"/>
      <c r="J17" s="1435"/>
    </row>
    <row r="18" spans="2:13" ht="20.100000000000001" customHeight="1" thickBot="1">
      <c r="B18" s="1473"/>
      <c r="C18" s="1366" t="s">
        <v>511</v>
      </c>
      <c r="D18" s="1367" t="s">
        <v>1173</v>
      </c>
      <c r="E18" s="965"/>
      <c r="F18" s="966"/>
      <c r="G18" s="1486"/>
      <c r="H18" s="1487"/>
      <c r="I18" s="1312"/>
      <c r="J18" s="1435"/>
    </row>
    <row r="19" spans="2:13" ht="20.100000000000001" customHeight="1" thickBot="1">
      <c r="B19" s="1473"/>
      <c r="C19" s="973" t="s">
        <v>753</v>
      </c>
      <c r="D19" s="1368" t="s">
        <v>1173</v>
      </c>
      <c r="E19" s="1369">
        <f>E35</f>
        <v>0</v>
      </c>
      <c r="F19" s="1370">
        <f>F35</f>
        <v>0</v>
      </c>
      <c r="G19" s="1491"/>
      <c r="H19" s="1492"/>
      <c r="I19" s="1312"/>
      <c r="J19" s="1435"/>
      <c r="L19" s="1302">
        <f>IF('Control page'!$D$13=0,0,1)</f>
        <v>1</v>
      </c>
      <c r="M19" s="1302" t="s">
        <v>3</v>
      </c>
    </row>
    <row r="20" spans="2:13" s="1312" customFormat="1" ht="20.100000000000001" customHeight="1">
      <c r="C20" s="918"/>
      <c r="D20" s="1433"/>
      <c r="E20" s="1433"/>
      <c r="F20" s="1433"/>
      <c r="K20" s="2072"/>
    </row>
    <row r="21" spans="2:13" s="1312" customFormat="1" ht="20.100000000000001" customHeight="1">
      <c r="C21" s="918"/>
      <c r="D21" s="1433"/>
      <c r="E21" s="1433"/>
      <c r="F21" s="1433"/>
      <c r="K21" s="2072"/>
    </row>
    <row r="22" spans="2:13" s="1312" customFormat="1" ht="20.100000000000001" customHeight="1">
      <c r="C22" s="918"/>
      <c r="D22" s="1433"/>
      <c r="E22" s="1433"/>
      <c r="F22" s="1433"/>
      <c r="K22" s="2072"/>
    </row>
    <row r="23" spans="2:13" s="1312" customFormat="1" ht="20.100000000000001" customHeight="1">
      <c r="C23" s="918"/>
      <c r="D23" s="1433"/>
      <c r="E23" s="1433"/>
      <c r="F23" s="1433"/>
      <c r="K23" s="2072"/>
    </row>
    <row r="24" spans="2:13" s="1312" customFormat="1" ht="20.100000000000001" hidden="1" customHeight="1">
      <c r="C24" s="1493" t="s">
        <v>1178</v>
      </c>
      <c r="D24" s="1494"/>
      <c r="E24" s="1495"/>
      <c r="F24" s="1495"/>
      <c r="G24" s="1496"/>
      <c r="K24" s="2072"/>
    </row>
    <row r="25" spans="2:13" ht="20.100000000000001" hidden="1" customHeight="1">
      <c r="C25" s="1281" t="s">
        <v>816</v>
      </c>
      <c r="D25" s="1495"/>
      <c r="E25" s="1497">
        <f>ROUND(E11*E10,0)</f>
        <v>0</v>
      </c>
      <c r="F25" s="1497">
        <f>ROUND(F11*F10,0)</f>
        <v>0</v>
      </c>
      <c r="G25" s="1496" t="s">
        <v>1396</v>
      </c>
    </row>
    <row r="26" spans="2:13" ht="20.100000000000001" hidden="1" customHeight="1">
      <c r="C26" s="1281" t="s">
        <v>817</v>
      </c>
      <c r="D26" s="1495"/>
      <c r="E26" s="1497">
        <f>E10-E25</f>
        <v>0</v>
      </c>
      <c r="F26" s="1497">
        <f>F10-F25</f>
        <v>0</v>
      </c>
      <c r="G26" s="1496" t="s">
        <v>1396</v>
      </c>
    </row>
    <row r="27" spans="2:13" ht="20.100000000000001" hidden="1" customHeight="1">
      <c r="C27" s="1281"/>
      <c r="D27" s="1495"/>
      <c r="E27" s="1497"/>
      <c r="F27" s="1497"/>
      <c r="G27" s="1496"/>
    </row>
    <row r="28" spans="2:13" ht="20.100000000000001" hidden="1" customHeight="1">
      <c r="C28" s="1282" t="s">
        <v>805</v>
      </c>
      <c r="D28" s="1498"/>
      <c r="E28" s="1497"/>
      <c r="F28" s="1497"/>
      <c r="G28" s="1496"/>
    </row>
    <row r="29" spans="2:13" ht="20.100000000000001" hidden="1" customHeight="1">
      <c r="C29" s="1281" t="s">
        <v>818</v>
      </c>
      <c r="D29" s="1495"/>
      <c r="E29" s="1497">
        <f>E14*E25*(E13-E12)</f>
        <v>0</v>
      </c>
      <c r="F29" s="1497">
        <f>F14*F25*(F13-F12)</f>
        <v>0</v>
      </c>
      <c r="G29" s="1496" t="s">
        <v>1397</v>
      </c>
    </row>
    <row r="30" spans="2:13" ht="20.100000000000001" hidden="1" customHeight="1">
      <c r="C30" s="1281" t="s">
        <v>819</v>
      </c>
      <c r="D30" s="1495"/>
      <c r="E30" s="1497">
        <f>IF(E17="Endothermic",1,-1)*E15*E10*E16</f>
        <v>0</v>
      </c>
      <c r="F30" s="1497">
        <f>IF(F17="Endothermic",1,-1)*F15*F10*F16</f>
        <v>0</v>
      </c>
      <c r="G30" s="1496" t="s">
        <v>1397</v>
      </c>
      <c r="J30" s="1499">
        <f>IF(E30&lt;0,-1,0)*E30*L19</f>
        <v>0</v>
      </c>
      <c r="K30" s="2073">
        <f>IF(F30&lt;0,-1,0)*F30*L19</f>
        <v>0</v>
      </c>
    </row>
    <row r="31" spans="2:13" ht="20.100000000000001" hidden="1" customHeight="1">
      <c r="C31" s="1281" t="s">
        <v>820</v>
      </c>
      <c r="D31" s="1495"/>
      <c r="E31" s="1497">
        <f>E8*E26*(E13-E12)</f>
        <v>0</v>
      </c>
      <c r="F31" s="1497">
        <f>F8*F26*(F13-F12)</f>
        <v>0</v>
      </c>
      <c r="G31" s="1496" t="s">
        <v>1397</v>
      </c>
    </row>
    <row r="32" spans="2:13" ht="20.100000000000001" hidden="1" customHeight="1">
      <c r="C32" s="1493" t="s">
        <v>809</v>
      </c>
      <c r="D32" s="1494"/>
      <c r="E32" s="1500">
        <f>E29+E31+(IF(E17="Endothermic",E30,0))</f>
        <v>0</v>
      </c>
      <c r="F32" s="1500">
        <f>F29+F31+(IF(F17="Endothermic",F30,0))</f>
        <v>0</v>
      </c>
      <c r="G32" s="1496" t="s">
        <v>1397</v>
      </c>
    </row>
    <row r="33" spans="3:11" ht="20.100000000000001" hidden="1" customHeight="1">
      <c r="C33" s="1281"/>
      <c r="D33" s="1495"/>
      <c r="E33" s="1495"/>
      <c r="F33" s="1495"/>
      <c r="G33" s="1496"/>
    </row>
    <row r="34" spans="3:11" ht="20.100000000000001" hidden="1" customHeight="1">
      <c r="C34" s="1493"/>
      <c r="D34" s="1494"/>
      <c r="E34" s="1500"/>
      <c r="F34" s="1500"/>
      <c r="G34" s="1501"/>
    </row>
    <row r="35" spans="3:11" ht="20.100000000000001" hidden="1" customHeight="1">
      <c r="C35" s="1493" t="s">
        <v>821</v>
      </c>
      <c r="D35" s="1494"/>
      <c r="E35" s="1500">
        <f>E32+E18</f>
        <v>0</v>
      </c>
      <c r="F35" s="1500">
        <f>F32+F18</f>
        <v>0</v>
      </c>
      <c r="G35" s="1496" t="s">
        <v>1397</v>
      </c>
    </row>
    <row r="36" spans="3:11" ht="20.100000000000001" customHeight="1"/>
    <row r="37" spans="3:11" s="1304" customFormat="1" ht="20.100000000000001" customHeight="1" thickBot="1">
      <c r="C37" s="1467"/>
      <c r="D37" s="1436"/>
      <c r="E37" s="1436"/>
      <c r="F37" s="1436"/>
      <c r="K37" s="2070"/>
    </row>
    <row r="38" spans="3:11" s="1304" customFormat="1" ht="43.5" customHeight="1">
      <c r="C38" s="2511" t="s">
        <v>20</v>
      </c>
      <c r="D38" s="2512"/>
      <c r="E38" s="1337" t="s">
        <v>1114</v>
      </c>
      <c r="F38" s="1338" t="s">
        <v>1119</v>
      </c>
      <c r="K38" s="2070"/>
    </row>
    <row r="39" spans="3:11" s="1304" customFormat="1" ht="20.100000000000001" customHeight="1">
      <c r="C39" s="2513" t="s">
        <v>1198</v>
      </c>
      <c r="D39" s="2514"/>
      <c r="E39" s="1000"/>
      <c r="F39" s="1434"/>
      <c r="K39" s="2070"/>
    </row>
    <row r="40" spans="3:11" s="1304" customFormat="1" ht="30" customHeight="1">
      <c r="C40" s="2503" t="s">
        <v>1602</v>
      </c>
      <c r="D40" s="2504"/>
      <c r="E40" s="2012" t="s">
        <v>928</v>
      </c>
      <c r="F40" s="2014" t="str">
        <f>E40</f>
        <v>Water vapor - near atm. pressure</v>
      </c>
      <c r="K40" s="2070"/>
    </row>
    <row r="41" spans="3:11" s="1304" customFormat="1" ht="20.100000000000001" customHeight="1">
      <c r="C41" s="2503"/>
      <c r="D41" s="2504"/>
      <c r="E41" s="2033"/>
      <c r="F41" s="2034"/>
      <c r="K41" s="2068" t="s">
        <v>491</v>
      </c>
    </row>
    <row r="42" spans="3:11" s="1304" customFormat="1" ht="20.100000000000001" customHeight="1">
      <c r="C42" s="1170" t="s">
        <v>508</v>
      </c>
      <c r="D42" s="1351" t="s">
        <v>1346</v>
      </c>
      <c r="E42" s="1440">
        <f>IF(E40="Other",K42,VLOOKUP(E40,$O$5:$AA$44,5,))</f>
        <v>0.47002627179364698</v>
      </c>
      <c r="F42" s="1441">
        <f>E42</f>
        <v>0.47002627179364698</v>
      </c>
      <c r="K42" s="2086">
        <v>0</v>
      </c>
    </row>
    <row r="43" spans="3:11" s="1304" customFormat="1" ht="20.100000000000001" customHeight="1">
      <c r="C43" s="1358"/>
      <c r="D43" s="1359"/>
      <c r="E43" s="1359"/>
      <c r="F43" s="1449"/>
      <c r="K43" s="2070"/>
    </row>
    <row r="44" spans="3:11" s="1304" customFormat="1" ht="20.100000000000001" customHeight="1">
      <c r="C44" s="1170" t="s">
        <v>509</v>
      </c>
      <c r="D44" s="1351" t="s">
        <v>1341</v>
      </c>
      <c r="E44" s="930"/>
      <c r="F44" s="928"/>
      <c r="I44" s="1312">
        <f>E44*L53</f>
        <v>0</v>
      </c>
      <c r="J44" s="1452">
        <f>F44*L53</f>
        <v>0</v>
      </c>
      <c r="K44" s="2070"/>
    </row>
    <row r="45" spans="3:11" ht="20.100000000000001" customHeight="1">
      <c r="C45" s="1170" t="s">
        <v>510</v>
      </c>
      <c r="D45" s="1351" t="s">
        <v>1116</v>
      </c>
      <c r="E45" s="2095"/>
      <c r="F45" s="2096"/>
    </row>
    <row r="46" spans="3:11" ht="20.100000000000001" customHeight="1">
      <c r="C46" s="1170" t="s">
        <v>503</v>
      </c>
      <c r="D46" s="1351" t="s">
        <v>1175</v>
      </c>
      <c r="E46" s="930"/>
      <c r="F46" s="928"/>
    </row>
    <row r="47" spans="3:11" ht="20.100000000000001" customHeight="1">
      <c r="C47" s="1170" t="s">
        <v>502</v>
      </c>
      <c r="D47" s="1351" t="s">
        <v>1175</v>
      </c>
      <c r="E47" s="930"/>
      <c r="F47" s="928"/>
    </row>
    <row r="48" spans="3:11" ht="20.100000000000001" customHeight="1">
      <c r="C48" s="1170" t="s">
        <v>500</v>
      </c>
      <c r="D48" s="1351" t="s">
        <v>1346</v>
      </c>
      <c r="E48" s="2097"/>
      <c r="F48" s="2098"/>
    </row>
    <row r="49" spans="3:13" ht="20.100000000000001" customHeight="1">
      <c r="C49" s="1170" t="s">
        <v>815</v>
      </c>
      <c r="D49" s="1351" t="s">
        <v>1116</v>
      </c>
      <c r="E49" s="931"/>
      <c r="F49" s="927"/>
    </row>
    <row r="50" spans="3:13" ht="20.100000000000001" customHeight="1">
      <c r="C50" s="1170" t="s">
        <v>505</v>
      </c>
      <c r="D50" s="1351" t="s">
        <v>1347</v>
      </c>
      <c r="E50" s="930"/>
      <c r="F50" s="928"/>
    </row>
    <row r="51" spans="3:13" ht="20.100000000000001" customHeight="1">
      <c r="C51" s="1170" t="s">
        <v>802</v>
      </c>
      <c r="D51" s="1359"/>
      <c r="E51" s="1168" t="s">
        <v>799</v>
      </c>
      <c r="F51" s="1169" t="s">
        <v>799</v>
      </c>
    </row>
    <row r="52" spans="3:13" ht="20.100000000000001" customHeight="1" thickBot="1">
      <c r="C52" s="1366" t="s">
        <v>511</v>
      </c>
      <c r="D52" s="1367" t="s">
        <v>1173</v>
      </c>
      <c r="E52" s="965"/>
      <c r="F52" s="966"/>
    </row>
    <row r="53" spans="3:13" ht="20.100000000000001" customHeight="1" thickBot="1">
      <c r="C53" s="973" t="s">
        <v>754</v>
      </c>
      <c r="D53" s="1368" t="s">
        <v>1173</v>
      </c>
      <c r="E53" s="1369">
        <f>E69</f>
        <v>0</v>
      </c>
      <c r="F53" s="1370">
        <f>F69</f>
        <v>0</v>
      </c>
      <c r="L53" s="1302">
        <f>IF('Control page'!$D$13&gt;1,1,0)</f>
        <v>1</v>
      </c>
      <c r="M53" s="1302" t="s">
        <v>3</v>
      </c>
    </row>
    <row r="54" spans="3:13" ht="20.100000000000001" customHeight="1">
      <c r="C54" s="918"/>
      <c r="D54" s="1433"/>
      <c r="E54" s="1433"/>
      <c r="F54" s="1433"/>
    </row>
    <row r="55" spans="3:13" ht="20.100000000000001" customHeight="1">
      <c r="C55" s="918"/>
      <c r="D55" s="1433"/>
      <c r="E55" s="1433"/>
      <c r="F55" s="1433"/>
    </row>
    <row r="56" spans="3:13" ht="20.100000000000001" customHeight="1">
      <c r="C56" s="918"/>
      <c r="D56" s="1433"/>
      <c r="E56" s="1433"/>
      <c r="F56" s="1433"/>
    </row>
    <row r="57" spans="3:13" ht="20.100000000000001" customHeight="1">
      <c r="C57" s="918"/>
      <c r="D57" s="1433"/>
      <c r="E57" s="1433"/>
      <c r="F57" s="1433"/>
    </row>
    <row r="58" spans="3:13" ht="20.100000000000001" hidden="1" customHeight="1">
      <c r="C58" s="1493" t="s">
        <v>1178</v>
      </c>
      <c r="D58" s="1494"/>
      <c r="E58" s="1495"/>
      <c r="F58" s="1495"/>
      <c r="G58" s="1496"/>
    </row>
    <row r="59" spans="3:13" ht="20.100000000000001" hidden="1" customHeight="1">
      <c r="C59" s="1281" t="s">
        <v>816</v>
      </c>
      <c r="D59" s="1495"/>
      <c r="E59" s="1497">
        <f>ROUND(E45*E44,0)</f>
        <v>0</v>
      </c>
      <c r="F59" s="1497">
        <f>ROUND(F45*F44,0)</f>
        <v>0</v>
      </c>
      <c r="G59" s="1496" t="s">
        <v>1396</v>
      </c>
    </row>
    <row r="60" spans="3:13" ht="20.100000000000001" hidden="1" customHeight="1">
      <c r="C60" s="1281" t="s">
        <v>817</v>
      </c>
      <c r="D60" s="1495"/>
      <c r="E60" s="1497">
        <f>E44-E59</f>
        <v>0</v>
      </c>
      <c r="F60" s="1497">
        <f>F44-F59</f>
        <v>0</v>
      </c>
      <c r="G60" s="1496" t="s">
        <v>1396</v>
      </c>
    </row>
    <row r="61" spans="3:13" ht="20.100000000000001" hidden="1" customHeight="1">
      <c r="C61" s="1281"/>
      <c r="D61" s="1495"/>
      <c r="E61" s="1497"/>
      <c r="F61" s="1497"/>
      <c r="G61" s="1496"/>
    </row>
    <row r="62" spans="3:13" ht="20.100000000000001" hidden="1" customHeight="1">
      <c r="C62" s="1282" t="s">
        <v>805</v>
      </c>
      <c r="D62" s="1498"/>
      <c r="E62" s="1497"/>
      <c r="F62" s="1497"/>
      <c r="G62" s="1496"/>
    </row>
    <row r="63" spans="3:13" ht="20.100000000000001" hidden="1" customHeight="1">
      <c r="C63" s="1281" t="s">
        <v>818</v>
      </c>
      <c r="D63" s="1495"/>
      <c r="E63" s="1497">
        <f>E48*E59*(E47-E46)</f>
        <v>0</v>
      </c>
      <c r="F63" s="1497">
        <f>F48*F59*(F47-F46)</f>
        <v>0</v>
      </c>
      <c r="G63" s="1496" t="s">
        <v>1397</v>
      </c>
    </row>
    <row r="64" spans="3:13" ht="20.100000000000001" hidden="1" customHeight="1">
      <c r="C64" s="1281" t="s">
        <v>819</v>
      </c>
      <c r="D64" s="1495"/>
      <c r="E64" s="1497">
        <f>IF(E51="Endothermic",1,-1)*E49*E44*E50</f>
        <v>0</v>
      </c>
      <c r="F64" s="1497">
        <f>IF(F51="Endothermic",1,-1)*F49*F44*F50</f>
        <v>0</v>
      </c>
      <c r="G64" s="1496" t="s">
        <v>1397</v>
      </c>
      <c r="J64" s="1499">
        <f>IF(E64&lt;0,-1,0)*E64*L53</f>
        <v>0</v>
      </c>
      <c r="K64" s="2073">
        <f>IF(F64&lt;0,-1,0)*F64*L53</f>
        <v>0</v>
      </c>
    </row>
    <row r="65" spans="3:11" ht="20.100000000000001" hidden="1" customHeight="1">
      <c r="C65" s="1281" t="s">
        <v>820</v>
      </c>
      <c r="D65" s="1495"/>
      <c r="E65" s="1497">
        <f>E42*E60*(E47-E46)</f>
        <v>0</v>
      </c>
      <c r="F65" s="1497">
        <f>F42*F60*(F47-F46)</f>
        <v>0</v>
      </c>
      <c r="G65" s="1496" t="s">
        <v>1397</v>
      </c>
    </row>
    <row r="66" spans="3:11" ht="20.100000000000001" hidden="1" customHeight="1">
      <c r="C66" s="1493" t="s">
        <v>809</v>
      </c>
      <c r="D66" s="1494"/>
      <c r="E66" s="1500">
        <f>E63+E65+(IF(E51="Endothermic",E64,0))</f>
        <v>0</v>
      </c>
      <c r="F66" s="1500">
        <f>F63+F65+(IF(F51="Endothermic",F64,0))</f>
        <v>0</v>
      </c>
      <c r="G66" s="1496" t="s">
        <v>1397</v>
      </c>
    </row>
    <row r="67" spans="3:11" ht="20.100000000000001" hidden="1" customHeight="1">
      <c r="C67" s="1281"/>
      <c r="D67" s="1495"/>
      <c r="E67" s="1495"/>
      <c r="F67" s="1495"/>
      <c r="G67" s="1496"/>
    </row>
    <row r="68" spans="3:11" ht="20.100000000000001" hidden="1" customHeight="1">
      <c r="C68" s="1493"/>
      <c r="D68" s="1494"/>
      <c r="E68" s="1500"/>
      <c r="F68" s="1500"/>
      <c r="G68" s="1501"/>
    </row>
    <row r="69" spans="3:11" ht="20.100000000000001" hidden="1" customHeight="1">
      <c r="C69" s="1493" t="s">
        <v>821</v>
      </c>
      <c r="D69" s="1494"/>
      <c r="E69" s="1500">
        <f>E66+E52</f>
        <v>0</v>
      </c>
      <c r="F69" s="1500">
        <f>F66+F52</f>
        <v>0</v>
      </c>
      <c r="G69" s="1496" t="s">
        <v>1397</v>
      </c>
    </row>
    <row r="70" spans="3:11" ht="20.100000000000001" customHeight="1"/>
    <row r="71" spans="3:11" ht="20.100000000000001" customHeight="1" thickBot="1"/>
    <row r="72" spans="3:11" ht="43.5" customHeight="1">
      <c r="C72" s="2511" t="s">
        <v>22</v>
      </c>
      <c r="D72" s="2512"/>
      <c r="E72" s="1337" t="s">
        <v>1114</v>
      </c>
      <c r="F72" s="1338" t="s">
        <v>1119</v>
      </c>
    </row>
    <row r="73" spans="3:11" ht="20.100000000000001" customHeight="1">
      <c r="C73" s="2513" t="s">
        <v>1198</v>
      </c>
      <c r="D73" s="2514"/>
      <c r="E73" s="1000"/>
      <c r="F73" s="1434"/>
    </row>
    <row r="74" spans="3:11" ht="30" customHeight="1">
      <c r="C74" s="2503" t="s">
        <v>1602</v>
      </c>
      <c r="D74" s="2504"/>
      <c r="E74" s="2012" t="s">
        <v>928</v>
      </c>
      <c r="F74" s="2014" t="str">
        <f>E74</f>
        <v>Water vapor - near atm. pressure</v>
      </c>
    </row>
    <row r="75" spans="3:11" ht="20.100000000000001" customHeight="1">
      <c r="C75" s="2503"/>
      <c r="D75" s="2504"/>
      <c r="E75" s="2033"/>
      <c r="F75" s="2034"/>
      <c r="K75" s="2068" t="s">
        <v>491</v>
      </c>
    </row>
    <row r="76" spans="3:11" ht="20.100000000000001" customHeight="1">
      <c r="C76" s="1170" t="s">
        <v>508</v>
      </c>
      <c r="D76" s="1351" t="s">
        <v>1346</v>
      </c>
      <c r="E76" s="1440">
        <f>IF(E74="Other",K76,VLOOKUP(E74,$O$5:$AA$44,5,))</f>
        <v>0.47002627179364698</v>
      </c>
      <c r="F76" s="1441">
        <f>E76</f>
        <v>0.47002627179364698</v>
      </c>
      <c r="K76" s="2086">
        <v>0</v>
      </c>
    </row>
    <row r="77" spans="3:11" ht="20.100000000000001" customHeight="1">
      <c r="C77" s="1358"/>
      <c r="D77" s="1359"/>
      <c r="E77" s="1359"/>
      <c r="F77" s="1449"/>
    </row>
    <row r="78" spans="3:11" ht="20.100000000000001" customHeight="1">
      <c r="C78" s="1170" t="s">
        <v>509</v>
      </c>
      <c r="D78" s="1351" t="s">
        <v>1341</v>
      </c>
      <c r="E78" s="930"/>
      <c r="F78" s="928"/>
      <c r="I78" s="1312">
        <f>E78*L87</f>
        <v>0</v>
      </c>
      <c r="J78" s="1452">
        <f>F78*L87</f>
        <v>0</v>
      </c>
    </row>
    <row r="79" spans="3:11" ht="20.100000000000001" customHeight="1">
      <c r="C79" s="1170" t="s">
        <v>510</v>
      </c>
      <c r="D79" s="1351" t="s">
        <v>1116</v>
      </c>
      <c r="E79" s="2095"/>
      <c r="F79" s="2096"/>
    </row>
    <row r="80" spans="3:11" ht="20.100000000000001" customHeight="1">
      <c r="C80" s="1170" t="s">
        <v>503</v>
      </c>
      <c r="D80" s="1351" t="s">
        <v>1175</v>
      </c>
      <c r="E80" s="930"/>
      <c r="F80" s="928"/>
    </row>
    <row r="81" spans="3:13" ht="20.100000000000001" customHeight="1">
      <c r="C81" s="1170" t="s">
        <v>502</v>
      </c>
      <c r="D81" s="1351" t="s">
        <v>1175</v>
      </c>
      <c r="E81" s="930"/>
      <c r="F81" s="928"/>
    </row>
    <row r="82" spans="3:13" ht="20.100000000000001" customHeight="1">
      <c r="C82" s="1170" t="s">
        <v>500</v>
      </c>
      <c r="D82" s="1351" t="s">
        <v>1346</v>
      </c>
      <c r="E82" s="2097"/>
      <c r="F82" s="2098"/>
    </row>
    <row r="83" spans="3:13" ht="20.100000000000001" customHeight="1">
      <c r="C83" s="1170" t="s">
        <v>815</v>
      </c>
      <c r="D83" s="1351" t="s">
        <v>1116</v>
      </c>
      <c r="E83" s="931"/>
      <c r="F83" s="927"/>
    </row>
    <row r="84" spans="3:13" ht="20.100000000000001" customHeight="1">
      <c r="C84" s="1170" t="s">
        <v>505</v>
      </c>
      <c r="D84" s="1351" t="s">
        <v>1347</v>
      </c>
      <c r="E84" s="930"/>
      <c r="F84" s="928"/>
    </row>
    <row r="85" spans="3:13" ht="20.100000000000001" customHeight="1">
      <c r="C85" s="1170" t="s">
        <v>802</v>
      </c>
      <c r="D85" s="1359"/>
      <c r="E85" s="1168" t="s">
        <v>799</v>
      </c>
      <c r="F85" s="1169" t="s">
        <v>799</v>
      </c>
    </row>
    <row r="86" spans="3:13" ht="20.100000000000001" customHeight="1" thickBot="1">
      <c r="C86" s="1366" t="s">
        <v>511</v>
      </c>
      <c r="D86" s="1367" t="s">
        <v>1173</v>
      </c>
      <c r="E86" s="965"/>
      <c r="F86" s="966"/>
    </row>
    <row r="87" spans="3:13" ht="20.100000000000001" customHeight="1" thickBot="1">
      <c r="C87" s="973" t="s">
        <v>755</v>
      </c>
      <c r="D87" s="1368" t="s">
        <v>1173</v>
      </c>
      <c r="E87" s="1369">
        <f>E103</f>
        <v>0</v>
      </c>
      <c r="F87" s="1370">
        <f>F103</f>
        <v>0</v>
      </c>
      <c r="L87" s="1302">
        <f>IF('Control page'!$D$13&gt;2,1,0)</f>
        <v>1</v>
      </c>
      <c r="M87" s="1302" t="s">
        <v>3</v>
      </c>
    </row>
    <row r="88" spans="3:13" ht="20.100000000000001" customHeight="1">
      <c r="C88" s="918"/>
      <c r="D88" s="1433"/>
      <c r="E88" s="1433"/>
      <c r="F88" s="1433"/>
    </row>
    <row r="89" spans="3:13" ht="20.100000000000001" customHeight="1">
      <c r="C89" s="918"/>
      <c r="D89" s="1433"/>
      <c r="E89" s="1433"/>
      <c r="F89" s="1433"/>
    </row>
    <row r="90" spans="3:13" ht="20.100000000000001" customHeight="1">
      <c r="C90" s="918"/>
      <c r="D90" s="1433"/>
      <c r="E90" s="1433"/>
      <c r="F90" s="1433"/>
    </row>
    <row r="91" spans="3:13" ht="20.100000000000001" customHeight="1">
      <c r="C91" s="918"/>
      <c r="D91" s="1433"/>
      <c r="E91" s="1433"/>
      <c r="F91" s="1433"/>
    </row>
    <row r="92" spans="3:13" ht="20.100000000000001" hidden="1" customHeight="1">
      <c r="C92" s="1493" t="s">
        <v>1178</v>
      </c>
      <c r="D92" s="1494"/>
      <c r="E92" s="1495"/>
      <c r="F92" s="1495"/>
      <c r="G92" s="1496"/>
    </row>
    <row r="93" spans="3:13" ht="20.100000000000001" hidden="1" customHeight="1">
      <c r="C93" s="1281" t="s">
        <v>816</v>
      </c>
      <c r="D93" s="1495"/>
      <c r="E93" s="1497">
        <f>ROUND(E79*E78,0)</f>
        <v>0</v>
      </c>
      <c r="F93" s="1497">
        <f>ROUND(F79*F78,0)</f>
        <v>0</v>
      </c>
      <c r="G93" s="1496" t="s">
        <v>1396</v>
      </c>
    </row>
    <row r="94" spans="3:13" ht="20.100000000000001" hidden="1" customHeight="1">
      <c r="C94" s="1281" t="s">
        <v>817</v>
      </c>
      <c r="D94" s="1495"/>
      <c r="E94" s="1497">
        <f>E78-E93</f>
        <v>0</v>
      </c>
      <c r="F94" s="1497">
        <f>F78-F93</f>
        <v>0</v>
      </c>
      <c r="G94" s="1496" t="s">
        <v>1396</v>
      </c>
    </row>
    <row r="95" spans="3:13" ht="20.100000000000001" hidden="1" customHeight="1">
      <c r="C95" s="1281"/>
      <c r="D95" s="1495"/>
      <c r="E95" s="1497"/>
      <c r="F95" s="1497"/>
      <c r="G95" s="1496"/>
    </row>
    <row r="96" spans="3:13" ht="20.100000000000001" hidden="1" customHeight="1">
      <c r="C96" s="1282" t="s">
        <v>805</v>
      </c>
      <c r="D96" s="1498"/>
      <c r="E96" s="1497"/>
      <c r="F96" s="1497"/>
      <c r="G96" s="1496"/>
    </row>
    <row r="97" spans="3:12" ht="20.100000000000001" hidden="1" customHeight="1">
      <c r="C97" s="1281" t="s">
        <v>818</v>
      </c>
      <c r="D97" s="1495"/>
      <c r="E97" s="1497">
        <f>E82*E93*(E81-E80)</f>
        <v>0</v>
      </c>
      <c r="F97" s="1497">
        <f>F82*F93*(F81-F80)</f>
        <v>0</v>
      </c>
      <c r="G97" s="1496" t="s">
        <v>1397</v>
      </c>
    </row>
    <row r="98" spans="3:12" ht="20.100000000000001" hidden="1" customHeight="1">
      <c r="C98" s="1281" t="s">
        <v>819</v>
      </c>
      <c r="D98" s="1495"/>
      <c r="E98" s="1497">
        <f>IF(E85="Endothermic",1,-1)*E83*E78*E84</f>
        <v>0</v>
      </c>
      <c r="F98" s="1497">
        <f>IF(F85="Endothermic",1,-1)*F83*F78*F84</f>
        <v>0</v>
      </c>
      <c r="G98" s="1496" t="s">
        <v>1397</v>
      </c>
      <c r="J98" s="1499">
        <f>IF(E98&lt;0,-1,0)*E98*L87</f>
        <v>0</v>
      </c>
      <c r="K98" s="2073">
        <f>IF(F98&lt;0,-1,0)*F98*L87</f>
        <v>0</v>
      </c>
    </row>
    <row r="99" spans="3:12" ht="20.100000000000001" hidden="1" customHeight="1">
      <c r="C99" s="1281" t="s">
        <v>820</v>
      </c>
      <c r="D99" s="1495"/>
      <c r="E99" s="1497">
        <f>E76*E94*(E81-E80)</f>
        <v>0</v>
      </c>
      <c r="F99" s="1497">
        <f>F76*F94*(F81-F80)</f>
        <v>0</v>
      </c>
      <c r="G99" s="1496" t="s">
        <v>1397</v>
      </c>
    </row>
    <row r="100" spans="3:12" ht="20.100000000000001" hidden="1" customHeight="1">
      <c r="C100" s="1493" t="s">
        <v>809</v>
      </c>
      <c r="D100" s="1494"/>
      <c r="E100" s="1500">
        <f>E97+E99+(IF(E85="Endothermic",E98,0))</f>
        <v>0</v>
      </c>
      <c r="F100" s="1500">
        <f>F97+F99+(IF(F85="Endothermic",F98,0))</f>
        <v>0</v>
      </c>
      <c r="G100" s="1496" t="s">
        <v>1397</v>
      </c>
    </row>
    <row r="101" spans="3:12" ht="20.100000000000001" hidden="1" customHeight="1">
      <c r="C101" s="1281"/>
      <c r="D101" s="1495"/>
      <c r="E101" s="1495"/>
      <c r="F101" s="1495"/>
      <c r="G101" s="1496"/>
    </row>
    <row r="102" spans="3:12" ht="20.100000000000001" hidden="1" customHeight="1">
      <c r="C102" s="1493"/>
      <c r="D102" s="1494"/>
      <c r="E102" s="1500"/>
      <c r="F102" s="1500"/>
      <c r="G102" s="1501"/>
    </row>
    <row r="103" spans="3:12" ht="20.100000000000001" hidden="1" customHeight="1">
      <c r="C103" s="1493" t="s">
        <v>821</v>
      </c>
      <c r="D103" s="1494"/>
      <c r="E103" s="1500">
        <f>E100+E86</f>
        <v>0</v>
      </c>
      <c r="F103" s="1500">
        <f>F100+F86</f>
        <v>0</v>
      </c>
      <c r="G103" s="1496" t="s">
        <v>1397</v>
      </c>
    </row>
    <row r="104" spans="3:12" ht="20.100000000000001" customHeight="1" thickBot="1"/>
    <row r="105" spans="3:12" ht="20.100000000000001" customHeight="1" thickBot="1">
      <c r="C105" s="2538" t="s">
        <v>1466</v>
      </c>
      <c r="D105" s="2546"/>
      <c r="E105" s="1502">
        <f>(E19*L19)+(E53*L53)+(E87*L87)</f>
        <v>0</v>
      </c>
      <c r="F105" s="1470">
        <f>(F19*L19)+(F53*L53)+(F87*L87)</f>
        <v>0</v>
      </c>
      <c r="G105" s="1304" t="s">
        <v>1113</v>
      </c>
      <c r="I105" s="1302">
        <f>I78+I44+I10</f>
        <v>0</v>
      </c>
      <c r="J105" s="1302">
        <f>J78+J44+J10</f>
        <v>0</v>
      </c>
      <c r="K105" s="2073">
        <f>J98+J64+J30</f>
        <v>0</v>
      </c>
      <c r="L105" s="1499">
        <f>K98+K64+K30</f>
        <v>0</v>
      </c>
    </row>
    <row r="106" spans="3:12" ht="20.100000000000001" customHeight="1" thickBot="1"/>
    <row r="107" spans="3:12" ht="20.100000000000001" customHeight="1">
      <c r="C107" s="2540" t="s">
        <v>710</v>
      </c>
      <c r="D107" s="2541"/>
      <c r="E107" s="2541"/>
      <c r="F107" s="2542"/>
    </row>
    <row r="108" spans="3:12" ht="20.100000000000001" customHeight="1">
      <c r="C108" s="2533" t="s">
        <v>709</v>
      </c>
      <c r="D108" s="2534"/>
      <c r="E108" s="2534"/>
      <c r="F108" s="2535"/>
    </row>
    <row r="109" spans="3:12" ht="20.100000000000001" customHeight="1">
      <c r="C109" s="2525"/>
      <c r="D109" s="2526"/>
      <c r="E109" s="2526"/>
      <c r="F109" s="2527"/>
      <c r="I109" s="1302">
        <f>IF(C109="",0,1)</f>
        <v>0</v>
      </c>
    </row>
    <row r="110" spans="3:12" ht="20.100000000000001" customHeight="1">
      <c r="C110" s="2525"/>
      <c r="D110" s="2526"/>
      <c r="E110" s="2526"/>
      <c r="F110" s="2527"/>
      <c r="I110" s="1302">
        <f>IF(C110="",0,1)</f>
        <v>0</v>
      </c>
    </row>
    <row r="111" spans="3:12" ht="20.100000000000001" customHeight="1">
      <c r="C111" s="2525"/>
      <c r="D111" s="2526"/>
      <c r="E111" s="2526"/>
      <c r="F111" s="2527"/>
      <c r="I111" s="1302">
        <f>IF(C111="",0,1)</f>
        <v>0</v>
      </c>
    </row>
    <row r="112" spans="3:12" ht="20.100000000000001" customHeight="1">
      <c r="C112" s="2525"/>
      <c r="D112" s="2526"/>
      <c r="E112" s="2526"/>
      <c r="F112" s="2527"/>
      <c r="I112" s="1302">
        <f>IF(C112="",0,1)</f>
        <v>0</v>
      </c>
    </row>
    <row r="113" spans="3:9" ht="20.100000000000001" customHeight="1" thickBot="1">
      <c r="C113" s="2528"/>
      <c r="D113" s="2529"/>
      <c r="E113" s="2529"/>
      <c r="F113" s="2530"/>
      <c r="I113" s="1302">
        <f>IF(C113="",0,1)</f>
        <v>0</v>
      </c>
    </row>
    <row r="114" spans="3:9" ht="20.100000000000001" customHeight="1">
      <c r="I114" s="1302">
        <f>SUM(I109:I113)</f>
        <v>0</v>
      </c>
    </row>
  </sheetData>
  <sheetProtection password="B61E" sheet="1" objects="1" scenarios="1"/>
  <mergeCells count="17">
    <mergeCell ref="C113:F113"/>
    <mergeCell ref="C112:F112"/>
    <mergeCell ref="C111:F111"/>
    <mergeCell ref="C110:F110"/>
    <mergeCell ref="C109:F109"/>
    <mergeCell ref="C4:D4"/>
    <mergeCell ref="C5:D5"/>
    <mergeCell ref="C105:D105"/>
    <mergeCell ref="C107:F107"/>
    <mergeCell ref="C108:F108"/>
    <mergeCell ref="C74:D75"/>
    <mergeCell ref="C6:D7"/>
    <mergeCell ref="C40:D41"/>
    <mergeCell ref="C72:D72"/>
    <mergeCell ref="C73:D73"/>
    <mergeCell ref="C39:D39"/>
    <mergeCell ref="C38:D38"/>
  </mergeCells>
  <phoneticPr fontId="5" type="noConversion"/>
  <dataValidations count="3">
    <dataValidation type="list" allowBlank="1" showInputMessage="1" showErrorMessage="1" sqref="E17:F17 E51:F51 E85:F85">
      <formula1>"Exothermic, Endothermic"</formula1>
    </dataValidation>
    <dataValidation type="list" allowBlank="1" showInputMessage="1" showErrorMessage="1" sqref="E6 E40 E74">
      <formula1>$O$5:$O$15</formula1>
    </dataValidation>
    <dataValidation type="decimal" allowBlank="1" showInputMessage="1" showErrorMessage="1" sqref="E11:F11 E15:F15 E45:F45 E49:F49 E79:F79 E83:F83">
      <formula1>0</formula1>
      <formula2>1</formula2>
    </dataValidation>
  </dataValidations>
  <pageMargins left="0.75" right="0.75" top="1" bottom="3.3" header="0.5" footer="0.5"/>
  <pageSetup scale="57" fitToHeight="3" orientation="portrait" r:id="rId1"/>
  <headerFooter alignWithMargins="0">
    <oddHeader>&amp;LLoad Charge Gas</oddHeader>
    <oddFooter>&amp;LUS Department of Energy&amp;C&amp;P&amp;R&amp;D</oddFooter>
  </headerFooter>
  <rowBreaks count="1" manualBreakCount="1">
    <brk id="54" max="16383" man="1"/>
  </rowBreaks>
  <drawing r:id="rId2"/>
  <legacyDrawing r:id="rId3"/>
  <controls>
    <mc:AlternateContent xmlns:mc="http://schemas.openxmlformats.org/markup-compatibility/2006">
      <mc:Choice Requires="x14">
        <control shapeId="2066324" r:id="rId4" name="CommandButtonMatlGasCopy">
          <controlPr defaultSize="0" print="0" autoLine="0" r:id="rId5">
            <anchor moveWithCells="1">
              <from>
                <xdr:col>6</xdr:col>
                <xdr:colOff>371475</xdr:colOff>
                <xdr:row>3</xdr:row>
                <xdr:rowOff>0</xdr:rowOff>
              </from>
              <to>
                <xdr:col>7</xdr:col>
                <xdr:colOff>781050</xdr:colOff>
                <xdr:row>3</xdr:row>
                <xdr:rowOff>504825</xdr:rowOff>
              </to>
            </anchor>
          </controlPr>
        </control>
      </mc:Choice>
      <mc:Fallback>
        <control shapeId="2066324" r:id="rId4" name="CommandButtonMatlGasCopy"/>
      </mc:Fallback>
    </mc:AlternateContent>
    <mc:AlternateContent xmlns:mc="http://schemas.openxmlformats.org/markup-compatibility/2006">
      <mc:Choice Requires="x14">
        <control shapeId="2066325" r:id="rId6" name="CommandButtonChgGasData">
          <controlPr defaultSize="0" print="0" autoLine="0" r:id="rId7">
            <anchor moveWithCells="1">
              <from>
                <xdr:col>6</xdr:col>
                <xdr:colOff>371475</xdr:colOff>
                <xdr:row>5</xdr:row>
                <xdr:rowOff>19050</xdr:rowOff>
              </from>
              <to>
                <xdr:col>7</xdr:col>
                <xdr:colOff>781050</xdr:colOff>
                <xdr:row>6</xdr:row>
                <xdr:rowOff>133350</xdr:rowOff>
              </to>
            </anchor>
          </controlPr>
        </control>
      </mc:Choice>
      <mc:Fallback>
        <control shapeId="2066325" r:id="rId6" name="CommandButtonChgGasData"/>
      </mc:Fallback>
    </mc:AlternateContent>
    <mc:AlternateContent xmlns:mc="http://schemas.openxmlformats.org/markup-compatibility/2006">
      <mc:Choice Requires="x14">
        <control shapeId="3636582" r:id="rId8" name="TextBox1">
          <controlPr locked="0" defaultSize="0" disabled="1" autoFill="0" autoLine="0" linkedCell="K8" r:id="rId9">
            <anchor moveWithCells="1" sizeWithCells="1">
              <from>
                <xdr:col>4</xdr:col>
                <xdr:colOff>0</xdr:colOff>
                <xdr:row>7</xdr:row>
                <xdr:rowOff>0</xdr:rowOff>
              </from>
              <to>
                <xdr:col>5</xdr:col>
                <xdr:colOff>0</xdr:colOff>
                <xdr:row>8</xdr:row>
                <xdr:rowOff>0</xdr:rowOff>
              </to>
            </anchor>
          </controlPr>
        </control>
      </mc:Choice>
      <mc:Fallback>
        <control shapeId="3636582" r:id="rId8" name="TextBox1"/>
      </mc:Fallback>
    </mc:AlternateContent>
    <mc:AlternateContent xmlns:mc="http://schemas.openxmlformats.org/markup-compatibility/2006">
      <mc:Choice Requires="x14">
        <control shapeId="3636584" r:id="rId10" name="TextBox2">
          <controlPr locked="0" defaultSize="0" disabled="1" autoLine="0" linkedCell="K7" r:id="rId11">
            <anchor moveWithCells="1" sizeWithCells="1">
              <from>
                <xdr:col>4</xdr:col>
                <xdr:colOff>0</xdr:colOff>
                <xdr:row>6</xdr:row>
                <xdr:rowOff>0</xdr:rowOff>
              </from>
              <to>
                <xdr:col>5</xdr:col>
                <xdr:colOff>0</xdr:colOff>
                <xdr:row>7</xdr:row>
                <xdr:rowOff>0</xdr:rowOff>
              </to>
            </anchor>
          </controlPr>
        </control>
      </mc:Choice>
      <mc:Fallback>
        <control shapeId="3636584" r:id="rId10" name="TextBox2"/>
      </mc:Fallback>
    </mc:AlternateContent>
    <mc:AlternateContent xmlns:mc="http://schemas.openxmlformats.org/markup-compatibility/2006">
      <mc:Choice Requires="x14">
        <control shapeId="3636585" r:id="rId12" name="TextBox3">
          <controlPr locked="0" defaultSize="0" disabled="1" autoLine="0" linkedCell="K42" r:id="rId13">
            <anchor moveWithCells="1" sizeWithCells="1">
              <from>
                <xdr:col>4</xdr:col>
                <xdr:colOff>0</xdr:colOff>
                <xdr:row>41</xdr:row>
                <xdr:rowOff>0</xdr:rowOff>
              </from>
              <to>
                <xdr:col>5</xdr:col>
                <xdr:colOff>0</xdr:colOff>
                <xdr:row>42</xdr:row>
                <xdr:rowOff>0</xdr:rowOff>
              </to>
            </anchor>
          </controlPr>
        </control>
      </mc:Choice>
      <mc:Fallback>
        <control shapeId="3636585" r:id="rId12" name="TextBox3"/>
      </mc:Fallback>
    </mc:AlternateContent>
    <mc:AlternateContent xmlns:mc="http://schemas.openxmlformats.org/markup-compatibility/2006">
      <mc:Choice Requires="x14">
        <control shapeId="3636586" r:id="rId14" name="TextBox4">
          <controlPr locked="0" defaultSize="0" disabled="1" autoLine="0" linkedCell="K41" r:id="rId15">
            <anchor moveWithCells="1" sizeWithCells="1">
              <from>
                <xdr:col>4</xdr:col>
                <xdr:colOff>0</xdr:colOff>
                <xdr:row>40</xdr:row>
                <xdr:rowOff>0</xdr:rowOff>
              </from>
              <to>
                <xdr:col>5</xdr:col>
                <xdr:colOff>0</xdr:colOff>
                <xdr:row>41</xdr:row>
                <xdr:rowOff>0</xdr:rowOff>
              </to>
            </anchor>
          </controlPr>
        </control>
      </mc:Choice>
      <mc:Fallback>
        <control shapeId="3636586" r:id="rId14" name="TextBox4"/>
      </mc:Fallback>
    </mc:AlternateContent>
    <mc:AlternateContent xmlns:mc="http://schemas.openxmlformats.org/markup-compatibility/2006">
      <mc:Choice Requires="x14">
        <control shapeId="3636587" r:id="rId16" name="TextBox5">
          <controlPr locked="0" defaultSize="0" disabled="1" autoLine="0" linkedCell="K76" r:id="rId17">
            <anchor moveWithCells="1" sizeWithCells="1">
              <from>
                <xdr:col>4</xdr:col>
                <xdr:colOff>0</xdr:colOff>
                <xdr:row>75</xdr:row>
                <xdr:rowOff>0</xdr:rowOff>
              </from>
              <to>
                <xdr:col>5</xdr:col>
                <xdr:colOff>0</xdr:colOff>
                <xdr:row>76</xdr:row>
                <xdr:rowOff>0</xdr:rowOff>
              </to>
            </anchor>
          </controlPr>
        </control>
      </mc:Choice>
      <mc:Fallback>
        <control shapeId="3636587" r:id="rId16" name="TextBox5"/>
      </mc:Fallback>
    </mc:AlternateContent>
    <mc:AlternateContent xmlns:mc="http://schemas.openxmlformats.org/markup-compatibility/2006">
      <mc:Choice Requires="x14">
        <control shapeId="3636588" r:id="rId18" name="TextBox6">
          <controlPr locked="0" defaultSize="0" disabled="1" autoLine="0" linkedCell="K75" r:id="rId19">
            <anchor moveWithCells="1" sizeWithCells="1">
              <from>
                <xdr:col>4</xdr:col>
                <xdr:colOff>0</xdr:colOff>
                <xdr:row>74</xdr:row>
                <xdr:rowOff>0</xdr:rowOff>
              </from>
              <to>
                <xdr:col>5</xdr:col>
                <xdr:colOff>0</xdr:colOff>
                <xdr:row>75</xdr:row>
                <xdr:rowOff>0</xdr:rowOff>
              </to>
            </anchor>
          </controlPr>
        </control>
      </mc:Choice>
      <mc:Fallback>
        <control shapeId="3636588" r:id="rId18" name="TextBox6"/>
      </mc:Fallback>
    </mc:AlternateContent>
    <mc:AlternateContent xmlns:mc="http://schemas.openxmlformats.org/markup-compatibility/2006">
      <mc:Choice Requires="x14">
        <control shapeId="3636603" r:id="rId20" name="CommandButtonHelp">
          <controlPr defaultSize="0" autoLine="0" r:id="rId21">
            <anchor moveWithCells="1">
              <from>
                <xdr:col>0</xdr:col>
                <xdr:colOff>76200</xdr:colOff>
                <xdr:row>4</xdr:row>
                <xdr:rowOff>190500</xdr:rowOff>
              </from>
              <to>
                <xdr:col>1</xdr:col>
                <xdr:colOff>304800</xdr:colOff>
                <xdr:row>16</xdr:row>
                <xdr:rowOff>133350</xdr:rowOff>
              </to>
            </anchor>
          </controlPr>
        </control>
      </mc:Choice>
      <mc:Fallback>
        <control shapeId="3636603" r:id="rId20" name="CommandButtonHelp"/>
      </mc:Fallback>
    </mc:AlternateContent>
    <mc:AlternateContent xmlns:mc="http://schemas.openxmlformats.org/markup-compatibility/2006">
      <mc:Choice Requires="x14">
        <control shapeId="3636617" r:id="rId22" name="CommandButton1">
          <controlPr defaultSize="0" autoLine="0" r:id="rId23">
            <anchor moveWithCells="1">
              <from>
                <xdr:col>6</xdr:col>
                <xdr:colOff>361950</xdr:colOff>
                <xdr:row>8</xdr:row>
                <xdr:rowOff>209550</xdr:rowOff>
              </from>
              <to>
                <xdr:col>7</xdr:col>
                <xdr:colOff>781050</xdr:colOff>
                <xdr:row>10</xdr:row>
                <xdr:rowOff>219075</xdr:rowOff>
              </to>
            </anchor>
          </controlPr>
        </control>
      </mc:Choice>
      <mc:Fallback>
        <control shapeId="3636617" r:id="rId22"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Z80"/>
  <sheetViews>
    <sheetView topLeftCell="A3" workbookViewId="0">
      <selection activeCell="H7" sqref="H7"/>
    </sheetView>
  </sheetViews>
  <sheetFormatPr defaultColWidth="0" defaultRowHeight="14.25" zeroHeight="1"/>
  <cols>
    <col min="1" max="1" width="10.7109375" style="1504" customWidth="1"/>
    <col min="2" max="2" width="30.7109375" style="1503" customWidth="1"/>
    <col min="3" max="3" width="11.7109375" style="1504" customWidth="1"/>
    <col min="4" max="5" width="19.7109375" style="1504" customWidth="1"/>
    <col min="6" max="6" width="11.7109375" style="1504" customWidth="1"/>
    <col min="7" max="7" width="12.85546875" style="1504" customWidth="1"/>
    <col min="8" max="10" width="9.140625" style="1504" hidden="1" customWidth="1"/>
    <col min="11" max="11" width="9.140625" style="2074" hidden="1" customWidth="1"/>
    <col min="12" max="13" width="9.140625" style="1504" hidden="1" customWidth="1"/>
    <col min="14" max="14" width="13" style="1504" hidden="1" customWidth="1"/>
    <col min="15" max="16384" width="9.140625" style="1504" hidden="1"/>
  </cols>
  <sheetData>
    <row r="1" spans="2:26" hidden="1"/>
    <row r="2" spans="2:26" ht="15" hidden="1" thickBot="1">
      <c r="B2" s="1505" t="s">
        <v>1097</v>
      </c>
      <c r="C2" s="1506">
        <f>'Control page'!D14</f>
        <v>6</v>
      </c>
      <c r="D2" s="2547" t="s">
        <v>1161</v>
      </c>
      <c r="E2" s="2548"/>
    </row>
    <row r="3" spans="2:26" ht="35.25" customHeight="1" thickBot="1">
      <c r="B3" s="1507"/>
      <c r="C3" s="1508"/>
      <c r="M3" s="1431" t="s">
        <v>822</v>
      </c>
      <c r="N3" s="1431" t="s">
        <v>823</v>
      </c>
      <c r="O3" s="1431" t="s">
        <v>824</v>
      </c>
      <c r="P3" s="1431" t="s">
        <v>825</v>
      </c>
      <c r="Q3" s="1431" t="s">
        <v>1078</v>
      </c>
      <c r="R3" s="1431" t="s">
        <v>1339</v>
      </c>
      <c r="S3" s="1431" t="s">
        <v>1325</v>
      </c>
      <c r="T3" s="1431" t="s">
        <v>1340</v>
      </c>
      <c r="U3" s="1431" t="s">
        <v>1082</v>
      </c>
      <c r="V3" s="1431" t="s">
        <v>1327</v>
      </c>
      <c r="W3" s="1431" t="s">
        <v>1328</v>
      </c>
      <c r="X3" s="1431" t="s">
        <v>1329</v>
      </c>
      <c r="Y3" s="1431" t="s">
        <v>1330</v>
      </c>
      <c r="Z3" s="1431" t="s">
        <v>835</v>
      </c>
    </row>
    <row r="4" spans="2:26" ht="43.5" customHeight="1">
      <c r="B4" s="2555" t="s">
        <v>955</v>
      </c>
      <c r="C4" s="2556"/>
      <c r="D4" s="2551" t="s">
        <v>1171</v>
      </c>
      <c r="E4" s="2553" t="s">
        <v>1119</v>
      </c>
      <c r="M4" s="1428"/>
      <c r="N4" s="1428"/>
      <c r="O4" s="1428"/>
      <c r="P4" s="1428" t="s">
        <v>836</v>
      </c>
      <c r="Q4" s="1428">
        <v>16.02</v>
      </c>
      <c r="R4" s="1428">
        <v>4.1870000000000003</v>
      </c>
      <c r="S4" s="1428">
        <v>2.3260000000000001</v>
      </c>
      <c r="T4" s="1428">
        <v>4.1870000000000003</v>
      </c>
      <c r="U4" s="1428" t="s">
        <v>837</v>
      </c>
      <c r="V4" s="1428" t="s">
        <v>837</v>
      </c>
      <c r="W4" s="1428">
        <v>2.3260000000000001</v>
      </c>
      <c r="X4" s="1428">
        <v>2.3260000000000001</v>
      </c>
      <c r="Y4" s="1428">
        <v>2.3260000000000001</v>
      </c>
      <c r="Z4" s="1428"/>
    </row>
    <row r="5" spans="2:26" ht="20.100000000000001" customHeight="1">
      <c r="B5" s="2557"/>
      <c r="C5" s="2558"/>
      <c r="D5" s="2552"/>
      <c r="E5" s="2554"/>
      <c r="M5" s="1428">
        <v>1</v>
      </c>
      <c r="N5" s="1428" t="s">
        <v>838</v>
      </c>
      <c r="O5" s="1428" t="s">
        <v>783</v>
      </c>
      <c r="P5" s="1428" t="s">
        <v>839</v>
      </c>
      <c r="Q5" s="1428">
        <v>166.69975031210987</v>
      </c>
      <c r="R5" s="1428">
        <v>0.24791019823262478</v>
      </c>
      <c r="S5" s="1428">
        <v>169</v>
      </c>
      <c r="T5" s="1428">
        <v>0.26009075710532598</v>
      </c>
      <c r="U5" s="1428">
        <v>1214.9960000000001</v>
      </c>
      <c r="V5" s="1428">
        <v>1380.002</v>
      </c>
      <c r="W5" s="1428">
        <v>286</v>
      </c>
      <c r="X5" s="1428">
        <v>454.99999999999994</v>
      </c>
      <c r="Y5" s="1428">
        <v>496.99999999999994</v>
      </c>
      <c r="Z5" s="1428" t="b">
        <v>0</v>
      </c>
    </row>
    <row r="6" spans="2:26" ht="24.95" customHeight="1">
      <c r="B6" s="2549" t="s">
        <v>729</v>
      </c>
      <c r="C6" s="2550"/>
      <c r="D6" s="2012" t="s">
        <v>904</v>
      </c>
      <c r="E6" s="2014" t="s">
        <v>904</v>
      </c>
      <c r="H6" s="1027" t="s">
        <v>8</v>
      </c>
      <c r="K6" s="2074" t="s">
        <v>491</v>
      </c>
      <c r="M6" s="1428">
        <v>2</v>
      </c>
      <c r="N6" s="1428" t="s">
        <v>840</v>
      </c>
      <c r="O6" s="1428" t="s">
        <v>783</v>
      </c>
      <c r="P6" s="1428" t="s">
        <v>842</v>
      </c>
      <c r="Q6" s="1428">
        <v>0</v>
      </c>
      <c r="R6" s="1428">
        <v>3.8930021495103891E-2</v>
      </c>
      <c r="S6" s="1428">
        <v>26.199914015477216</v>
      </c>
      <c r="T6" s="1428">
        <v>3.7974683544303799E-2</v>
      </c>
      <c r="U6" s="1428">
        <v>462.00200000000001</v>
      </c>
      <c r="V6" s="1428">
        <v>624.99199999999996</v>
      </c>
      <c r="W6" s="1428">
        <v>15.800085984522784</v>
      </c>
      <c r="X6" s="1428">
        <v>41.999999999999993</v>
      </c>
      <c r="Y6" s="1428">
        <v>48</v>
      </c>
      <c r="Z6" s="1428" t="b">
        <v>0</v>
      </c>
    </row>
    <row r="7" spans="2:26" ht="20.100000000000001" customHeight="1">
      <c r="B7" s="2549"/>
      <c r="C7" s="2550"/>
      <c r="D7" s="2013"/>
      <c r="E7" s="2034"/>
      <c r="H7" s="1027" t="s">
        <v>6</v>
      </c>
      <c r="K7" s="2087">
        <v>0</v>
      </c>
      <c r="M7" s="1428">
        <v>3</v>
      </c>
      <c r="N7" s="1428" t="s">
        <v>843</v>
      </c>
      <c r="O7" s="1428" t="s">
        <v>783</v>
      </c>
      <c r="P7" s="1428" t="s">
        <v>844</v>
      </c>
      <c r="Q7" s="1428">
        <v>462</v>
      </c>
      <c r="R7" s="1428">
        <v>7.0933842846907083E-2</v>
      </c>
      <c r="S7" s="1428">
        <v>34.100171969045569</v>
      </c>
      <c r="T7" s="1428">
        <v>6.3052304752806307E-2</v>
      </c>
      <c r="U7" s="1428">
        <v>464</v>
      </c>
      <c r="V7" s="1428">
        <v>915.99800000000005</v>
      </c>
      <c r="W7" s="1428">
        <v>28.600171969045572</v>
      </c>
      <c r="X7" s="1428">
        <v>67.699914015477205</v>
      </c>
      <c r="Y7" s="1428">
        <v>91</v>
      </c>
      <c r="Z7" s="1428" t="b">
        <v>0</v>
      </c>
    </row>
    <row r="8" spans="2:26" ht="20.100000000000001" customHeight="1">
      <c r="B8" s="1509" t="s">
        <v>962</v>
      </c>
      <c r="C8" s="1510" t="s">
        <v>1346</v>
      </c>
      <c r="D8" s="1352">
        <f>IF(D6="Other",K7,VLOOKUP($D6,$N$5:$Z$45,5,))</f>
        <v>0.13995700979221398</v>
      </c>
      <c r="E8" s="1353">
        <f>IF(E6="Other",K9,VLOOKUP($E6,$N$5:$Z$45,5,))</f>
        <v>0.13995700979221398</v>
      </c>
      <c r="H8" s="1027" t="s">
        <v>774</v>
      </c>
      <c r="K8" s="2074" t="s">
        <v>491</v>
      </c>
      <c r="M8" s="1428">
        <v>4</v>
      </c>
      <c r="N8" s="1428" t="s">
        <v>845</v>
      </c>
      <c r="O8" s="1428" t="s">
        <v>783</v>
      </c>
      <c r="P8" s="1428" t="s">
        <v>846</v>
      </c>
      <c r="Q8" s="1428">
        <v>612</v>
      </c>
      <c r="R8" s="1428">
        <v>3.2959159302603298E-2</v>
      </c>
      <c r="S8" s="1428">
        <v>18.5</v>
      </c>
      <c r="T8" s="1428">
        <v>3.5108669691903509E-2</v>
      </c>
      <c r="U8" s="1428">
        <v>518</v>
      </c>
      <c r="V8" s="1428">
        <v>620.00600000000009</v>
      </c>
      <c r="W8" s="1428">
        <v>15.10017196904557</v>
      </c>
      <c r="X8" s="1428">
        <v>33.600171969045569</v>
      </c>
      <c r="Y8" s="1428">
        <v>37.199914015477212</v>
      </c>
      <c r="Z8" s="1428" t="b">
        <v>0</v>
      </c>
    </row>
    <row r="9" spans="2:26" ht="20.100000000000001" customHeight="1">
      <c r="B9" s="1509" t="s">
        <v>963</v>
      </c>
      <c r="C9" s="1510" t="s">
        <v>1341</v>
      </c>
      <c r="D9" s="935"/>
      <c r="E9" s="936"/>
      <c r="K9" s="2087">
        <v>0</v>
      </c>
      <c r="M9" s="1428">
        <v>5</v>
      </c>
      <c r="N9" s="1428" t="s">
        <v>847</v>
      </c>
      <c r="O9" s="1428" t="s">
        <v>783</v>
      </c>
      <c r="P9" s="1428" t="s">
        <v>848</v>
      </c>
      <c r="Q9" s="1428">
        <v>524</v>
      </c>
      <c r="R9" s="1428">
        <v>0.10508717458801051</v>
      </c>
      <c r="S9" s="1428">
        <v>69</v>
      </c>
      <c r="T9" s="1428">
        <v>0.12491043706711248</v>
      </c>
      <c r="U9" s="1428">
        <v>1630.0039999999999</v>
      </c>
      <c r="V9" s="1428">
        <v>1850</v>
      </c>
      <c r="W9" s="1428">
        <v>165</v>
      </c>
      <c r="X9" s="1428">
        <v>234</v>
      </c>
      <c r="Y9" s="1428">
        <v>261</v>
      </c>
      <c r="Z9" s="1428" t="b">
        <v>0</v>
      </c>
    </row>
    <row r="10" spans="2:26" ht="20.100000000000001" customHeight="1">
      <c r="B10" s="1509" t="s">
        <v>503</v>
      </c>
      <c r="C10" s="1510" t="s">
        <v>1175</v>
      </c>
      <c r="D10" s="2158"/>
      <c r="E10" s="2159"/>
      <c r="M10" s="1428">
        <v>6</v>
      </c>
      <c r="N10" s="1428" t="s">
        <v>849</v>
      </c>
      <c r="O10" s="1428" t="s">
        <v>783</v>
      </c>
      <c r="P10" s="1428" t="s">
        <v>850</v>
      </c>
      <c r="Q10" s="1428">
        <v>546</v>
      </c>
      <c r="R10" s="1428">
        <v>0.10389300214951039</v>
      </c>
      <c r="S10" s="1428">
        <v>86.5</v>
      </c>
      <c r="T10" s="1428">
        <v>0.11511822307141149</v>
      </c>
      <c r="U10" s="1428">
        <v>1952.0060000000001</v>
      </c>
      <c r="V10" s="1428">
        <v>2249.9960000000001</v>
      </c>
      <c r="W10" s="1428">
        <v>196.99999999999997</v>
      </c>
      <c r="X10" s="1428">
        <v>283.5</v>
      </c>
      <c r="Y10" s="1428">
        <v>317.80008598452275</v>
      </c>
      <c r="Z10" s="1428" t="b">
        <v>0</v>
      </c>
    </row>
    <row r="11" spans="2:26" ht="20.100000000000001" customHeight="1">
      <c r="B11" s="1509" t="s">
        <v>723</v>
      </c>
      <c r="C11" s="1510" t="s">
        <v>1175</v>
      </c>
      <c r="D11" s="2158"/>
      <c r="E11" s="2159"/>
      <c r="J11" s="1428">
        <f>IF($C$2&gt;0,1,0)</f>
        <v>1</v>
      </c>
      <c r="K11" s="2061" t="s">
        <v>3</v>
      </c>
      <c r="M11" s="1428">
        <v>7</v>
      </c>
      <c r="N11" s="1428" t="s">
        <v>851</v>
      </c>
      <c r="O11" s="1428" t="s">
        <v>783</v>
      </c>
      <c r="P11" s="1428" t="s">
        <v>852</v>
      </c>
      <c r="Q11" s="1428">
        <v>528</v>
      </c>
      <c r="R11" s="1428">
        <v>0.10508717458801051</v>
      </c>
      <c r="S11" s="1428">
        <v>70.999999999999986</v>
      </c>
      <c r="T11" s="1428">
        <v>0.1229997611655123</v>
      </c>
      <c r="U11" s="1428">
        <v>1688</v>
      </c>
      <c r="V11" s="1428">
        <v>1950.008</v>
      </c>
      <c r="W11" s="1428">
        <v>171</v>
      </c>
      <c r="X11" s="1428">
        <v>242.00000000000003</v>
      </c>
      <c r="Y11" s="1428">
        <v>274.19991401547719</v>
      </c>
      <c r="Z11" s="1428" t="b">
        <v>0</v>
      </c>
    </row>
    <row r="12" spans="2:26" ht="20.100000000000001" customHeight="1" thickBot="1">
      <c r="B12" s="1511" t="s">
        <v>1463</v>
      </c>
      <c r="C12" s="1512"/>
      <c r="D12" s="963">
        <v>1</v>
      </c>
      <c r="E12" s="964">
        <v>1</v>
      </c>
      <c r="J12" s="1428"/>
      <c r="K12" s="2061"/>
      <c r="M12" s="1428">
        <v>8</v>
      </c>
      <c r="N12" s="1428" t="s">
        <v>853</v>
      </c>
      <c r="O12" s="1428" t="s">
        <v>783</v>
      </c>
      <c r="P12" s="1428" t="s">
        <v>854</v>
      </c>
      <c r="Q12" s="1428">
        <v>556.00000000000011</v>
      </c>
      <c r="R12" s="1428">
        <v>9.5056126104609506E-2</v>
      </c>
      <c r="S12" s="1428">
        <v>79.899828030954424</v>
      </c>
      <c r="T12" s="1428">
        <v>0.10890852639121089</v>
      </c>
      <c r="U12" s="1428">
        <v>1832</v>
      </c>
      <c r="V12" s="1428">
        <v>2049.9979999999996</v>
      </c>
      <c r="W12" s="1428">
        <v>168.30008598452278</v>
      </c>
      <c r="X12" s="1428">
        <v>248.19991401547719</v>
      </c>
      <c r="Y12" s="1428">
        <v>272</v>
      </c>
      <c r="Z12" s="1428" t="b">
        <v>0</v>
      </c>
    </row>
    <row r="13" spans="2:26" ht="20.100000000000001" customHeight="1" thickBot="1">
      <c r="B13" s="1513" t="s">
        <v>507</v>
      </c>
      <c r="C13" s="1514" t="s">
        <v>1173</v>
      </c>
      <c r="D13" s="1515">
        <f>D9*D8*(D11-D10)*D12</f>
        <v>0</v>
      </c>
      <c r="E13" s="1516">
        <f>E9*E8*(E11-E10)*E12</f>
        <v>0</v>
      </c>
      <c r="M13" s="1428">
        <v>9</v>
      </c>
      <c r="N13" s="1428" t="s">
        <v>855</v>
      </c>
      <c r="O13" s="1428" t="s">
        <v>783</v>
      </c>
      <c r="P13" s="1428" t="s">
        <v>856</v>
      </c>
      <c r="Q13" s="1428">
        <v>510</v>
      </c>
      <c r="R13" s="1428">
        <v>0.12610460950561261</v>
      </c>
      <c r="S13" s="1428">
        <v>98.600171969045562</v>
      </c>
      <c r="T13" s="1428">
        <v>0.12491043706711248</v>
      </c>
      <c r="U13" s="1428">
        <v>1922</v>
      </c>
      <c r="V13" s="1428">
        <v>2199.9920000000002</v>
      </c>
      <c r="W13" s="1428">
        <v>235</v>
      </c>
      <c r="X13" s="1428">
        <v>333.60017196904556</v>
      </c>
      <c r="Y13" s="1428">
        <v>368</v>
      </c>
      <c r="Z13" s="1428" t="b">
        <v>0</v>
      </c>
    </row>
    <row r="14" spans="2:26" ht="20.100000000000001" customHeight="1" thickBot="1">
      <c r="M14" s="1428">
        <v>10</v>
      </c>
      <c r="N14" s="1428" t="s">
        <v>857</v>
      </c>
      <c r="O14" s="1428" t="s">
        <v>783</v>
      </c>
      <c r="P14" s="1428" t="s">
        <v>858</v>
      </c>
      <c r="Q14" s="1428">
        <v>540</v>
      </c>
      <c r="R14" s="1428">
        <v>0.10007165034630999</v>
      </c>
      <c r="S14" s="1428">
        <v>76.300085984522781</v>
      </c>
      <c r="T14" s="1428">
        <v>0.11893957487461189</v>
      </c>
      <c r="U14" s="1428">
        <v>1634</v>
      </c>
      <c r="V14" s="1428">
        <v>1900.0039999999999</v>
      </c>
      <c r="W14" s="1428">
        <v>157.39982803095444</v>
      </c>
      <c r="X14" s="1428">
        <v>233.69991401547722</v>
      </c>
      <c r="Y14" s="1428">
        <v>265.39982803095444</v>
      </c>
      <c r="Z14" s="1428" t="b">
        <v>0</v>
      </c>
    </row>
    <row r="15" spans="2:26" ht="20.100000000000001" customHeight="1">
      <c r="B15" s="1517"/>
      <c r="C15" s="1518"/>
      <c r="D15" s="1519" t="s">
        <v>1171</v>
      </c>
      <c r="E15" s="1520" t="s">
        <v>1119</v>
      </c>
      <c r="M15" s="1428">
        <v>11</v>
      </c>
      <c r="N15" s="1428" t="s">
        <v>859</v>
      </c>
      <c r="O15" s="1428" t="s">
        <v>783</v>
      </c>
      <c r="P15" s="1428" t="s">
        <v>860</v>
      </c>
      <c r="Q15" s="1428">
        <v>550</v>
      </c>
      <c r="R15" s="1428">
        <v>0.10699785048961069</v>
      </c>
      <c r="S15" s="1428">
        <v>84.199914015477205</v>
      </c>
      <c r="T15" s="1428">
        <v>0.1060425125388106</v>
      </c>
      <c r="U15" s="1428">
        <v>1850</v>
      </c>
      <c r="V15" s="1428">
        <v>2100.0020000000004</v>
      </c>
      <c r="W15" s="1428">
        <v>191.49999999999997</v>
      </c>
      <c r="X15" s="1428">
        <v>275.69991401547719</v>
      </c>
      <c r="Y15" s="1428">
        <v>302</v>
      </c>
      <c r="Z15" s="1428" t="b">
        <v>0</v>
      </c>
    </row>
    <row r="16" spans="2:26" ht="24.95" customHeight="1">
      <c r="B16" s="2549" t="s">
        <v>961</v>
      </c>
      <c r="C16" s="2550"/>
      <c r="D16" s="2012" t="s">
        <v>906</v>
      </c>
      <c r="E16" s="2014" t="s">
        <v>906</v>
      </c>
      <c r="M16" s="1428">
        <v>12</v>
      </c>
      <c r="N16" s="1428" t="s">
        <v>861</v>
      </c>
      <c r="O16" s="1428" t="s">
        <v>783</v>
      </c>
      <c r="P16" s="1428" t="s">
        <v>862</v>
      </c>
      <c r="Q16" s="1428">
        <v>525</v>
      </c>
      <c r="R16" s="1428">
        <v>0.10699785048961069</v>
      </c>
      <c r="S16" s="1428">
        <v>73.5</v>
      </c>
      <c r="T16" s="1428">
        <v>0.12395509911631239</v>
      </c>
      <c r="U16" s="1428">
        <v>1625</v>
      </c>
      <c r="V16" s="1428">
        <v>1850</v>
      </c>
      <c r="W16" s="1428">
        <v>167.5</v>
      </c>
      <c r="X16" s="1428">
        <v>241</v>
      </c>
      <c r="Y16" s="1428">
        <v>268.89982803095444</v>
      </c>
      <c r="Z16" s="1428" t="b">
        <v>0</v>
      </c>
    </row>
    <row r="17" spans="2:26" ht="20.100000000000001" customHeight="1">
      <c r="B17" s="2549"/>
      <c r="C17" s="2550"/>
      <c r="D17" s="2013"/>
      <c r="E17" s="2034"/>
      <c r="K17" s="2074" t="s">
        <v>491</v>
      </c>
      <c r="M17" s="1428">
        <v>13</v>
      </c>
      <c r="N17" s="1428" t="s">
        <v>863</v>
      </c>
      <c r="O17" s="1428" t="s">
        <v>783</v>
      </c>
      <c r="P17" s="1428" t="s">
        <v>864</v>
      </c>
      <c r="Q17" s="1428">
        <v>138</v>
      </c>
      <c r="R17" s="1428">
        <v>0.16</v>
      </c>
      <c r="S17" s="1428">
        <v>60</v>
      </c>
      <c r="T17" s="1428">
        <v>0.17497014568903749</v>
      </c>
      <c r="U17" s="1428">
        <v>2800.0039999999999</v>
      </c>
      <c r="V17" s="1428">
        <v>-4.0000000000048885E-3</v>
      </c>
      <c r="W17" s="1428">
        <v>0</v>
      </c>
      <c r="X17" s="1428">
        <v>0</v>
      </c>
      <c r="Y17" s="1428">
        <v>0</v>
      </c>
      <c r="Z17" s="1428" t="b">
        <v>0</v>
      </c>
    </row>
    <row r="18" spans="2:26" ht="20.100000000000001" customHeight="1">
      <c r="B18" s="1509" t="s">
        <v>962</v>
      </c>
      <c r="C18" s="1510" t="s">
        <v>1346</v>
      </c>
      <c r="D18" s="1352">
        <f>IF(D16="Other",K18,VLOOKUP($D16,$N$5:$Z$45,5,))</f>
        <v>0.12</v>
      </c>
      <c r="E18" s="1353">
        <f>IF(E16="Other",K20,VLOOKUP($E16,$N$5:$Z$45,5,))</f>
        <v>0.12</v>
      </c>
      <c r="K18" s="2087" t="s">
        <v>1625</v>
      </c>
      <c r="M18" s="1428">
        <v>14</v>
      </c>
      <c r="N18" s="1428" t="s">
        <v>865</v>
      </c>
      <c r="O18" s="1428" t="s">
        <v>783</v>
      </c>
      <c r="P18" s="1428" t="s">
        <v>866</v>
      </c>
      <c r="Q18" s="1428">
        <v>559</v>
      </c>
      <c r="R18" s="1428">
        <v>0.10389300214951039</v>
      </c>
      <c r="S18" s="1428">
        <v>91</v>
      </c>
      <c r="T18" s="1428">
        <v>0.1110580367805111</v>
      </c>
      <c r="U18" s="1428">
        <v>1981.9939999999999</v>
      </c>
      <c r="V18" s="1428">
        <v>2199.9920000000002</v>
      </c>
      <c r="W18" s="1428">
        <v>200</v>
      </c>
      <c r="X18" s="1428">
        <v>291</v>
      </c>
      <c r="Y18" s="1428">
        <v>315</v>
      </c>
      <c r="Z18" s="1428" t="b">
        <v>0</v>
      </c>
    </row>
    <row r="19" spans="2:26" ht="20.100000000000001" customHeight="1">
      <c r="B19" s="1509" t="s">
        <v>963</v>
      </c>
      <c r="C19" s="1510" t="s">
        <v>1341</v>
      </c>
      <c r="D19" s="935"/>
      <c r="E19" s="936"/>
      <c r="K19" s="2074" t="s">
        <v>491</v>
      </c>
      <c r="M19" s="1428">
        <v>15</v>
      </c>
      <c r="N19" s="1428" t="s">
        <v>867</v>
      </c>
      <c r="O19" s="1428" t="s">
        <v>783</v>
      </c>
      <c r="P19" s="1428" t="s">
        <v>868</v>
      </c>
      <c r="Q19" s="1428">
        <v>176</v>
      </c>
      <c r="R19" s="1428">
        <v>0.23596847384762357</v>
      </c>
      <c r="S19" s="1428">
        <v>162.99999999999997</v>
      </c>
      <c r="T19" s="1428">
        <v>0.24098399808932405</v>
      </c>
      <c r="U19" s="1428">
        <v>1149.998</v>
      </c>
      <c r="V19" s="1428">
        <v>1400</v>
      </c>
      <c r="W19" s="1428">
        <v>257.30008598452281</v>
      </c>
      <c r="X19" s="1428">
        <v>420.30008598452281</v>
      </c>
      <c r="Y19" s="1428">
        <v>481</v>
      </c>
      <c r="Z19" s="1428" t="b">
        <v>0</v>
      </c>
    </row>
    <row r="20" spans="2:26" ht="20.100000000000001" customHeight="1">
      <c r="B20" s="1509" t="s">
        <v>503</v>
      </c>
      <c r="C20" s="1510" t="s">
        <v>1175</v>
      </c>
      <c r="D20" s="2158"/>
      <c r="E20" s="2159"/>
      <c r="K20" s="2087">
        <v>0</v>
      </c>
      <c r="M20" s="1428">
        <v>16</v>
      </c>
      <c r="N20" s="1428" t="s">
        <v>867</v>
      </c>
      <c r="O20" s="1428" t="s">
        <v>783</v>
      </c>
      <c r="P20" s="1428" t="s">
        <v>869</v>
      </c>
      <c r="Q20" s="1428">
        <v>176</v>
      </c>
      <c r="R20" s="1428">
        <v>3.7974683544303799E-2</v>
      </c>
      <c r="S20" s="1428">
        <v>17.5</v>
      </c>
      <c r="T20" s="1428">
        <v>3.70193455935037E-2</v>
      </c>
      <c r="U20" s="1428">
        <v>600.00800000000004</v>
      </c>
      <c r="V20" s="1428">
        <v>820.00400000000002</v>
      </c>
      <c r="W20" s="1428">
        <v>20.5</v>
      </c>
      <c r="X20" s="1428">
        <v>38</v>
      </c>
      <c r="Y20" s="1428">
        <v>146</v>
      </c>
      <c r="Z20" s="1428" t="b">
        <v>0</v>
      </c>
    </row>
    <row r="21" spans="2:26" ht="20.100000000000001" customHeight="1">
      <c r="B21" s="1509" t="s">
        <v>723</v>
      </c>
      <c r="C21" s="1510" t="s">
        <v>1175</v>
      </c>
      <c r="D21" s="2158"/>
      <c r="E21" s="2159"/>
      <c r="J21" s="1428">
        <f>IF($C$2&gt;1,1,0)</f>
        <v>1</v>
      </c>
      <c r="K21" s="2061" t="s">
        <v>3</v>
      </c>
      <c r="M21" s="1428">
        <v>17</v>
      </c>
      <c r="N21" s="1428" t="s">
        <v>867</v>
      </c>
      <c r="O21" s="1428" t="s">
        <v>783</v>
      </c>
      <c r="P21" s="1428" t="s">
        <v>870</v>
      </c>
      <c r="Q21" s="1428">
        <v>176</v>
      </c>
      <c r="R21" s="1428">
        <v>6.9978504896106991E-2</v>
      </c>
      <c r="S21" s="1428">
        <v>30.199914015477216</v>
      </c>
      <c r="T21" s="1428">
        <v>6.2096966802006208E-2</v>
      </c>
      <c r="U21" s="1428">
        <v>449.99599999999998</v>
      </c>
      <c r="V21" s="1428">
        <v>649.99400000000003</v>
      </c>
      <c r="W21" s="1428">
        <v>27.600171969045569</v>
      </c>
      <c r="X21" s="1428">
        <v>57.800085984522788</v>
      </c>
      <c r="Y21" s="1428">
        <v>70</v>
      </c>
      <c r="Z21" s="1428" t="b">
        <v>0</v>
      </c>
    </row>
    <row r="22" spans="2:26" ht="20.100000000000001" customHeight="1" thickBot="1">
      <c r="B22" s="1511" t="s">
        <v>1463</v>
      </c>
      <c r="C22" s="1512"/>
      <c r="D22" s="963">
        <v>1</v>
      </c>
      <c r="E22" s="964">
        <v>1</v>
      </c>
      <c r="J22" s="1428"/>
      <c r="K22" s="2061"/>
      <c r="M22" s="1428">
        <v>18</v>
      </c>
      <c r="N22" s="1428" t="s">
        <v>867</v>
      </c>
      <c r="O22" s="1428" t="s">
        <v>783</v>
      </c>
      <c r="P22" s="1428" t="s">
        <v>871</v>
      </c>
      <c r="Q22" s="1428">
        <v>176</v>
      </c>
      <c r="R22" s="1428">
        <v>0.10293766419871028</v>
      </c>
      <c r="S22" s="1428">
        <v>48</v>
      </c>
      <c r="T22" s="1428">
        <v>0.1380463338906138</v>
      </c>
      <c r="U22" s="1428">
        <v>780.00800000000004</v>
      </c>
      <c r="V22" s="1428">
        <v>980.00599999999997</v>
      </c>
      <c r="W22" s="1428">
        <v>74</v>
      </c>
      <c r="X22" s="1428">
        <v>121.99999999999999</v>
      </c>
      <c r="Y22" s="1428">
        <v>150</v>
      </c>
      <c r="Z22" s="1428" t="b">
        <v>0</v>
      </c>
    </row>
    <row r="23" spans="2:26" ht="20.100000000000001" customHeight="1" thickBot="1">
      <c r="B23" s="1513" t="s">
        <v>507</v>
      </c>
      <c r="C23" s="1514" t="s">
        <v>1173</v>
      </c>
      <c r="D23" s="1515">
        <f>D19*D18*(D21-D20)*D22</f>
        <v>0</v>
      </c>
      <c r="E23" s="1516">
        <f>E19*E18*(E21-E20)*E22</f>
        <v>0</v>
      </c>
      <c r="M23" s="1428">
        <v>19</v>
      </c>
      <c r="N23" s="1428" t="s">
        <v>872</v>
      </c>
      <c r="O23" s="1428" t="s">
        <v>783</v>
      </c>
      <c r="P23" s="1428" t="s">
        <v>873</v>
      </c>
      <c r="Q23" s="1428">
        <v>540</v>
      </c>
      <c r="R23" s="1428">
        <v>0.10890852639121089</v>
      </c>
      <c r="S23" s="1428">
        <v>86.199914015477219</v>
      </c>
      <c r="T23" s="1428">
        <v>0.1229997611655123</v>
      </c>
      <c r="U23" s="1428">
        <v>1850</v>
      </c>
      <c r="V23" s="1428">
        <v>2100.0020000000004</v>
      </c>
      <c r="W23" s="1428">
        <v>194</v>
      </c>
      <c r="X23" s="1428">
        <v>280.19991401547719</v>
      </c>
      <c r="Y23" s="1428">
        <v>311</v>
      </c>
      <c r="Z23" s="1428" t="b">
        <v>0</v>
      </c>
    </row>
    <row r="24" spans="2:26" ht="20.100000000000001" customHeight="1" thickBot="1">
      <c r="M24" s="1428">
        <v>20</v>
      </c>
      <c r="N24" s="1428" t="s">
        <v>874</v>
      </c>
      <c r="O24" s="1428" t="s">
        <v>783</v>
      </c>
      <c r="P24" s="1428" t="s">
        <v>875</v>
      </c>
      <c r="Q24" s="1428">
        <v>1205</v>
      </c>
      <c r="R24" s="1428">
        <v>3.2959159302603298E-2</v>
      </c>
      <c r="S24" s="1428">
        <v>28.499999999999996</v>
      </c>
      <c r="T24" s="1428">
        <v>3.3914497253403383E-2</v>
      </c>
      <c r="U24" s="1428">
        <v>1945.0039999999999</v>
      </c>
      <c r="V24" s="1428">
        <v>2150.0060000000003</v>
      </c>
      <c r="W24" s="1428">
        <v>62.199914015477212</v>
      </c>
      <c r="X24" s="1428">
        <v>90.699914015477205</v>
      </c>
      <c r="Y24" s="1428">
        <v>97.699914015477205</v>
      </c>
      <c r="Z24" s="1428" t="b">
        <v>0</v>
      </c>
    </row>
    <row r="25" spans="2:26" ht="20.100000000000001" customHeight="1">
      <c r="B25" s="1517"/>
      <c r="C25" s="1518"/>
      <c r="D25" s="1519" t="s">
        <v>1171</v>
      </c>
      <c r="E25" s="1520" t="s">
        <v>1119</v>
      </c>
      <c r="M25" s="1428">
        <v>21</v>
      </c>
      <c r="N25" s="1428" t="s">
        <v>876</v>
      </c>
      <c r="O25" s="1428" t="s">
        <v>783</v>
      </c>
      <c r="P25" s="1428" t="s">
        <v>877</v>
      </c>
      <c r="Q25" s="1428">
        <v>480.00000000000006</v>
      </c>
      <c r="R25" s="1428">
        <v>0.13995700979221398</v>
      </c>
      <c r="S25" s="1428">
        <v>0</v>
      </c>
      <c r="T25" s="1428">
        <v>0</v>
      </c>
      <c r="U25" s="1428">
        <v>2499.998</v>
      </c>
      <c r="V25" s="1428">
        <v>-4.0000000000048885E-3</v>
      </c>
      <c r="W25" s="1428">
        <v>0</v>
      </c>
      <c r="X25" s="1428">
        <v>0</v>
      </c>
      <c r="Y25" s="1428">
        <v>0</v>
      </c>
      <c r="Z25" s="1428" t="b">
        <v>0</v>
      </c>
    </row>
    <row r="26" spans="2:26" ht="24.95" customHeight="1">
      <c r="B26" s="2549" t="s">
        <v>961</v>
      </c>
      <c r="C26" s="2550"/>
      <c r="D26" s="2012" t="s">
        <v>843</v>
      </c>
      <c r="E26" s="2014" t="s">
        <v>843</v>
      </c>
      <c r="M26" s="1428">
        <v>22</v>
      </c>
      <c r="N26" s="1428" t="s">
        <v>878</v>
      </c>
      <c r="O26" s="1428" t="s">
        <v>783</v>
      </c>
      <c r="P26" s="1428" t="s">
        <v>879</v>
      </c>
      <c r="Q26" s="1428">
        <v>480.00000000000006</v>
      </c>
      <c r="R26" s="1428">
        <v>0.19011225220921901</v>
      </c>
      <c r="S26" s="1428">
        <v>41.399828030954431</v>
      </c>
      <c r="T26" s="1428">
        <v>0</v>
      </c>
      <c r="U26" s="1428">
        <v>2246</v>
      </c>
      <c r="V26" s="1428">
        <v>2800.0039999999999</v>
      </c>
      <c r="W26" s="1428">
        <v>415</v>
      </c>
      <c r="X26" s="1428">
        <v>455.99999999999994</v>
      </c>
      <c r="Y26" s="1428">
        <v>583</v>
      </c>
      <c r="Z26" s="1428" t="b">
        <v>0</v>
      </c>
    </row>
    <row r="27" spans="2:26" ht="20.100000000000001" customHeight="1">
      <c r="B27" s="2549"/>
      <c r="C27" s="2550"/>
      <c r="D27" s="2033"/>
      <c r="E27" s="2034"/>
      <c r="K27" s="2074" t="s">
        <v>491</v>
      </c>
      <c r="M27" s="1428">
        <v>23</v>
      </c>
      <c r="N27" s="1428" t="s">
        <v>880</v>
      </c>
      <c r="O27" s="1428" t="s">
        <v>783</v>
      </c>
      <c r="P27" s="1428" t="s">
        <v>881</v>
      </c>
      <c r="Q27" s="1428">
        <v>480.00000000000006</v>
      </c>
      <c r="R27" s="1428">
        <v>0.18008120372581798</v>
      </c>
      <c r="S27" s="1428">
        <v>60.300085984522788</v>
      </c>
      <c r="T27" s="1428">
        <v>0</v>
      </c>
      <c r="U27" s="1428">
        <v>2102</v>
      </c>
      <c r="V27" s="1428">
        <v>2899.9940000000001</v>
      </c>
      <c r="W27" s="1428">
        <v>368</v>
      </c>
      <c r="X27" s="1428">
        <v>428</v>
      </c>
      <c r="Y27" s="1428">
        <v>612</v>
      </c>
      <c r="Z27" s="1428" t="b">
        <v>0</v>
      </c>
    </row>
    <row r="28" spans="2:26" ht="20.100000000000001" customHeight="1">
      <c r="B28" s="1509" t="s">
        <v>962</v>
      </c>
      <c r="C28" s="1510" t="s">
        <v>1346</v>
      </c>
      <c r="D28" s="1352">
        <f>IF(D26="Other",K28,VLOOKUP($D26,$N$5:$Z$45,5,))</f>
        <v>7.0933842846907083E-2</v>
      </c>
      <c r="E28" s="1353">
        <f>IF(E26="Other",K30,VLOOKUP($E26,$N$5:$Z$45,5,))</f>
        <v>7.0933842846907083E-2</v>
      </c>
      <c r="K28" s="2087">
        <v>0</v>
      </c>
      <c r="M28" s="1428">
        <v>24</v>
      </c>
      <c r="N28" s="1428" t="s">
        <v>882</v>
      </c>
      <c r="O28" s="1428" t="s">
        <v>783</v>
      </c>
      <c r="P28" s="1428" t="s">
        <v>883</v>
      </c>
      <c r="Q28" s="1428">
        <v>480.00000000000006</v>
      </c>
      <c r="R28" s="1428">
        <v>0.15309290661571531</v>
      </c>
      <c r="S28" s="1428">
        <v>83.600171969045576</v>
      </c>
      <c r="T28" s="1428">
        <v>0</v>
      </c>
      <c r="U28" s="1428">
        <v>2012</v>
      </c>
      <c r="V28" s="1428">
        <v>2300</v>
      </c>
      <c r="W28" s="1428">
        <v>299</v>
      </c>
      <c r="X28" s="1428">
        <v>384</v>
      </c>
      <c r="Y28" s="1428">
        <v>450</v>
      </c>
      <c r="Z28" s="1428" t="b">
        <v>0</v>
      </c>
    </row>
    <row r="29" spans="2:26" ht="20.100000000000001" customHeight="1">
      <c r="B29" s="1509" t="s">
        <v>963</v>
      </c>
      <c r="C29" s="1510" t="s">
        <v>1341</v>
      </c>
      <c r="D29" s="935">
        <v>0</v>
      </c>
      <c r="E29" s="936">
        <v>0</v>
      </c>
      <c r="K29" s="2074" t="s">
        <v>491</v>
      </c>
      <c r="M29" s="1428">
        <v>25</v>
      </c>
      <c r="N29" s="1428" t="s">
        <v>884</v>
      </c>
      <c r="O29" s="1428" t="s">
        <v>783</v>
      </c>
      <c r="P29" s="1428" t="s">
        <v>885</v>
      </c>
      <c r="Q29" s="1428">
        <v>491</v>
      </c>
      <c r="R29" s="1428">
        <v>0.16790064485311676</v>
      </c>
      <c r="S29" s="1428">
        <v>117</v>
      </c>
      <c r="T29" s="1428">
        <v>0.14998805827561498</v>
      </c>
      <c r="U29" s="1428">
        <v>2802.0020000000004</v>
      </c>
      <c r="V29" s="1428">
        <v>3099.9920000000002</v>
      </c>
      <c r="W29" s="1428">
        <v>451</v>
      </c>
      <c r="X29" s="1428">
        <v>567.99999999999989</v>
      </c>
      <c r="Y29" s="1428">
        <v>626</v>
      </c>
      <c r="Z29" s="1428" t="b">
        <v>0</v>
      </c>
    </row>
    <row r="30" spans="2:26" ht="20.100000000000001" customHeight="1">
      <c r="B30" s="1509" t="s">
        <v>503</v>
      </c>
      <c r="C30" s="1510" t="s">
        <v>1175</v>
      </c>
      <c r="D30" s="2158"/>
      <c r="E30" s="2159"/>
      <c r="K30" s="2087">
        <v>0</v>
      </c>
      <c r="M30" s="1428">
        <v>26</v>
      </c>
      <c r="N30" s="1428" t="s">
        <v>886</v>
      </c>
      <c r="O30" s="1428" t="s">
        <v>783</v>
      </c>
      <c r="P30" s="1428" t="s">
        <v>887</v>
      </c>
      <c r="Q30" s="1428">
        <v>708</v>
      </c>
      <c r="R30" s="1428">
        <v>3.2003821351803199E-2</v>
      </c>
      <c r="S30" s="1428">
        <v>10</v>
      </c>
      <c r="T30" s="1428">
        <v>3.3914497253403383E-2</v>
      </c>
      <c r="U30" s="1428">
        <v>620.99600000000009</v>
      </c>
      <c r="V30" s="1428">
        <v>719.99600000000009</v>
      </c>
      <c r="W30" s="1428">
        <v>18</v>
      </c>
      <c r="X30" s="1428">
        <v>28</v>
      </c>
      <c r="Y30" s="1428">
        <v>30.999999999999996</v>
      </c>
      <c r="Z30" s="1428" t="b">
        <v>0</v>
      </c>
    </row>
    <row r="31" spans="2:26" ht="20.100000000000001" customHeight="1">
      <c r="B31" s="1509" t="s">
        <v>723</v>
      </c>
      <c r="C31" s="1510" t="s">
        <v>1175</v>
      </c>
      <c r="D31" s="2158"/>
      <c r="E31" s="2159"/>
      <c r="J31" s="1428">
        <f>IF($C$2&gt;2,1,0)</f>
        <v>1</v>
      </c>
      <c r="K31" s="2061" t="s">
        <v>3</v>
      </c>
      <c r="M31" s="1428">
        <v>27</v>
      </c>
      <c r="N31" s="1428" t="s">
        <v>888</v>
      </c>
      <c r="O31" s="1428" t="s">
        <v>783</v>
      </c>
      <c r="P31" s="1428" t="s">
        <v>889</v>
      </c>
      <c r="Q31" s="1428">
        <v>700</v>
      </c>
      <c r="R31" s="1428">
        <v>3.6064007642703601E-2</v>
      </c>
      <c r="S31" s="1428">
        <v>21.5</v>
      </c>
      <c r="T31" s="1428">
        <v>3.6064007642703601E-2</v>
      </c>
      <c r="U31" s="1428">
        <v>485.99599999999998</v>
      </c>
      <c r="V31" s="1428">
        <v>620.00600000000009</v>
      </c>
      <c r="W31" s="1428">
        <v>15.300085984522786</v>
      </c>
      <c r="X31" s="1428">
        <v>36.800085984522781</v>
      </c>
      <c r="Y31" s="1428">
        <v>41.600171969045569</v>
      </c>
      <c r="Z31" s="1428" t="b">
        <v>0</v>
      </c>
    </row>
    <row r="32" spans="2:26" ht="20.100000000000001" customHeight="1" thickBot="1">
      <c r="B32" s="1511" t="s">
        <v>1463</v>
      </c>
      <c r="C32" s="1512"/>
      <c r="D32" s="963">
        <v>1</v>
      </c>
      <c r="E32" s="964">
        <v>1</v>
      </c>
      <c r="J32" s="1428"/>
      <c r="K32" s="2061"/>
      <c r="M32" s="1428">
        <v>28</v>
      </c>
      <c r="N32" s="1428" t="s">
        <v>890</v>
      </c>
      <c r="O32" s="1428" t="s">
        <v>783</v>
      </c>
      <c r="P32" s="1428" t="s">
        <v>891</v>
      </c>
      <c r="Q32" s="1428">
        <v>108.59987515605494</v>
      </c>
      <c r="R32" s="1428">
        <v>0.27203248149032722</v>
      </c>
      <c r="S32" s="1428">
        <v>83.699914015477219</v>
      </c>
      <c r="T32" s="1428">
        <v>0.26606161929782662</v>
      </c>
      <c r="U32" s="1428">
        <v>1203.998</v>
      </c>
      <c r="V32" s="1428">
        <v>1380.002</v>
      </c>
      <c r="W32" s="1428">
        <v>311.19991401547719</v>
      </c>
      <c r="X32" s="1428">
        <v>394.89982803095444</v>
      </c>
      <c r="Y32" s="1428">
        <v>441.69991401547719</v>
      </c>
      <c r="Z32" s="1428" t="b">
        <v>0</v>
      </c>
    </row>
    <row r="33" spans="2:26" ht="20.100000000000001" customHeight="1" thickBot="1">
      <c r="B33" s="1513" t="s">
        <v>507</v>
      </c>
      <c r="C33" s="1514" t="s">
        <v>1173</v>
      </c>
      <c r="D33" s="1515">
        <f>D29*D28*(D31-D30)*D32</f>
        <v>0</v>
      </c>
      <c r="E33" s="1516">
        <f>E29*E28*(E31-E30)*E32</f>
        <v>0</v>
      </c>
      <c r="M33" s="1428">
        <v>29</v>
      </c>
      <c r="N33" s="1428" t="s">
        <v>892</v>
      </c>
      <c r="O33" s="1428" t="s">
        <v>783</v>
      </c>
      <c r="P33" s="1428" t="s">
        <v>893</v>
      </c>
      <c r="Q33" s="1428">
        <v>464</v>
      </c>
      <c r="R33" s="1428">
        <v>0.17100549319321709</v>
      </c>
      <c r="S33" s="1428">
        <v>66</v>
      </c>
      <c r="T33" s="1428">
        <v>0.1920229281108192</v>
      </c>
      <c r="U33" s="1428">
        <v>2246</v>
      </c>
      <c r="V33" s="1428">
        <v>2400.0079999999998</v>
      </c>
      <c r="W33" s="1428">
        <v>374</v>
      </c>
      <c r="X33" s="1428">
        <v>440</v>
      </c>
      <c r="Y33" s="1428">
        <v>469</v>
      </c>
      <c r="Z33" s="1428" t="b">
        <v>0</v>
      </c>
    </row>
    <row r="34" spans="2:26" ht="20.100000000000001" customHeight="1" thickBot="1">
      <c r="M34" s="1428">
        <v>30</v>
      </c>
      <c r="N34" s="1428" t="s">
        <v>894</v>
      </c>
      <c r="O34" s="1428" t="s">
        <v>783</v>
      </c>
      <c r="P34" s="1428" t="s">
        <v>895</v>
      </c>
      <c r="Q34" s="1428">
        <v>550</v>
      </c>
      <c r="R34" s="1428">
        <v>0.1289706233580129</v>
      </c>
      <c r="S34" s="1428">
        <v>117.39982803095442</v>
      </c>
      <c r="T34" s="1428">
        <v>0.13900167184141388</v>
      </c>
      <c r="U34" s="1428">
        <v>2415.0020000000004</v>
      </c>
      <c r="V34" s="1428">
        <v>2750</v>
      </c>
      <c r="W34" s="1428">
        <v>304</v>
      </c>
      <c r="X34" s="1428">
        <v>421.39982803095444</v>
      </c>
      <c r="Y34" s="1428">
        <v>468</v>
      </c>
      <c r="Z34" s="1428" t="b">
        <v>0</v>
      </c>
    </row>
    <row r="35" spans="2:26" ht="20.100000000000001" customHeight="1">
      <c r="B35" s="1517"/>
      <c r="C35" s="1518"/>
      <c r="D35" s="1519" t="s">
        <v>1171</v>
      </c>
      <c r="E35" s="1520" t="s">
        <v>1119</v>
      </c>
      <c r="M35" s="1428">
        <v>31</v>
      </c>
      <c r="N35" s="1428" t="s">
        <v>896</v>
      </c>
      <c r="O35" s="1428" t="s">
        <v>783</v>
      </c>
      <c r="P35" s="1428" t="s">
        <v>897</v>
      </c>
      <c r="Q35" s="1428">
        <v>556.00000000000011</v>
      </c>
      <c r="R35" s="1428">
        <v>0.13398614759971339</v>
      </c>
      <c r="S35" s="1428">
        <v>131.5</v>
      </c>
      <c r="T35" s="1428">
        <v>0.13303080964891331</v>
      </c>
      <c r="U35" s="1428">
        <v>2643.998</v>
      </c>
      <c r="V35" s="1428">
        <v>2850.0079999999998</v>
      </c>
      <c r="W35" s="1428">
        <v>346</v>
      </c>
      <c r="X35" s="1428">
        <v>477.49999999999994</v>
      </c>
      <c r="Y35" s="1428">
        <v>505.00000000000006</v>
      </c>
      <c r="Z35" s="1428" t="b">
        <v>0</v>
      </c>
    </row>
    <row r="36" spans="2:26" ht="24.95" customHeight="1">
      <c r="B36" s="2549" t="s">
        <v>961</v>
      </c>
      <c r="C36" s="2550"/>
      <c r="D36" s="2012" t="s">
        <v>838</v>
      </c>
      <c r="E36" s="2014" t="s">
        <v>838</v>
      </c>
      <c r="M36" s="1428">
        <v>32</v>
      </c>
      <c r="N36" s="1428" t="s">
        <v>898</v>
      </c>
      <c r="O36" s="1428" t="s">
        <v>783</v>
      </c>
      <c r="P36" s="1428" t="s">
        <v>899</v>
      </c>
      <c r="Q36" s="1428">
        <v>655</v>
      </c>
      <c r="R36" s="1428">
        <v>6.3052304752806307E-2</v>
      </c>
      <c r="S36" s="1428">
        <v>46.800085984522781</v>
      </c>
      <c r="T36" s="1428">
        <v>6.9978504896106991E-2</v>
      </c>
      <c r="U36" s="1428">
        <v>1761.998</v>
      </c>
      <c r="V36" s="1428">
        <v>1950.008</v>
      </c>
      <c r="W36" s="1428">
        <v>107</v>
      </c>
      <c r="X36" s="1428">
        <v>153.80008598452278</v>
      </c>
      <c r="Y36" s="1428">
        <v>167</v>
      </c>
      <c r="Z36" s="1428" t="b">
        <v>0</v>
      </c>
    </row>
    <row r="37" spans="2:26" ht="20.100000000000001" customHeight="1">
      <c r="B37" s="2549"/>
      <c r="C37" s="2550"/>
      <c r="D37" s="2033"/>
      <c r="E37" s="2034"/>
      <c r="K37" s="2074" t="s">
        <v>1628</v>
      </c>
      <c r="M37" s="1428">
        <v>33</v>
      </c>
      <c r="N37" s="1428" t="s">
        <v>900</v>
      </c>
      <c r="O37" s="1428" t="s">
        <v>783</v>
      </c>
      <c r="P37" s="1428" t="s">
        <v>901</v>
      </c>
      <c r="Q37" s="1428">
        <v>580</v>
      </c>
      <c r="R37" s="1428">
        <v>3.988535944590399E-2</v>
      </c>
      <c r="S37" s="1428">
        <v>16.399828030954428</v>
      </c>
      <c r="T37" s="1428">
        <v>3.8930021495103891E-2</v>
      </c>
      <c r="U37" s="1428">
        <v>231.99799999999999</v>
      </c>
      <c r="V37" s="1428">
        <v>330.00800000000004</v>
      </c>
      <c r="W37" s="1428">
        <v>9.3000859845227861</v>
      </c>
      <c r="X37" s="1428">
        <v>25.699914015477212</v>
      </c>
      <c r="Y37" s="1428">
        <v>29.5</v>
      </c>
      <c r="Z37" s="1428" t="b">
        <v>0</v>
      </c>
    </row>
    <row r="38" spans="2:26" ht="20.100000000000001" customHeight="1">
      <c r="B38" s="1509" t="s">
        <v>962</v>
      </c>
      <c r="C38" s="1510" t="s">
        <v>1346</v>
      </c>
      <c r="D38" s="1352">
        <f>IF(D36="Other",K38,VLOOKUP($D36,$N$5:$Z$45,5,))</f>
        <v>0.24791019823262478</v>
      </c>
      <c r="E38" s="1353">
        <f>IF(E36="Other",K40,VLOOKUP($E36,$N$5:$Z$45,5,))</f>
        <v>0.24791019823262478</v>
      </c>
      <c r="K38" s="2087" t="s">
        <v>1627</v>
      </c>
      <c r="M38" s="1428">
        <v>34</v>
      </c>
      <c r="N38" s="1428" t="s">
        <v>902</v>
      </c>
      <c r="O38" s="1428" t="s">
        <v>783</v>
      </c>
      <c r="P38" s="1428" t="s">
        <v>903</v>
      </c>
      <c r="Q38" s="1428">
        <v>580</v>
      </c>
      <c r="R38" s="1428">
        <v>5.1110580367805108E-2</v>
      </c>
      <c r="S38" s="1428">
        <v>23</v>
      </c>
      <c r="T38" s="1428">
        <v>4.8961069978504891E-2</v>
      </c>
      <c r="U38" s="1428">
        <v>413.99599999999998</v>
      </c>
      <c r="V38" s="1428">
        <v>500</v>
      </c>
      <c r="W38" s="1428">
        <v>18</v>
      </c>
      <c r="X38" s="1428">
        <v>41</v>
      </c>
      <c r="Y38" s="1428">
        <v>45</v>
      </c>
      <c r="Z38" s="1428" t="b">
        <v>0</v>
      </c>
    </row>
    <row r="39" spans="2:26" ht="20.100000000000001" customHeight="1">
      <c r="B39" s="1509" t="s">
        <v>963</v>
      </c>
      <c r="C39" s="1510" t="s">
        <v>1341</v>
      </c>
      <c r="D39" s="935">
        <v>0</v>
      </c>
      <c r="E39" s="936">
        <v>0</v>
      </c>
      <c r="K39" s="2074" t="s">
        <v>1628</v>
      </c>
      <c r="M39" s="1428">
        <v>35</v>
      </c>
      <c r="N39" s="1428" t="s">
        <v>904</v>
      </c>
      <c r="O39" s="1428" t="s">
        <v>783</v>
      </c>
      <c r="P39" s="1428" t="s">
        <v>905</v>
      </c>
      <c r="Q39" s="1428">
        <v>480.00000000000006</v>
      </c>
      <c r="R39" s="1521">
        <v>0.13995700979221398</v>
      </c>
      <c r="S39" s="1428">
        <v>0</v>
      </c>
      <c r="T39" s="1428">
        <v>0</v>
      </c>
      <c r="U39" s="1428">
        <v>2550.0020000000004</v>
      </c>
      <c r="V39" s="1428">
        <v>-4.0000000000048885E-3</v>
      </c>
      <c r="W39" s="1428">
        <v>0</v>
      </c>
      <c r="X39" s="1428">
        <v>0</v>
      </c>
      <c r="Y39" s="1428">
        <v>0</v>
      </c>
      <c r="Z39" s="1428" t="b">
        <v>0</v>
      </c>
    </row>
    <row r="40" spans="2:26" ht="20.100000000000001" customHeight="1">
      <c r="B40" s="1509" t="s">
        <v>503</v>
      </c>
      <c r="C40" s="1510" t="s">
        <v>1175</v>
      </c>
      <c r="D40" s="2158"/>
      <c r="E40" s="2159"/>
      <c r="K40" s="2087" t="s">
        <v>1627</v>
      </c>
      <c r="M40" s="1428">
        <v>36</v>
      </c>
      <c r="N40" s="1428" t="s">
        <v>906</v>
      </c>
      <c r="O40" s="1428" t="s">
        <v>783</v>
      </c>
      <c r="P40" s="1428" t="s">
        <v>907</v>
      </c>
      <c r="Q40" s="1428">
        <v>480.00000000000006</v>
      </c>
      <c r="R40" s="1428">
        <v>0.12</v>
      </c>
      <c r="S40" s="1428">
        <v>48</v>
      </c>
      <c r="T40" s="1428">
        <v>0</v>
      </c>
      <c r="U40" s="1428">
        <v>2800.0039999999999</v>
      </c>
      <c r="V40" s="1428">
        <v>2800.0039999999999</v>
      </c>
      <c r="W40" s="1428">
        <v>750</v>
      </c>
      <c r="X40" s="1428">
        <v>126</v>
      </c>
      <c r="Y40" s="1428">
        <v>141.99999999999997</v>
      </c>
      <c r="Z40" s="1428" t="b">
        <v>0</v>
      </c>
    </row>
    <row r="41" spans="2:26" ht="20.100000000000001" customHeight="1">
      <c r="B41" s="1509" t="s">
        <v>723</v>
      </c>
      <c r="C41" s="1510" t="s">
        <v>1175</v>
      </c>
      <c r="D41" s="2158"/>
      <c r="E41" s="2159"/>
      <c r="J41" s="1428">
        <f>IF($C$2&gt;3,1,0)</f>
        <v>1</v>
      </c>
      <c r="K41" s="2061" t="s">
        <v>3</v>
      </c>
      <c r="M41" s="1428">
        <v>37</v>
      </c>
      <c r="N41" s="1428" t="s">
        <v>908</v>
      </c>
      <c r="O41" s="1428" t="s">
        <v>783</v>
      </c>
      <c r="P41" s="1428" t="s">
        <v>909</v>
      </c>
      <c r="Q41" s="1428">
        <v>455.00000000000006</v>
      </c>
      <c r="R41" s="1428">
        <v>6.9023166945306899E-2</v>
      </c>
      <c r="S41" s="1428">
        <v>25</v>
      </c>
      <c r="T41" s="1428">
        <v>6.3768808215906372E-2</v>
      </c>
      <c r="U41" s="1428">
        <v>449.99599999999998</v>
      </c>
      <c r="V41" s="1428">
        <v>649.99400000000003</v>
      </c>
      <c r="W41" s="1428">
        <v>27</v>
      </c>
      <c r="X41" s="1428">
        <v>52</v>
      </c>
      <c r="Y41" s="1428">
        <v>64</v>
      </c>
      <c r="Z41" s="1428" t="b">
        <v>0</v>
      </c>
    </row>
    <row r="42" spans="2:26" ht="20.100000000000001" customHeight="1" thickBot="1">
      <c r="B42" s="1511" t="s">
        <v>1463</v>
      </c>
      <c r="C42" s="1512"/>
      <c r="D42" s="963">
        <v>1</v>
      </c>
      <c r="E42" s="964">
        <v>1</v>
      </c>
      <c r="J42" s="1428"/>
      <c r="K42" s="2061"/>
      <c r="M42" s="1428">
        <v>38</v>
      </c>
      <c r="N42" s="1428" t="s">
        <v>910</v>
      </c>
      <c r="O42" s="1428" t="s">
        <v>783</v>
      </c>
      <c r="P42" s="1428" t="s">
        <v>911</v>
      </c>
      <c r="Q42" s="1428">
        <v>445</v>
      </c>
      <c r="R42" s="1428">
        <v>0.10699785048961069</v>
      </c>
      <c r="S42" s="1428">
        <v>48</v>
      </c>
      <c r="T42" s="1428">
        <v>0.14592787198471457</v>
      </c>
      <c r="U42" s="1428">
        <v>786.00199999999995</v>
      </c>
      <c r="V42" s="1428">
        <v>899.99600000000009</v>
      </c>
      <c r="W42" s="1428">
        <v>77.800085984522781</v>
      </c>
      <c r="X42" s="1428">
        <v>125.80008598452278</v>
      </c>
      <c r="Y42" s="1428">
        <v>141.99999999999997</v>
      </c>
      <c r="Z42" s="1428" t="b">
        <v>0</v>
      </c>
    </row>
    <row r="43" spans="2:26" ht="20.100000000000001" customHeight="1" thickBot="1">
      <c r="B43" s="1513" t="s">
        <v>507</v>
      </c>
      <c r="C43" s="1514" t="s">
        <v>1173</v>
      </c>
      <c r="D43" s="1515">
        <f>D39*D38*(D41-D40)*D42</f>
        <v>0</v>
      </c>
      <c r="E43" s="1516">
        <f>E39*E38*(E41-E40)*E42</f>
        <v>0</v>
      </c>
      <c r="M43" s="1428">
        <v>39</v>
      </c>
      <c r="N43" s="1428" t="s">
        <v>912</v>
      </c>
      <c r="O43" s="1428" t="s">
        <v>783</v>
      </c>
      <c r="P43" s="1428"/>
      <c r="Q43" s="1428">
        <v>150</v>
      </c>
      <c r="R43" s="1428">
        <v>0.25005970862192495</v>
      </c>
      <c r="S43" s="1428">
        <v>0</v>
      </c>
      <c r="T43" s="1428">
        <v>0</v>
      </c>
      <c r="U43" s="1428">
        <v>5000</v>
      </c>
      <c r="V43" s="1428">
        <v>-4.0000000000048885E-3</v>
      </c>
      <c r="W43" s="1428">
        <v>0</v>
      </c>
      <c r="X43" s="1428">
        <v>0</v>
      </c>
      <c r="Y43" s="1428">
        <v>0</v>
      </c>
      <c r="Z43" s="1428" t="b">
        <v>0</v>
      </c>
    </row>
    <row r="44" spans="2:26" ht="20.100000000000001" customHeight="1" thickBot="1">
      <c r="M44" s="1428">
        <v>40</v>
      </c>
      <c r="N44" s="1428" t="s">
        <v>913</v>
      </c>
      <c r="O44" s="1428" t="s">
        <v>783</v>
      </c>
      <c r="P44" s="1428"/>
      <c r="Q44" s="1428">
        <v>150</v>
      </c>
      <c r="R44" s="1428">
        <v>0.25005970862192495</v>
      </c>
      <c r="S44" s="1428">
        <v>0</v>
      </c>
      <c r="T44" s="1428">
        <v>0</v>
      </c>
      <c r="U44" s="1428">
        <v>5000</v>
      </c>
      <c r="V44" s="1428">
        <v>-4.0000000000048885E-3</v>
      </c>
      <c r="W44" s="1428">
        <v>0</v>
      </c>
      <c r="X44" s="1428">
        <v>0</v>
      </c>
      <c r="Y44" s="1428">
        <v>0</v>
      </c>
      <c r="Z44" s="1428" t="b">
        <v>0</v>
      </c>
    </row>
    <row r="45" spans="2:26" ht="20.100000000000001" customHeight="1">
      <c r="B45" s="1517"/>
      <c r="C45" s="1518"/>
      <c r="D45" s="1519" t="s">
        <v>1171</v>
      </c>
      <c r="E45" s="1520" t="s">
        <v>1119</v>
      </c>
      <c r="N45" s="1504" t="s">
        <v>1292</v>
      </c>
    </row>
    <row r="46" spans="2:26" ht="24.95" customHeight="1">
      <c r="B46" s="2549" t="s">
        <v>961</v>
      </c>
      <c r="C46" s="2550"/>
      <c r="D46" s="2012" t="s">
        <v>838</v>
      </c>
      <c r="E46" s="2014" t="s">
        <v>838</v>
      </c>
    </row>
    <row r="47" spans="2:26" ht="20.100000000000001" customHeight="1">
      <c r="B47" s="2549"/>
      <c r="C47" s="2550"/>
      <c r="D47" s="2033"/>
      <c r="E47" s="2034"/>
      <c r="K47" s="2074" t="s">
        <v>491</v>
      </c>
    </row>
    <row r="48" spans="2:26" ht="20.100000000000001" customHeight="1">
      <c r="B48" s="1509" t="s">
        <v>962</v>
      </c>
      <c r="C48" s="1510" t="s">
        <v>1346</v>
      </c>
      <c r="D48" s="1352">
        <f>IF(D46="Other",K48,VLOOKUP($D46,$N$5:$Z$45,5,))</f>
        <v>0.24791019823262478</v>
      </c>
      <c r="E48" s="1353">
        <f>IF(E46="Other",K50,VLOOKUP($E46,$N$5:$Z$45,5,))</f>
        <v>0.24791019823262478</v>
      </c>
      <c r="K48" s="2074">
        <v>0</v>
      </c>
    </row>
    <row r="49" spans="2:11" ht="20.100000000000001" customHeight="1">
      <c r="B49" s="1509" t="s">
        <v>963</v>
      </c>
      <c r="C49" s="1510" t="s">
        <v>1341</v>
      </c>
      <c r="D49" s="935">
        <v>0</v>
      </c>
      <c r="E49" s="936">
        <v>0</v>
      </c>
      <c r="K49" s="2074" t="s">
        <v>491</v>
      </c>
    </row>
    <row r="50" spans="2:11" ht="20.100000000000001" customHeight="1">
      <c r="B50" s="1509" t="s">
        <v>503</v>
      </c>
      <c r="C50" s="1510" t="s">
        <v>1175</v>
      </c>
      <c r="D50" s="2158"/>
      <c r="E50" s="2159"/>
      <c r="K50" s="2074">
        <v>0</v>
      </c>
    </row>
    <row r="51" spans="2:11" ht="20.100000000000001" customHeight="1">
      <c r="B51" s="1509" t="s">
        <v>723</v>
      </c>
      <c r="C51" s="1510" t="s">
        <v>1175</v>
      </c>
      <c r="D51" s="2158"/>
      <c r="E51" s="2159"/>
      <c r="J51" s="1428">
        <f>IF($C$2&gt;4,1,0)</f>
        <v>1</v>
      </c>
      <c r="K51" s="2061" t="s">
        <v>3</v>
      </c>
    </row>
    <row r="52" spans="2:11" ht="20.100000000000001" customHeight="1" thickBot="1">
      <c r="B52" s="1511" t="s">
        <v>1463</v>
      </c>
      <c r="C52" s="1512"/>
      <c r="D52" s="963">
        <v>1</v>
      </c>
      <c r="E52" s="964">
        <v>1</v>
      </c>
      <c r="J52" s="1428"/>
      <c r="K52" s="2061"/>
    </row>
    <row r="53" spans="2:11" ht="20.100000000000001" customHeight="1" thickBot="1">
      <c r="B53" s="1513" t="s">
        <v>507</v>
      </c>
      <c r="C53" s="1514" t="s">
        <v>1173</v>
      </c>
      <c r="D53" s="1515">
        <f>D49*D48*(D51-D50)*D52</f>
        <v>0</v>
      </c>
      <c r="E53" s="1516">
        <f>E49*E48*(E51-E50)*E52</f>
        <v>0</v>
      </c>
    </row>
    <row r="54" spans="2:11" ht="20.100000000000001" customHeight="1" thickBot="1"/>
    <row r="55" spans="2:11" ht="20.100000000000001" customHeight="1">
      <c r="B55" s="1517"/>
      <c r="C55" s="1518"/>
      <c r="D55" s="1519" t="s">
        <v>1171</v>
      </c>
      <c r="E55" s="1520" t="s">
        <v>1119</v>
      </c>
    </row>
    <row r="56" spans="2:11" ht="24.95" customHeight="1">
      <c r="B56" s="2549" t="s">
        <v>961</v>
      </c>
      <c r="C56" s="2550"/>
      <c r="D56" s="2012" t="s">
        <v>908</v>
      </c>
      <c r="E56" s="2014" t="s">
        <v>908</v>
      </c>
    </row>
    <row r="57" spans="2:11" ht="20.100000000000001" customHeight="1">
      <c r="B57" s="2549"/>
      <c r="C57" s="2550"/>
      <c r="D57" s="2033"/>
      <c r="E57" s="2034"/>
      <c r="K57" s="2074" t="s">
        <v>491</v>
      </c>
    </row>
    <row r="58" spans="2:11" ht="20.100000000000001" customHeight="1">
      <c r="B58" s="1509" t="s">
        <v>962</v>
      </c>
      <c r="C58" s="1510" t="s">
        <v>1346</v>
      </c>
      <c r="D58" s="1352">
        <f>IF(D56="Other",K58,VLOOKUP($D56,$N$5:$Z$45,5,))</f>
        <v>6.9023166945306899E-2</v>
      </c>
      <c r="E58" s="1353">
        <f>IF(E56="Other",K60,VLOOKUP($E56,$N$5:$Z$45,5,))</f>
        <v>6.9023166945306899E-2</v>
      </c>
      <c r="K58" s="2074">
        <v>0</v>
      </c>
    </row>
    <row r="59" spans="2:11" ht="20.100000000000001" customHeight="1">
      <c r="B59" s="1509" t="s">
        <v>963</v>
      </c>
      <c r="C59" s="1510" t="s">
        <v>1341</v>
      </c>
      <c r="D59" s="935">
        <v>0</v>
      </c>
      <c r="E59" s="936">
        <v>0</v>
      </c>
      <c r="K59" s="2074" t="s">
        <v>491</v>
      </c>
    </row>
    <row r="60" spans="2:11" ht="20.100000000000001" customHeight="1">
      <c r="B60" s="1509" t="s">
        <v>503</v>
      </c>
      <c r="C60" s="1510" t="s">
        <v>1175</v>
      </c>
      <c r="D60" s="2158"/>
      <c r="E60" s="2159"/>
      <c r="K60" s="2074">
        <v>0</v>
      </c>
    </row>
    <row r="61" spans="2:11" ht="20.100000000000001" customHeight="1">
      <c r="B61" s="1509" t="s">
        <v>723</v>
      </c>
      <c r="C61" s="1510" t="s">
        <v>1175</v>
      </c>
      <c r="D61" s="2158"/>
      <c r="E61" s="2159"/>
      <c r="J61" s="1428">
        <f>IF($C$2&gt;5,1,0)</f>
        <v>1</v>
      </c>
      <c r="K61" s="2061" t="s">
        <v>3</v>
      </c>
    </row>
    <row r="62" spans="2:11" ht="20.100000000000001" customHeight="1" thickBot="1">
      <c r="B62" s="1511" t="s">
        <v>1463</v>
      </c>
      <c r="C62" s="1512"/>
      <c r="D62" s="963">
        <v>1</v>
      </c>
      <c r="E62" s="964">
        <v>1</v>
      </c>
      <c r="J62" s="1428"/>
      <c r="K62" s="2061"/>
    </row>
    <row r="63" spans="2:11" ht="20.100000000000001" customHeight="1" thickBot="1">
      <c r="B63" s="1513" t="s">
        <v>507</v>
      </c>
      <c r="C63" s="1514" t="s">
        <v>1173</v>
      </c>
      <c r="D63" s="1515">
        <f>D59*D58*(D61-D60)*D62</f>
        <v>0</v>
      </c>
      <c r="E63" s="1516">
        <f>E59*E58*(E61-E60)*E62</f>
        <v>0</v>
      </c>
    </row>
    <row r="64" spans="2:11" ht="20.100000000000001" customHeight="1" thickBot="1"/>
    <row r="65" spans="2:9" ht="20.100000000000001" customHeight="1" thickBot="1">
      <c r="B65" s="937" t="s">
        <v>1099</v>
      </c>
      <c r="C65" s="938" t="s">
        <v>1173</v>
      </c>
      <c r="D65" s="939">
        <f>(D13*$J11)+(D23*$J21)+(D33*$J31)+(D43*$J41)+(D53*$J51)+(D63*$J61)</f>
        <v>0</v>
      </c>
      <c r="E65" s="940">
        <f>(E13*$J11)+(E23*$J21)+(E33*$J31)+(E43*$J41)+(E53*$J51)+(E63*$J61)</f>
        <v>0</v>
      </c>
    </row>
    <row r="66" spans="2:9" ht="20.100000000000001" customHeight="1" thickBot="1"/>
    <row r="67" spans="2:9" ht="20.100000000000001" customHeight="1">
      <c r="B67" s="2540" t="s">
        <v>710</v>
      </c>
      <c r="C67" s="2541"/>
      <c r="D67" s="2541"/>
      <c r="E67" s="2542"/>
    </row>
    <row r="68" spans="2:9" ht="20.100000000000001" customHeight="1">
      <c r="B68" s="2533" t="s">
        <v>709</v>
      </c>
      <c r="C68" s="2534"/>
      <c r="D68" s="2534"/>
      <c r="E68" s="2535"/>
    </row>
    <row r="69" spans="2:9" ht="20.100000000000001" customHeight="1">
      <c r="B69" s="2559"/>
      <c r="C69" s="2560"/>
      <c r="D69" s="2560"/>
      <c r="E69" s="2561"/>
      <c r="I69" s="1428">
        <f>IF(B69="",0,1)</f>
        <v>0</v>
      </c>
    </row>
    <row r="70" spans="2:9" ht="20.100000000000001" customHeight="1">
      <c r="B70" s="2559"/>
      <c r="C70" s="2560"/>
      <c r="D70" s="2560"/>
      <c r="E70" s="2561"/>
      <c r="I70" s="1428">
        <f>IF(B70="",0,1)</f>
        <v>0</v>
      </c>
    </row>
    <row r="71" spans="2:9" ht="20.100000000000001" customHeight="1">
      <c r="B71" s="2559"/>
      <c r="C71" s="2560"/>
      <c r="D71" s="2560"/>
      <c r="E71" s="2561"/>
      <c r="I71" s="1428">
        <f>IF(B71="",0,1)</f>
        <v>0</v>
      </c>
    </row>
    <row r="72" spans="2:9" ht="20.100000000000001" customHeight="1">
      <c r="B72" s="2559"/>
      <c r="C72" s="2560"/>
      <c r="D72" s="2560"/>
      <c r="E72" s="2561"/>
      <c r="I72" s="1428">
        <f>IF(B72="",0,1)</f>
        <v>0</v>
      </c>
    </row>
    <row r="73" spans="2:9" ht="20.100000000000001" customHeight="1" thickBot="1">
      <c r="B73" s="2562"/>
      <c r="C73" s="2563"/>
      <c r="D73" s="2563"/>
      <c r="E73" s="2564"/>
      <c r="I73" s="1428">
        <f>IF(B73="",0,1)</f>
        <v>0</v>
      </c>
    </row>
    <row r="74" spans="2:9" ht="20.100000000000001" customHeight="1">
      <c r="I74" s="1428">
        <f>SUM(I69:I73)</f>
        <v>0</v>
      </c>
    </row>
    <row r="75" spans="2:9" hidden="1"/>
    <row r="76" spans="2:9" hidden="1"/>
    <row r="77" spans="2:9" hidden="1"/>
    <row r="78" spans="2:9" hidden="1"/>
    <row r="79" spans="2:9" hidden="1"/>
    <row r="80" spans="2:9" hidden="1">
      <c r="F80" s="1504" t="s">
        <v>1348</v>
      </c>
    </row>
  </sheetData>
  <sheetProtection password="B61E" sheet="1" objects="1" scenarios="1"/>
  <mergeCells count="23">
    <mergeCell ref="B69:E69"/>
    <mergeCell ref="B70:E70"/>
    <mergeCell ref="B71:E71"/>
    <mergeCell ref="B72:E72"/>
    <mergeCell ref="B73:E73"/>
    <mergeCell ref="B68:E68"/>
    <mergeCell ref="B6:B7"/>
    <mergeCell ref="C6:C7"/>
    <mergeCell ref="B16:B17"/>
    <mergeCell ref="C16:C17"/>
    <mergeCell ref="C26:C27"/>
    <mergeCell ref="B56:B57"/>
    <mergeCell ref="C56:C57"/>
    <mergeCell ref="D2:E2"/>
    <mergeCell ref="B67:E67"/>
    <mergeCell ref="B26:B27"/>
    <mergeCell ref="B36:B37"/>
    <mergeCell ref="C36:C37"/>
    <mergeCell ref="B46:B47"/>
    <mergeCell ref="C46:C47"/>
    <mergeCell ref="D4:D5"/>
    <mergeCell ref="E4:E5"/>
    <mergeCell ref="B4:C5"/>
  </mergeCells>
  <phoneticPr fontId="5" type="noConversion"/>
  <dataValidations count="2">
    <dataValidation type="list" allowBlank="1" showInputMessage="1" showErrorMessage="1" sqref="E56">
      <formula1>$N$5:$N$45</formula1>
    </dataValidation>
    <dataValidation type="list" allowBlank="1" showInputMessage="1" showErrorMessage="1" sqref="D6 E6 D16 E16 D26 E26 D36 E36 D46 E46 D56">
      <formula1>$N$5:$N$45</formula1>
    </dataValidation>
  </dataValidations>
  <pageMargins left="0.75" right="0.75" top="1" bottom="1" header="0.5" footer="0.5"/>
  <pageSetup scale="83" orientation="portrait" r:id="rId1"/>
  <headerFooter alignWithMargins="0">
    <oddHeader>&amp;LFixture Loss</oddHeader>
    <oddFooter>&amp;LUS Department of Energy&amp;C&amp;P&amp;R&amp;D</oddFooter>
  </headerFooter>
  <rowBreaks count="2" manualBreakCount="2">
    <brk id="24" min="1" max="4" man="1"/>
    <brk id="53" max="16383" man="1"/>
  </rowBreaks>
  <drawing r:id="rId2"/>
  <legacyDrawing r:id="rId3"/>
  <controls>
    <mc:AlternateContent xmlns:mc="http://schemas.openxmlformats.org/markup-compatibility/2006">
      <mc:Choice Requires="x14">
        <control shapeId="2295994" r:id="rId4" name="CommandButton2">
          <controlPr defaultSize="0" autoLine="0" r:id="rId5">
            <anchor moveWithCells="1">
              <from>
                <xdr:col>5</xdr:col>
                <xdr:colOff>390525</xdr:colOff>
                <xdr:row>5</xdr:row>
                <xdr:rowOff>0</xdr:rowOff>
              </from>
              <to>
                <xdr:col>6</xdr:col>
                <xdr:colOff>581025</xdr:colOff>
                <xdr:row>6</xdr:row>
                <xdr:rowOff>180975</xdr:rowOff>
              </to>
            </anchor>
          </controlPr>
        </control>
      </mc:Choice>
      <mc:Fallback>
        <control shapeId="2295994" r:id="rId4" name="CommandButton2"/>
      </mc:Fallback>
    </mc:AlternateContent>
    <mc:AlternateContent xmlns:mc="http://schemas.openxmlformats.org/markup-compatibility/2006">
      <mc:Choice Requires="x14">
        <control shapeId="2295922" r:id="rId6" name="CommandButtonFixtureData">
          <controlPr defaultSize="0" print="0" autoLine="0" r:id="rId7">
            <anchor moveWithCells="1">
              <from>
                <xdr:col>5</xdr:col>
                <xdr:colOff>390525</xdr:colOff>
                <xdr:row>7</xdr:row>
                <xdr:rowOff>238125</xdr:rowOff>
              </from>
              <to>
                <xdr:col>6</xdr:col>
                <xdr:colOff>581025</xdr:colOff>
                <xdr:row>10</xdr:row>
                <xdr:rowOff>0</xdr:rowOff>
              </to>
            </anchor>
          </controlPr>
        </control>
      </mc:Choice>
      <mc:Fallback>
        <control shapeId="2295922" r:id="rId6" name="CommandButtonFixtureData"/>
      </mc:Fallback>
    </mc:AlternateContent>
    <mc:AlternateContent xmlns:mc="http://schemas.openxmlformats.org/markup-compatibility/2006">
      <mc:Choice Requires="x14">
        <control shapeId="2295930" r:id="rId8" name="CommandButtonHelp">
          <controlPr defaultSize="0" autoLine="0" r:id="rId9">
            <anchor moveWithCells="1">
              <from>
                <xdr:col>0</xdr:col>
                <xdr:colOff>47625</xdr:colOff>
                <xdr:row>4</xdr:row>
                <xdr:rowOff>123825</xdr:rowOff>
              </from>
              <to>
                <xdr:col>0</xdr:col>
                <xdr:colOff>657225</xdr:colOff>
                <xdr:row>15</xdr:row>
                <xdr:rowOff>285750</xdr:rowOff>
              </to>
            </anchor>
          </controlPr>
        </control>
      </mc:Choice>
      <mc:Fallback>
        <control shapeId="2295930" r:id="rId8" name="CommandButtonHelp"/>
      </mc:Fallback>
    </mc:AlternateContent>
    <mc:AlternateContent xmlns:mc="http://schemas.openxmlformats.org/markup-compatibility/2006">
      <mc:Choice Requires="x14">
        <control shapeId="2295939" r:id="rId10" name="TextBox1">
          <controlPr defaultSize="0" disabled="1" autoLine="0" linkedCell="K6" r:id="rId11">
            <anchor moveWithCells="1" sizeWithCells="1">
              <from>
                <xdr:col>3</xdr:col>
                <xdr:colOff>0</xdr:colOff>
                <xdr:row>6</xdr:row>
                <xdr:rowOff>0</xdr:rowOff>
              </from>
              <to>
                <xdr:col>4</xdr:col>
                <xdr:colOff>0</xdr:colOff>
                <xdr:row>7</xdr:row>
                <xdr:rowOff>0</xdr:rowOff>
              </to>
            </anchor>
          </controlPr>
        </control>
      </mc:Choice>
      <mc:Fallback>
        <control shapeId="2295939" r:id="rId10" name="TextBox1"/>
      </mc:Fallback>
    </mc:AlternateContent>
    <mc:AlternateContent xmlns:mc="http://schemas.openxmlformats.org/markup-compatibility/2006">
      <mc:Choice Requires="x14">
        <control shapeId="2295940" r:id="rId12" name="TextBox2">
          <controlPr locked="0" defaultSize="0" disabled="1" autoLine="0" linkedCell="K7" r:id="rId13">
            <anchor moveWithCells="1" sizeWithCells="1">
              <from>
                <xdr:col>3</xdr:col>
                <xdr:colOff>0</xdr:colOff>
                <xdr:row>7</xdr:row>
                <xdr:rowOff>0</xdr:rowOff>
              </from>
              <to>
                <xdr:col>4</xdr:col>
                <xdr:colOff>0</xdr:colOff>
                <xdr:row>8</xdr:row>
                <xdr:rowOff>0</xdr:rowOff>
              </to>
            </anchor>
          </controlPr>
        </control>
      </mc:Choice>
      <mc:Fallback>
        <control shapeId="2295940" r:id="rId12" name="TextBox2"/>
      </mc:Fallback>
    </mc:AlternateContent>
    <mc:AlternateContent xmlns:mc="http://schemas.openxmlformats.org/markup-compatibility/2006">
      <mc:Choice Requires="x14">
        <control shapeId="2295941" r:id="rId14" name="TextBox3">
          <controlPr defaultSize="0" disabled="1" autoLine="0" autoPict="0" linkedCell="K17" r:id="rId15">
            <anchor moveWithCells="1" sizeWithCells="1">
              <from>
                <xdr:col>3</xdr:col>
                <xdr:colOff>0</xdr:colOff>
                <xdr:row>16</xdr:row>
                <xdr:rowOff>0</xdr:rowOff>
              </from>
              <to>
                <xdr:col>4</xdr:col>
                <xdr:colOff>0</xdr:colOff>
                <xdr:row>17</xdr:row>
                <xdr:rowOff>0</xdr:rowOff>
              </to>
            </anchor>
          </controlPr>
        </control>
      </mc:Choice>
      <mc:Fallback>
        <control shapeId="2295941" r:id="rId14" name="TextBox3"/>
      </mc:Fallback>
    </mc:AlternateContent>
    <mc:AlternateContent xmlns:mc="http://schemas.openxmlformats.org/markup-compatibility/2006">
      <mc:Choice Requires="x14">
        <control shapeId="2295942" r:id="rId16" name="TextBox4">
          <controlPr locked="0" defaultSize="0" disabled="1" autoLine="0" autoPict="0" linkedCell="K18" r:id="rId17">
            <anchor moveWithCells="1" sizeWithCells="1">
              <from>
                <xdr:col>3</xdr:col>
                <xdr:colOff>0</xdr:colOff>
                <xdr:row>17</xdr:row>
                <xdr:rowOff>0</xdr:rowOff>
              </from>
              <to>
                <xdr:col>4</xdr:col>
                <xdr:colOff>0</xdr:colOff>
                <xdr:row>18</xdr:row>
                <xdr:rowOff>0</xdr:rowOff>
              </to>
            </anchor>
          </controlPr>
        </control>
      </mc:Choice>
      <mc:Fallback>
        <control shapeId="2295942" r:id="rId16" name="TextBox4"/>
      </mc:Fallback>
    </mc:AlternateContent>
    <mc:AlternateContent xmlns:mc="http://schemas.openxmlformats.org/markup-compatibility/2006">
      <mc:Choice Requires="x14">
        <control shapeId="2295944" r:id="rId18" name="TextBox5">
          <controlPr defaultSize="0" disabled="1" autoLine="0" linkedCell="K27" r:id="rId19">
            <anchor moveWithCells="1" sizeWithCells="1">
              <from>
                <xdr:col>3</xdr:col>
                <xdr:colOff>0</xdr:colOff>
                <xdr:row>26</xdr:row>
                <xdr:rowOff>0</xdr:rowOff>
              </from>
              <to>
                <xdr:col>4</xdr:col>
                <xdr:colOff>0</xdr:colOff>
                <xdr:row>27</xdr:row>
                <xdr:rowOff>0</xdr:rowOff>
              </to>
            </anchor>
          </controlPr>
        </control>
      </mc:Choice>
      <mc:Fallback>
        <control shapeId="2295944" r:id="rId18" name="TextBox5"/>
      </mc:Fallback>
    </mc:AlternateContent>
    <mc:AlternateContent xmlns:mc="http://schemas.openxmlformats.org/markup-compatibility/2006">
      <mc:Choice Requires="x14">
        <control shapeId="2295945" r:id="rId20" name="TextBox6">
          <controlPr locked="0" defaultSize="0" disabled="1" autoLine="0" linkedCell="K28" r:id="rId21">
            <anchor moveWithCells="1" sizeWithCells="1">
              <from>
                <xdr:col>3</xdr:col>
                <xdr:colOff>0</xdr:colOff>
                <xdr:row>27</xdr:row>
                <xdr:rowOff>0</xdr:rowOff>
              </from>
              <to>
                <xdr:col>4</xdr:col>
                <xdr:colOff>0</xdr:colOff>
                <xdr:row>28</xdr:row>
                <xdr:rowOff>0</xdr:rowOff>
              </to>
            </anchor>
          </controlPr>
        </control>
      </mc:Choice>
      <mc:Fallback>
        <control shapeId="2295945" r:id="rId20" name="TextBox6"/>
      </mc:Fallback>
    </mc:AlternateContent>
    <mc:AlternateContent xmlns:mc="http://schemas.openxmlformats.org/markup-compatibility/2006">
      <mc:Choice Requires="x14">
        <control shapeId="2295949" r:id="rId22" name="TextBox7">
          <controlPr defaultSize="0" disabled="1" autoLine="0" linkedCell="K37" r:id="rId23">
            <anchor moveWithCells="1" sizeWithCells="1">
              <from>
                <xdr:col>3</xdr:col>
                <xdr:colOff>0</xdr:colOff>
                <xdr:row>36</xdr:row>
                <xdr:rowOff>0</xdr:rowOff>
              </from>
              <to>
                <xdr:col>4</xdr:col>
                <xdr:colOff>0</xdr:colOff>
                <xdr:row>37</xdr:row>
                <xdr:rowOff>0</xdr:rowOff>
              </to>
            </anchor>
          </controlPr>
        </control>
      </mc:Choice>
      <mc:Fallback>
        <control shapeId="2295949" r:id="rId22" name="TextBox7"/>
      </mc:Fallback>
    </mc:AlternateContent>
    <mc:AlternateContent xmlns:mc="http://schemas.openxmlformats.org/markup-compatibility/2006">
      <mc:Choice Requires="x14">
        <control shapeId="2295950" r:id="rId24" name="TextBox8">
          <controlPr locked="0" defaultSize="0" disabled="1" autoLine="0" linkedCell="K38" r:id="rId25">
            <anchor moveWithCells="1" sizeWithCells="1">
              <from>
                <xdr:col>3</xdr:col>
                <xdr:colOff>0</xdr:colOff>
                <xdr:row>37</xdr:row>
                <xdr:rowOff>0</xdr:rowOff>
              </from>
              <to>
                <xdr:col>4</xdr:col>
                <xdr:colOff>0</xdr:colOff>
                <xdr:row>38</xdr:row>
                <xdr:rowOff>0</xdr:rowOff>
              </to>
            </anchor>
          </controlPr>
        </control>
      </mc:Choice>
      <mc:Fallback>
        <control shapeId="2295950" r:id="rId24" name="TextBox8"/>
      </mc:Fallback>
    </mc:AlternateContent>
    <mc:AlternateContent xmlns:mc="http://schemas.openxmlformats.org/markup-compatibility/2006">
      <mc:Choice Requires="x14">
        <control shapeId="2295951" r:id="rId26" name="TextBox9">
          <controlPr defaultSize="0" disabled="1" autoLine="0" linkedCell="K47" r:id="rId27">
            <anchor moveWithCells="1" sizeWithCells="1">
              <from>
                <xdr:col>3</xdr:col>
                <xdr:colOff>0</xdr:colOff>
                <xdr:row>46</xdr:row>
                <xdr:rowOff>0</xdr:rowOff>
              </from>
              <to>
                <xdr:col>4</xdr:col>
                <xdr:colOff>0</xdr:colOff>
                <xdr:row>47</xdr:row>
                <xdr:rowOff>0</xdr:rowOff>
              </to>
            </anchor>
          </controlPr>
        </control>
      </mc:Choice>
      <mc:Fallback>
        <control shapeId="2295951" r:id="rId26" name="TextBox9"/>
      </mc:Fallback>
    </mc:AlternateContent>
    <mc:AlternateContent xmlns:mc="http://schemas.openxmlformats.org/markup-compatibility/2006">
      <mc:Choice Requires="x14">
        <control shapeId="2295952" r:id="rId28" name="TextBox10">
          <controlPr locked="0" defaultSize="0" disabled="1" autoLine="0" linkedCell="K48" r:id="rId29">
            <anchor moveWithCells="1" sizeWithCells="1">
              <from>
                <xdr:col>3</xdr:col>
                <xdr:colOff>0</xdr:colOff>
                <xdr:row>47</xdr:row>
                <xdr:rowOff>0</xdr:rowOff>
              </from>
              <to>
                <xdr:col>4</xdr:col>
                <xdr:colOff>0</xdr:colOff>
                <xdr:row>48</xdr:row>
                <xdr:rowOff>0</xdr:rowOff>
              </to>
            </anchor>
          </controlPr>
        </control>
      </mc:Choice>
      <mc:Fallback>
        <control shapeId="2295952" r:id="rId28" name="TextBox10"/>
      </mc:Fallback>
    </mc:AlternateContent>
    <mc:AlternateContent xmlns:mc="http://schemas.openxmlformats.org/markup-compatibility/2006">
      <mc:Choice Requires="x14">
        <control shapeId="2295954" r:id="rId30" name="TextBox12">
          <controlPr locked="0" defaultSize="0" disabled="1" autoLine="0" linkedCell="K58" r:id="rId31">
            <anchor moveWithCells="1" sizeWithCells="1">
              <from>
                <xdr:col>3</xdr:col>
                <xdr:colOff>0</xdr:colOff>
                <xdr:row>57</xdr:row>
                <xdr:rowOff>0</xdr:rowOff>
              </from>
              <to>
                <xdr:col>4</xdr:col>
                <xdr:colOff>0</xdr:colOff>
                <xdr:row>58</xdr:row>
                <xdr:rowOff>0</xdr:rowOff>
              </to>
            </anchor>
          </controlPr>
        </control>
      </mc:Choice>
      <mc:Fallback>
        <control shapeId="2295954" r:id="rId30" name="TextBox12"/>
      </mc:Fallback>
    </mc:AlternateContent>
    <mc:AlternateContent xmlns:mc="http://schemas.openxmlformats.org/markup-compatibility/2006">
      <mc:Choice Requires="x14">
        <control shapeId="2295970" r:id="rId32" name="CommandButton1">
          <controlPr defaultSize="0" autoLine="0" r:id="rId33">
            <anchor moveWithCells="1">
              <from>
                <xdr:col>5</xdr:col>
                <xdr:colOff>409575</xdr:colOff>
                <xdr:row>10</xdr:row>
                <xdr:rowOff>171450</xdr:rowOff>
              </from>
              <to>
                <xdr:col>6</xdr:col>
                <xdr:colOff>609600</xdr:colOff>
                <xdr:row>12</xdr:row>
                <xdr:rowOff>180975</xdr:rowOff>
              </to>
            </anchor>
          </controlPr>
        </control>
      </mc:Choice>
      <mc:Fallback>
        <control shapeId="2295970" r:id="rId32" name="CommandButton1"/>
      </mc:Fallback>
    </mc:AlternateContent>
    <mc:AlternateContent xmlns:mc="http://schemas.openxmlformats.org/markup-compatibility/2006">
      <mc:Choice Requires="x14">
        <control shapeId="2295974" r:id="rId34" name="TextBox11">
          <controlPr defaultSize="0" disabled="1" autoLine="0" linkedCell="K47" r:id="rId35">
            <anchor moveWithCells="1" sizeWithCells="1">
              <from>
                <xdr:col>3</xdr:col>
                <xdr:colOff>0</xdr:colOff>
                <xdr:row>56</xdr:row>
                <xdr:rowOff>0</xdr:rowOff>
              </from>
              <to>
                <xdr:col>4</xdr:col>
                <xdr:colOff>0</xdr:colOff>
                <xdr:row>57</xdr:row>
                <xdr:rowOff>0</xdr:rowOff>
              </to>
            </anchor>
          </controlPr>
        </control>
      </mc:Choice>
      <mc:Fallback>
        <control shapeId="2295974" r:id="rId34" name="TextBox11"/>
      </mc:Fallback>
    </mc:AlternateContent>
    <mc:AlternateContent xmlns:mc="http://schemas.openxmlformats.org/markup-compatibility/2006">
      <mc:Choice Requires="x14">
        <control shapeId="2295980" r:id="rId36" name="TextBox13">
          <controlPr defaultSize="0" disabled="1" autoLine="0" linkedCell="K8" r:id="rId37">
            <anchor moveWithCells="1" sizeWithCells="1">
              <from>
                <xdr:col>4</xdr:col>
                <xdr:colOff>0</xdr:colOff>
                <xdr:row>6</xdr:row>
                <xdr:rowOff>0</xdr:rowOff>
              </from>
              <to>
                <xdr:col>5</xdr:col>
                <xdr:colOff>0</xdr:colOff>
                <xdr:row>7</xdr:row>
                <xdr:rowOff>0</xdr:rowOff>
              </to>
            </anchor>
          </controlPr>
        </control>
      </mc:Choice>
      <mc:Fallback>
        <control shapeId="2295980" r:id="rId36" name="TextBox13"/>
      </mc:Fallback>
    </mc:AlternateContent>
    <mc:AlternateContent xmlns:mc="http://schemas.openxmlformats.org/markup-compatibility/2006">
      <mc:Choice Requires="x14">
        <control shapeId="2295981" r:id="rId38" name="TextBox14">
          <controlPr locked="0" defaultSize="0" disabled="1" autoLine="0" linkedCell="K9" r:id="rId39">
            <anchor moveWithCells="1" sizeWithCells="1">
              <from>
                <xdr:col>4</xdr:col>
                <xdr:colOff>0</xdr:colOff>
                <xdr:row>7</xdr:row>
                <xdr:rowOff>0</xdr:rowOff>
              </from>
              <to>
                <xdr:col>5</xdr:col>
                <xdr:colOff>0</xdr:colOff>
                <xdr:row>8</xdr:row>
                <xdr:rowOff>0</xdr:rowOff>
              </to>
            </anchor>
          </controlPr>
        </control>
      </mc:Choice>
      <mc:Fallback>
        <control shapeId="2295981" r:id="rId38" name="TextBox14"/>
      </mc:Fallback>
    </mc:AlternateContent>
    <mc:AlternateContent xmlns:mc="http://schemas.openxmlformats.org/markup-compatibility/2006">
      <mc:Choice Requires="x14">
        <control shapeId="2295982" r:id="rId40" name="TextBox15">
          <controlPr defaultSize="0" disabled="1" autoLine="0" autoPict="0" linkedCell="K19" r:id="rId41">
            <anchor moveWithCells="1" sizeWithCells="1">
              <from>
                <xdr:col>4</xdr:col>
                <xdr:colOff>0</xdr:colOff>
                <xdr:row>16</xdr:row>
                <xdr:rowOff>0</xdr:rowOff>
              </from>
              <to>
                <xdr:col>5</xdr:col>
                <xdr:colOff>0</xdr:colOff>
                <xdr:row>17</xdr:row>
                <xdr:rowOff>0</xdr:rowOff>
              </to>
            </anchor>
          </controlPr>
        </control>
      </mc:Choice>
      <mc:Fallback>
        <control shapeId="2295982" r:id="rId40" name="TextBox15"/>
      </mc:Fallback>
    </mc:AlternateContent>
    <mc:AlternateContent xmlns:mc="http://schemas.openxmlformats.org/markup-compatibility/2006">
      <mc:Choice Requires="x14">
        <control shapeId="2295983" r:id="rId42" name="TextBox16">
          <controlPr locked="0" defaultSize="0" disabled="1" autoLine="0" autoPict="0" linkedCell="K20" r:id="rId43">
            <anchor moveWithCells="1" sizeWithCells="1">
              <from>
                <xdr:col>4</xdr:col>
                <xdr:colOff>0</xdr:colOff>
                <xdr:row>17</xdr:row>
                <xdr:rowOff>0</xdr:rowOff>
              </from>
              <to>
                <xdr:col>5</xdr:col>
                <xdr:colOff>0</xdr:colOff>
                <xdr:row>18</xdr:row>
                <xdr:rowOff>0</xdr:rowOff>
              </to>
            </anchor>
          </controlPr>
        </control>
      </mc:Choice>
      <mc:Fallback>
        <control shapeId="2295983" r:id="rId42" name="TextBox16"/>
      </mc:Fallback>
    </mc:AlternateContent>
    <mc:AlternateContent xmlns:mc="http://schemas.openxmlformats.org/markup-compatibility/2006">
      <mc:Choice Requires="x14">
        <control shapeId="2295984" r:id="rId44" name="TextBox17">
          <controlPr defaultSize="0" disabled="1" autoLine="0" linkedCell="K29" r:id="rId45">
            <anchor moveWithCells="1" sizeWithCells="1">
              <from>
                <xdr:col>4</xdr:col>
                <xdr:colOff>0</xdr:colOff>
                <xdr:row>26</xdr:row>
                <xdr:rowOff>0</xdr:rowOff>
              </from>
              <to>
                <xdr:col>5</xdr:col>
                <xdr:colOff>0</xdr:colOff>
                <xdr:row>27</xdr:row>
                <xdr:rowOff>0</xdr:rowOff>
              </to>
            </anchor>
          </controlPr>
        </control>
      </mc:Choice>
      <mc:Fallback>
        <control shapeId="2295984" r:id="rId44" name="TextBox17"/>
      </mc:Fallback>
    </mc:AlternateContent>
    <mc:AlternateContent xmlns:mc="http://schemas.openxmlformats.org/markup-compatibility/2006">
      <mc:Choice Requires="x14">
        <control shapeId="2295985" r:id="rId46" name="TextBox18">
          <controlPr locked="0" defaultSize="0" disabled="1" autoLine="0" linkedCell="K30" r:id="rId47">
            <anchor moveWithCells="1" sizeWithCells="1">
              <from>
                <xdr:col>4</xdr:col>
                <xdr:colOff>0</xdr:colOff>
                <xdr:row>27</xdr:row>
                <xdr:rowOff>0</xdr:rowOff>
              </from>
              <to>
                <xdr:col>5</xdr:col>
                <xdr:colOff>0</xdr:colOff>
                <xdr:row>28</xdr:row>
                <xdr:rowOff>0</xdr:rowOff>
              </to>
            </anchor>
          </controlPr>
        </control>
      </mc:Choice>
      <mc:Fallback>
        <control shapeId="2295985" r:id="rId46" name="TextBox18"/>
      </mc:Fallback>
    </mc:AlternateContent>
    <mc:AlternateContent xmlns:mc="http://schemas.openxmlformats.org/markup-compatibility/2006">
      <mc:Choice Requires="x14">
        <control shapeId="2295986" r:id="rId48" name="TextBox19">
          <controlPr defaultSize="0" disabled="1" autoLine="0" linkedCell="K39" r:id="rId49">
            <anchor moveWithCells="1" sizeWithCells="1">
              <from>
                <xdr:col>4</xdr:col>
                <xdr:colOff>0</xdr:colOff>
                <xdr:row>36</xdr:row>
                <xdr:rowOff>0</xdr:rowOff>
              </from>
              <to>
                <xdr:col>5</xdr:col>
                <xdr:colOff>0</xdr:colOff>
                <xdr:row>37</xdr:row>
                <xdr:rowOff>0</xdr:rowOff>
              </to>
            </anchor>
          </controlPr>
        </control>
      </mc:Choice>
      <mc:Fallback>
        <control shapeId="2295986" r:id="rId48" name="TextBox19"/>
      </mc:Fallback>
    </mc:AlternateContent>
    <mc:AlternateContent xmlns:mc="http://schemas.openxmlformats.org/markup-compatibility/2006">
      <mc:Choice Requires="x14">
        <control shapeId="2295987" r:id="rId50" name="TextBox20">
          <controlPr locked="0" defaultSize="0" disabled="1" autoLine="0" linkedCell="K40" r:id="rId51">
            <anchor moveWithCells="1" sizeWithCells="1">
              <from>
                <xdr:col>4</xdr:col>
                <xdr:colOff>0</xdr:colOff>
                <xdr:row>37</xdr:row>
                <xdr:rowOff>0</xdr:rowOff>
              </from>
              <to>
                <xdr:col>5</xdr:col>
                <xdr:colOff>0</xdr:colOff>
                <xdr:row>38</xdr:row>
                <xdr:rowOff>0</xdr:rowOff>
              </to>
            </anchor>
          </controlPr>
        </control>
      </mc:Choice>
      <mc:Fallback>
        <control shapeId="2295987" r:id="rId50" name="TextBox20"/>
      </mc:Fallback>
    </mc:AlternateContent>
    <mc:AlternateContent xmlns:mc="http://schemas.openxmlformats.org/markup-compatibility/2006">
      <mc:Choice Requires="x14">
        <control shapeId="2295988" r:id="rId52" name="TextBox21">
          <controlPr defaultSize="0" disabled="1" autoLine="0" linkedCell="K49" r:id="rId53">
            <anchor moveWithCells="1" sizeWithCells="1">
              <from>
                <xdr:col>4</xdr:col>
                <xdr:colOff>0</xdr:colOff>
                <xdr:row>46</xdr:row>
                <xdr:rowOff>0</xdr:rowOff>
              </from>
              <to>
                <xdr:col>5</xdr:col>
                <xdr:colOff>0</xdr:colOff>
                <xdr:row>47</xdr:row>
                <xdr:rowOff>0</xdr:rowOff>
              </to>
            </anchor>
          </controlPr>
        </control>
      </mc:Choice>
      <mc:Fallback>
        <control shapeId="2295988" r:id="rId52" name="TextBox21"/>
      </mc:Fallback>
    </mc:AlternateContent>
    <mc:AlternateContent xmlns:mc="http://schemas.openxmlformats.org/markup-compatibility/2006">
      <mc:Choice Requires="x14">
        <control shapeId="2295989" r:id="rId54" name="TextBox22">
          <controlPr locked="0" defaultSize="0" disabled="1" autoLine="0" linkedCell="K50" r:id="rId55">
            <anchor moveWithCells="1" sizeWithCells="1">
              <from>
                <xdr:col>4</xdr:col>
                <xdr:colOff>0</xdr:colOff>
                <xdr:row>47</xdr:row>
                <xdr:rowOff>0</xdr:rowOff>
              </from>
              <to>
                <xdr:col>5</xdr:col>
                <xdr:colOff>0</xdr:colOff>
                <xdr:row>48</xdr:row>
                <xdr:rowOff>0</xdr:rowOff>
              </to>
            </anchor>
          </controlPr>
        </control>
      </mc:Choice>
      <mc:Fallback>
        <control shapeId="2295989" r:id="rId54" name="TextBox22"/>
      </mc:Fallback>
    </mc:AlternateContent>
    <mc:AlternateContent xmlns:mc="http://schemas.openxmlformats.org/markup-compatibility/2006">
      <mc:Choice Requires="x14">
        <control shapeId="2295990" r:id="rId56" name="TextBox23">
          <controlPr defaultSize="0" disabled="1" autoLine="0" linkedCell="K49" r:id="rId57">
            <anchor moveWithCells="1" sizeWithCells="1">
              <from>
                <xdr:col>4</xdr:col>
                <xdr:colOff>0</xdr:colOff>
                <xdr:row>56</xdr:row>
                <xdr:rowOff>0</xdr:rowOff>
              </from>
              <to>
                <xdr:col>5</xdr:col>
                <xdr:colOff>0</xdr:colOff>
                <xdr:row>57</xdr:row>
                <xdr:rowOff>0</xdr:rowOff>
              </to>
            </anchor>
          </controlPr>
        </control>
      </mc:Choice>
      <mc:Fallback>
        <control shapeId="2295990" r:id="rId56" name="TextBox23"/>
      </mc:Fallback>
    </mc:AlternateContent>
    <mc:AlternateContent xmlns:mc="http://schemas.openxmlformats.org/markup-compatibility/2006">
      <mc:Choice Requires="x14">
        <control shapeId="2295991" r:id="rId58" name="TextBox24">
          <controlPr locked="0" defaultSize="0" disabled="1" autoLine="0" linkedCell="K60" r:id="rId59">
            <anchor moveWithCells="1" sizeWithCells="1">
              <from>
                <xdr:col>4</xdr:col>
                <xdr:colOff>0</xdr:colOff>
                <xdr:row>57</xdr:row>
                <xdr:rowOff>0</xdr:rowOff>
              </from>
              <to>
                <xdr:col>5</xdr:col>
                <xdr:colOff>0</xdr:colOff>
                <xdr:row>58</xdr:row>
                <xdr:rowOff>0</xdr:rowOff>
              </to>
            </anchor>
          </controlPr>
        </control>
      </mc:Choice>
      <mc:Fallback>
        <control shapeId="2295991" r:id="rId58" name="TextBox24"/>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V138"/>
  <sheetViews>
    <sheetView workbookViewId="0">
      <selection activeCell="I6" sqref="I6"/>
    </sheetView>
  </sheetViews>
  <sheetFormatPr defaultColWidth="0" defaultRowHeight="20.100000000000001" customHeight="1" zeroHeight="1"/>
  <cols>
    <col min="1" max="1" width="10.7109375" style="2042" customWidth="1"/>
    <col min="2" max="2" width="50.7109375" style="1557" customWidth="1"/>
    <col min="3" max="3" width="11.7109375" style="1558" customWidth="1"/>
    <col min="4" max="5" width="19.7109375" style="1559" customWidth="1"/>
    <col min="6" max="6" width="24.7109375" style="2043" customWidth="1"/>
    <col min="7" max="7" width="11.5703125" style="1523" hidden="1" customWidth="1"/>
    <col min="8" max="8" width="40.7109375" style="1522" hidden="1" customWidth="1"/>
    <col min="9" max="9" width="14" style="1523" hidden="1" customWidth="1"/>
    <col min="10" max="10" width="8.85546875" style="1524" hidden="1" customWidth="1"/>
    <col min="11" max="11" width="14.7109375" style="1525" hidden="1" customWidth="1"/>
    <col min="12" max="12" width="15.7109375" style="1526" hidden="1" customWidth="1"/>
    <col min="13" max="14" width="14.85546875" style="1525" hidden="1" customWidth="1"/>
    <col min="15" max="15" width="11.7109375" style="1525" hidden="1" customWidth="1"/>
    <col min="16" max="16" width="8.85546875" style="1525" hidden="1" customWidth="1"/>
    <col min="17" max="17" width="13.7109375" style="1525" hidden="1" customWidth="1"/>
    <col min="18" max="16384" width="9.140625" style="1524" hidden="1"/>
  </cols>
  <sheetData>
    <row r="1" spans="1:22" ht="20.100000000000001" customHeight="1" thickBot="1">
      <c r="B1" s="2565"/>
      <c r="C1" s="2565"/>
      <c r="D1" s="2565"/>
      <c r="E1" s="2565"/>
      <c r="I1" s="1522"/>
    </row>
    <row r="2" spans="1:22" ht="43.5" customHeight="1" thickBot="1">
      <c r="B2" s="2570" t="str">
        <f>'Control page'!C15</f>
        <v>Wall surface heat losses</v>
      </c>
      <c r="C2" s="2571"/>
      <c r="D2" s="2571"/>
      <c r="E2" s="2572"/>
    </row>
    <row r="3" spans="1:22" ht="20.100000000000001" hidden="1" customHeight="1">
      <c r="A3" s="2044"/>
      <c r="B3" s="974"/>
      <c r="C3" s="1527"/>
      <c r="D3" s="1527"/>
      <c r="E3" s="1528"/>
      <c r="G3" s="2579" t="s">
        <v>1435</v>
      </c>
      <c r="H3" s="2580"/>
    </row>
    <row r="4" spans="1:22" s="1532" customFormat="1" ht="20.100000000000001" hidden="1" customHeight="1">
      <c r="A4" s="1433" t="s">
        <v>1113</v>
      </c>
      <c r="B4" s="974" t="s">
        <v>1120</v>
      </c>
      <c r="C4" s="1527"/>
      <c r="D4" s="1529"/>
      <c r="E4" s="1529"/>
      <c r="F4" s="1474"/>
      <c r="G4" s="1530"/>
      <c r="H4" s="1531"/>
      <c r="I4" s="1525" t="s">
        <v>774</v>
      </c>
      <c r="K4" s="1525"/>
      <c r="L4" s="1526"/>
      <c r="M4" s="1525"/>
      <c r="N4" s="1525"/>
      <c r="O4" s="1525"/>
      <c r="P4" s="1525"/>
      <c r="Q4" s="1525"/>
    </row>
    <row r="5" spans="1:22" s="1532" customFormat="1" ht="20.100000000000001" customHeight="1">
      <c r="A5" s="1433"/>
      <c r="B5" s="1533" t="s">
        <v>1121</v>
      </c>
      <c r="C5" s="1534">
        <f>'Control page'!D15</f>
        <v>10</v>
      </c>
      <c r="D5" s="2573" t="s">
        <v>1607</v>
      </c>
      <c r="E5" s="2574"/>
      <c r="F5" s="1474"/>
      <c r="G5" s="1530"/>
      <c r="H5" s="1531"/>
      <c r="I5" s="1535" t="s">
        <v>8</v>
      </c>
      <c r="L5" s="1536"/>
      <c r="M5" s="1525"/>
      <c r="N5" s="1525"/>
      <c r="O5" s="1525"/>
      <c r="P5" s="1525"/>
      <c r="Q5" s="1525"/>
    </row>
    <row r="6" spans="1:22" s="1475" customFormat="1" ht="20.100000000000001" customHeight="1" thickBot="1">
      <c r="A6" s="1433"/>
      <c r="B6" s="918"/>
      <c r="C6" s="1433"/>
      <c r="D6" s="1450"/>
      <c r="E6" s="1450"/>
      <c r="F6" s="1474"/>
      <c r="G6" s="2045"/>
      <c r="H6" s="1790"/>
      <c r="I6" s="2046" t="s">
        <v>6</v>
      </c>
      <c r="K6" s="1801"/>
      <c r="L6" s="2047"/>
      <c r="M6" s="1801"/>
      <c r="N6" s="1801"/>
      <c r="O6" s="1801"/>
      <c r="P6" s="1801"/>
      <c r="Q6" s="1801"/>
    </row>
    <row r="7" spans="1:22" s="1532" customFormat="1" ht="20.100000000000001" customHeight="1" thickBot="1">
      <c r="A7" s="2584"/>
      <c r="B7" s="968" t="s">
        <v>1251</v>
      </c>
      <c r="C7" s="2566" t="s">
        <v>636</v>
      </c>
      <c r="D7" s="2566"/>
      <c r="E7" s="2567"/>
      <c r="F7" s="2032"/>
      <c r="G7" s="1537" t="s">
        <v>1424</v>
      </c>
      <c r="H7" s="1538" t="s">
        <v>1425</v>
      </c>
      <c r="K7" s="1525"/>
      <c r="L7" s="2581" t="s">
        <v>1178</v>
      </c>
      <c r="M7" s="2582"/>
      <c r="N7" s="2583"/>
      <c r="O7" s="1525"/>
      <c r="P7" s="1525"/>
      <c r="Q7" s="1539"/>
      <c r="R7" s="1540"/>
      <c r="S7" s="1530"/>
      <c r="T7" s="1530"/>
      <c r="U7" s="1530"/>
      <c r="V7" s="1530"/>
    </row>
    <row r="8" spans="1:22" s="1532" customFormat="1" ht="20.100000000000001" customHeight="1">
      <c r="A8" s="2584"/>
      <c r="B8" s="2503"/>
      <c r="C8" s="2504"/>
      <c r="D8" s="959" t="s">
        <v>1114</v>
      </c>
      <c r="E8" s="962" t="s">
        <v>1119</v>
      </c>
      <c r="F8" s="1474"/>
      <c r="G8" s="1541">
        <v>1.016</v>
      </c>
      <c r="H8" s="1542" t="s">
        <v>1426</v>
      </c>
      <c r="K8" s="1525"/>
      <c r="L8" s="1526"/>
      <c r="M8" s="1525"/>
      <c r="N8" s="1525"/>
      <c r="O8" s="1525"/>
      <c r="P8" s="1525"/>
      <c r="Q8" s="1543"/>
      <c r="R8" s="1544"/>
      <c r="S8" s="1530"/>
      <c r="T8" s="1530"/>
      <c r="U8" s="1530"/>
      <c r="V8" s="1530"/>
    </row>
    <row r="9" spans="1:22" s="1532" customFormat="1" ht="20.100000000000001" customHeight="1">
      <c r="A9" s="2584"/>
      <c r="B9" s="945" t="s">
        <v>1246</v>
      </c>
      <c r="C9" s="941" t="s">
        <v>1175</v>
      </c>
      <c r="D9" s="2138"/>
      <c r="E9" s="2139"/>
      <c r="F9" s="1474"/>
      <c r="G9" s="1541">
        <v>1.2350000000000001</v>
      </c>
      <c r="H9" s="1542" t="s">
        <v>1427</v>
      </c>
      <c r="K9" s="1525"/>
      <c r="L9" s="1545">
        <f t="shared" ref="L9:M13" si="0">D9</f>
        <v>0</v>
      </c>
      <c r="M9" s="1545">
        <f t="shared" si="0"/>
        <v>0</v>
      </c>
      <c r="N9" s="1546" t="s">
        <v>1176</v>
      </c>
      <c r="O9" s="1525"/>
      <c r="P9" s="1525"/>
      <c r="Q9" s="1543"/>
      <c r="R9" s="1544"/>
      <c r="S9" s="1530"/>
      <c r="T9" s="1530"/>
      <c r="U9" s="1530"/>
      <c r="V9" s="1530"/>
    </row>
    <row r="10" spans="1:22" s="1532" customFormat="1" ht="20.100000000000001" customHeight="1">
      <c r="A10" s="2584"/>
      <c r="B10" s="946" t="s">
        <v>1247</v>
      </c>
      <c r="C10" s="941" t="s">
        <v>1175</v>
      </c>
      <c r="D10" s="2131"/>
      <c r="E10" s="2132"/>
      <c r="F10" s="1474"/>
      <c r="G10" s="1541">
        <v>1.3939999999999999</v>
      </c>
      <c r="H10" s="1542" t="s">
        <v>1428</v>
      </c>
      <c r="K10" s="1525"/>
      <c r="L10" s="1545">
        <f t="shared" si="0"/>
        <v>0</v>
      </c>
      <c r="M10" s="1545">
        <f t="shared" si="0"/>
        <v>0</v>
      </c>
      <c r="N10" s="1546" t="s">
        <v>1176</v>
      </c>
      <c r="O10" s="1525"/>
      <c r="P10" s="1525"/>
      <c r="Q10" s="1543"/>
      <c r="R10" s="1544"/>
      <c r="S10" s="1530"/>
      <c r="T10" s="1530"/>
      <c r="U10" s="1530"/>
      <c r="V10" s="1530"/>
    </row>
    <row r="11" spans="1:22" s="1532" customFormat="1" ht="20.100000000000001" customHeight="1">
      <c r="A11" s="2584"/>
      <c r="B11" s="946" t="s">
        <v>1422</v>
      </c>
      <c r="C11" s="941" t="s">
        <v>1423</v>
      </c>
      <c r="D11" s="947"/>
      <c r="E11" s="948"/>
      <c r="F11" s="1474"/>
      <c r="G11" s="1541">
        <v>1.79</v>
      </c>
      <c r="H11" s="1542" t="s">
        <v>1429</v>
      </c>
      <c r="K11" s="1525"/>
      <c r="L11" s="1545">
        <f t="shared" si="0"/>
        <v>0</v>
      </c>
      <c r="M11" s="1545">
        <f t="shared" si="0"/>
        <v>0</v>
      </c>
      <c r="N11" s="1546" t="s">
        <v>1433</v>
      </c>
      <c r="O11" s="1525"/>
      <c r="P11" s="1525"/>
      <c r="Q11" s="1543"/>
      <c r="R11" s="1544"/>
      <c r="S11" s="1530"/>
      <c r="T11" s="1530"/>
      <c r="U11" s="1530"/>
      <c r="V11" s="1530"/>
    </row>
    <row r="12" spans="1:22" s="1532" customFormat="1" ht="43.5" customHeight="1">
      <c r="A12" s="2584"/>
      <c r="B12" s="946" t="s">
        <v>1467</v>
      </c>
      <c r="C12" s="941"/>
      <c r="D12" s="957" t="s">
        <v>1428</v>
      </c>
      <c r="E12" s="958" t="s">
        <v>1428</v>
      </c>
      <c r="F12" s="1474"/>
      <c r="G12" s="1541">
        <v>0.89</v>
      </c>
      <c r="H12" s="1542" t="s">
        <v>1430</v>
      </c>
      <c r="K12" s="1525"/>
      <c r="L12" s="1545"/>
      <c r="M12" s="1545"/>
      <c r="N12" s="1546"/>
      <c r="O12" s="1525"/>
      <c r="P12" s="1525"/>
      <c r="Q12" s="1543"/>
      <c r="R12" s="1544"/>
      <c r="S12" s="1530"/>
      <c r="T12" s="1530"/>
      <c r="U12" s="1530"/>
      <c r="V12" s="1530"/>
    </row>
    <row r="13" spans="1:22" s="1532" customFormat="1" ht="20.100000000000001" customHeight="1">
      <c r="A13" s="2584"/>
      <c r="B13" s="946" t="s">
        <v>1468</v>
      </c>
      <c r="C13" s="941"/>
      <c r="D13" s="1547">
        <f>INDEX($G$8:$G$14,MATCH(D12,$H$8:$H$14,0))</f>
        <v>1.3939999999999999</v>
      </c>
      <c r="E13" s="1548">
        <f>INDEX($G$8:$G$14,MATCH(E12,$H$8:$H$14,0))</f>
        <v>1.3939999999999999</v>
      </c>
      <c r="F13" s="1474"/>
      <c r="G13" s="1541">
        <v>0.89</v>
      </c>
      <c r="H13" s="1542" t="s">
        <v>1431</v>
      </c>
      <c r="K13" s="1525"/>
      <c r="L13" s="1545">
        <f t="shared" si="0"/>
        <v>1.3939999999999999</v>
      </c>
      <c r="M13" s="1545">
        <f t="shared" si="0"/>
        <v>1.3939999999999999</v>
      </c>
      <c r="N13" s="1546"/>
      <c r="O13" s="1525"/>
      <c r="P13" s="1525"/>
      <c r="Q13" s="1543"/>
      <c r="R13" s="1544"/>
      <c r="S13" s="1530"/>
      <c r="T13" s="1530"/>
      <c r="U13" s="1530"/>
      <c r="V13" s="1530"/>
    </row>
    <row r="14" spans="1:22" s="1532" customFormat="1" ht="20.100000000000001" customHeight="1" thickBot="1">
      <c r="A14" s="2584"/>
      <c r="B14" s="946" t="s">
        <v>1645</v>
      </c>
      <c r="C14" s="942"/>
      <c r="D14" s="949"/>
      <c r="E14" s="950"/>
      <c r="F14" s="2585" t="str">
        <f>IF(OR(D14&gt;1,E14&gt;1),"Surface emmissivity cannot be greater than 1","")</f>
        <v/>
      </c>
      <c r="G14" s="1549">
        <v>1.79</v>
      </c>
      <c r="H14" s="1550" t="s">
        <v>1432</v>
      </c>
      <c r="K14" s="1525"/>
      <c r="L14" s="1545">
        <f>IF(L9&gt;L10,((L13*(1/24)^0.2*(1/((L10+L9)/2)^0.181*(L9-L10)^0.266*(1+1.277*L11)^0.5)*(L9-L10)) + 0.1713*10^-8*D14*(((L9+460)^4-(L10+460)^4))),0)</f>
        <v>0</v>
      </c>
      <c r="M14" s="1545">
        <f>IF(M9&gt;M10,((M13*(1/24)^0.2*(1/((M10+M9)/2)^0.181*(M9-M10)^0.266*(1+1.277*M11)^0.5)*(M9-M10)) + 0.1713*10^-8*E14*(((M9+460)^4-(M10+460)^4))),0)</f>
        <v>0</v>
      </c>
      <c r="N14" s="1546" t="s">
        <v>1177</v>
      </c>
      <c r="O14" s="1525"/>
      <c r="P14" s="1525"/>
      <c r="Q14" s="1543"/>
      <c r="R14" s="1544"/>
      <c r="S14" s="1530"/>
      <c r="T14" s="1530"/>
      <c r="U14" s="1530"/>
      <c r="V14" s="1530"/>
    </row>
    <row r="15" spans="1:22" s="1532" customFormat="1" ht="20.100000000000001" customHeight="1">
      <c r="A15" s="2584"/>
      <c r="B15" s="946" t="s">
        <v>1248</v>
      </c>
      <c r="C15" s="942" t="s">
        <v>1174</v>
      </c>
      <c r="D15" s="951"/>
      <c r="E15" s="952"/>
      <c r="F15" s="2585"/>
      <c r="G15" s="1530"/>
      <c r="H15" s="1551"/>
      <c r="K15" s="1525"/>
      <c r="L15" s="1545">
        <f>L14*D15*D16</f>
        <v>0</v>
      </c>
      <c r="M15" s="1545">
        <f>M14*E15*E16</f>
        <v>0</v>
      </c>
      <c r="N15" s="1546" t="s">
        <v>1173</v>
      </c>
      <c r="O15" s="1525"/>
      <c r="P15" s="1525"/>
      <c r="Q15" s="1543"/>
      <c r="R15" s="1544"/>
      <c r="S15" s="1530"/>
      <c r="T15" s="1530"/>
      <c r="U15" s="1530"/>
      <c r="V15" s="1530"/>
    </row>
    <row r="16" spans="1:22" s="1532" customFormat="1" ht="20.100000000000001" customHeight="1" thickBot="1">
      <c r="A16" s="2584"/>
      <c r="B16" s="970" t="s">
        <v>1249</v>
      </c>
      <c r="C16" s="1055"/>
      <c r="D16" s="2140">
        <v>1</v>
      </c>
      <c r="E16" s="2141">
        <v>1</v>
      </c>
      <c r="F16" s="2586" t="str">
        <f>IF(OR(D9&lt;=D10,E9&lt;=E10),"Surface temperature lower than ambient temperature"," ")</f>
        <v>Surface temperature lower than ambient temperature</v>
      </c>
      <c r="G16" s="1530"/>
      <c r="H16" s="1551"/>
      <c r="I16" s="1551"/>
      <c r="K16" s="1525"/>
      <c r="L16" s="1545">
        <f>L15</f>
        <v>0</v>
      </c>
      <c r="M16" s="1545">
        <f>M15</f>
        <v>0</v>
      </c>
      <c r="N16" s="1546" t="s">
        <v>1173</v>
      </c>
      <c r="O16" s="1552" t="s">
        <v>1113</v>
      </c>
      <c r="P16" s="1525"/>
      <c r="Q16" s="1525"/>
    </row>
    <row r="17" spans="1:17" s="1532" customFormat="1" ht="20.100000000000001" customHeight="1" thickBot="1">
      <c r="A17" s="2032"/>
      <c r="B17" s="971" t="s">
        <v>1469</v>
      </c>
      <c r="C17" s="1553" t="s">
        <v>1470</v>
      </c>
      <c r="D17" s="2160">
        <f>L16</f>
        <v>0</v>
      </c>
      <c r="E17" s="2161">
        <f>M16</f>
        <v>0</v>
      </c>
      <c r="F17" s="2586"/>
      <c r="G17" s="1530"/>
      <c r="H17" s="1551"/>
      <c r="I17" s="1551"/>
      <c r="K17" s="1525"/>
      <c r="L17" s="1554"/>
      <c r="M17" s="1554"/>
      <c r="N17" s="1535"/>
      <c r="O17" s="1552"/>
      <c r="P17" s="1525"/>
      <c r="Q17" s="1525"/>
    </row>
    <row r="18" spans="1:17" s="1475" customFormat="1" ht="20.100000000000001" customHeight="1" thickBot="1">
      <c r="A18" s="1433"/>
      <c r="B18" s="918"/>
      <c r="C18" s="1433"/>
      <c r="D18" s="2048"/>
      <c r="E18" s="2048"/>
      <c r="F18" s="1474"/>
      <c r="G18" s="1474"/>
      <c r="H18" s="1045"/>
      <c r="I18" s="1045"/>
      <c r="K18" s="1801"/>
      <c r="L18" s="2047"/>
      <c r="M18" s="1801"/>
      <c r="N18" s="1801"/>
      <c r="O18" s="1801"/>
      <c r="P18" s="1801"/>
      <c r="Q18" s="1801"/>
    </row>
    <row r="19" spans="1:17" s="1532" customFormat="1" ht="20.100000000000001" customHeight="1">
      <c r="A19" s="1433"/>
      <c r="B19" s="968" t="s">
        <v>1251</v>
      </c>
      <c r="C19" s="2566" t="s">
        <v>637</v>
      </c>
      <c r="D19" s="2566"/>
      <c r="E19" s="2567"/>
      <c r="F19" s="1474"/>
      <c r="G19" s="1530"/>
      <c r="H19" s="1551"/>
      <c r="I19" s="1551"/>
      <c r="K19" s="1525"/>
      <c r="L19" s="1526"/>
      <c r="M19" s="1525"/>
      <c r="N19" s="1525"/>
      <c r="O19" s="1525"/>
      <c r="P19" s="1525"/>
      <c r="Q19" s="1525"/>
    </row>
    <row r="20" spans="1:17" s="1532" customFormat="1" ht="20.100000000000001" customHeight="1">
      <c r="A20" s="1433"/>
      <c r="B20" s="2503"/>
      <c r="C20" s="2504"/>
      <c r="D20" s="959" t="s">
        <v>1114</v>
      </c>
      <c r="E20" s="962" t="s">
        <v>1119</v>
      </c>
      <c r="F20" s="1474"/>
      <c r="G20" s="1530"/>
      <c r="H20" s="1543"/>
      <c r="I20" s="1551"/>
      <c r="K20" s="1525"/>
      <c r="L20" s="1526"/>
      <c r="M20" s="1525"/>
      <c r="N20" s="1525"/>
      <c r="O20" s="1525"/>
      <c r="P20" s="1525"/>
      <c r="Q20" s="1525"/>
    </row>
    <row r="21" spans="1:17" s="1532" customFormat="1" ht="20.100000000000001" customHeight="1">
      <c r="A21" s="1433"/>
      <c r="B21" s="960" t="s">
        <v>1246</v>
      </c>
      <c r="C21" s="961" t="s">
        <v>1175</v>
      </c>
      <c r="D21" s="2138"/>
      <c r="E21" s="2139"/>
      <c r="F21" s="1474"/>
      <c r="G21" s="1530"/>
      <c r="H21" s="1543"/>
      <c r="I21" s="1525"/>
      <c r="K21" s="1525"/>
      <c r="L21" s="1545">
        <f t="shared" ref="L21:M25" si="1">D21</f>
        <v>0</v>
      </c>
      <c r="M21" s="1545">
        <f t="shared" si="1"/>
        <v>0</v>
      </c>
      <c r="N21" s="1546" t="s">
        <v>1176</v>
      </c>
      <c r="O21" s="1525"/>
      <c r="P21" s="1525"/>
      <c r="Q21" s="1525"/>
    </row>
    <row r="22" spans="1:17" s="1532" customFormat="1" ht="20.100000000000001" customHeight="1">
      <c r="A22" s="1433"/>
      <c r="B22" s="944" t="s">
        <v>1247</v>
      </c>
      <c r="C22" s="943" t="s">
        <v>1175</v>
      </c>
      <c r="D22" s="2131"/>
      <c r="E22" s="2132"/>
      <c r="F22" s="1474"/>
      <c r="G22" s="1530"/>
      <c r="H22" s="1543"/>
      <c r="I22" s="1525"/>
      <c r="K22" s="1525"/>
      <c r="L22" s="1545">
        <f t="shared" si="1"/>
        <v>0</v>
      </c>
      <c r="M22" s="1545">
        <f t="shared" si="1"/>
        <v>0</v>
      </c>
      <c r="N22" s="1546" t="s">
        <v>1176</v>
      </c>
      <c r="O22" s="1525"/>
      <c r="P22" s="1525"/>
      <c r="Q22" s="1525"/>
    </row>
    <row r="23" spans="1:17" s="1532" customFormat="1" ht="20.100000000000001" customHeight="1">
      <c r="A23" s="1433"/>
      <c r="B23" s="944" t="s">
        <v>1422</v>
      </c>
      <c r="C23" s="943" t="s">
        <v>1423</v>
      </c>
      <c r="D23" s="954"/>
      <c r="E23" s="953"/>
      <c r="F23" s="1474"/>
      <c r="G23" s="1530"/>
      <c r="H23" s="1543"/>
      <c r="I23" s="1525"/>
      <c r="K23" s="1525"/>
      <c r="L23" s="1545">
        <f t="shared" si="1"/>
        <v>0</v>
      </c>
      <c r="M23" s="1545">
        <f t="shared" si="1"/>
        <v>0</v>
      </c>
      <c r="N23" s="1546" t="s">
        <v>1433</v>
      </c>
      <c r="O23" s="1525"/>
      <c r="P23" s="1525"/>
      <c r="Q23" s="1525"/>
    </row>
    <row r="24" spans="1:17" s="1532" customFormat="1" ht="43.5" customHeight="1">
      <c r="A24" s="1433"/>
      <c r="B24" s="944" t="s">
        <v>1467</v>
      </c>
      <c r="C24" s="943"/>
      <c r="D24" s="957" t="s">
        <v>1430</v>
      </c>
      <c r="E24" s="958" t="s">
        <v>1430</v>
      </c>
      <c r="F24" s="1474"/>
      <c r="G24" s="1530"/>
      <c r="H24" s="1543"/>
      <c r="I24" s="1525"/>
      <c r="K24" s="1525"/>
      <c r="L24" s="1545"/>
      <c r="M24" s="1545"/>
      <c r="N24" s="1546"/>
      <c r="O24" s="1525"/>
      <c r="P24" s="1525"/>
      <c r="Q24" s="1525"/>
    </row>
    <row r="25" spans="1:17" s="1532" customFormat="1" ht="20.100000000000001" customHeight="1">
      <c r="A25" s="1433"/>
      <c r="B25" s="944" t="s">
        <v>1468</v>
      </c>
      <c r="C25" s="943"/>
      <c r="D25" s="1547">
        <f>INDEX($G$8:$G$14,MATCH(D24,$H$8:$H$14,0))</f>
        <v>0.89</v>
      </c>
      <c r="E25" s="1548">
        <f>INDEX($G$8:$G$14,MATCH(E24,$H$8:$H$14,0))</f>
        <v>0.89</v>
      </c>
      <c r="F25" s="1474"/>
      <c r="G25" s="1530"/>
      <c r="H25" s="1543"/>
      <c r="I25" s="1525"/>
      <c r="K25" s="1525"/>
      <c r="L25" s="1545">
        <f t="shared" si="1"/>
        <v>0.89</v>
      </c>
      <c r="M25" s="1545">
        <f t="shared" si="1"/>
        <v>0.89</v>
      </c>
      <c r="N25" s="1546"/>
      <c r="O25" s="1525"/>
      <c r="P25" s="1525"/>
      <c r="Q25" s="1525"/>
    </row>
    <row r="26" spans="1:17" s="1532" customFormat="1" ht="20.100000000000001" customHeight="1">
      <c r="A26" s="1433"/>
      <c r="B26" s="944" t="s">
        <v>1645</v>
      </c>
      <c r="C26" s="943"/>
      <c r="D26" s="949"/>
      <c r="E26" s="950"/>
      <c r="F26" s="2585" t="str">
        <f>IF(OR(D26&gt;1,E26&gt;1),"Surface emmissivity cannot be greater than 1","")</f>
        <v/>
      </c>
      <c r="G26" s="1530"/>
      <c r="H26" s="1543"/>
      <c r="I26" s="1543"/>
      <c r="K26" s="1525"/>
      <c r="L26" s="1545">
        <f>IF(L21&gt;L22,((L25*(1/24)^0.2*(1/((L22+L21)/2)^0.181*(L21-L22)^0.266*(1+1.277*L23)^0.5)*(L21-L22)) + 0.1713*10^-8*D26*(((L21+460)^4-(L22+460)^4))),0)</f>
        <v>0</v>
      </c>
      <c r="M26" s="1545">
        <f>IF(M21&gt;M22,((M25*(1/24)^0.2*(1/((M22+M21)/2)^0.181*(M21-M22)^0.266*(1+1.277*M23)^0.5)*(M21-M22)) + 0.1713*10^-8*E26*(((M21+460)^4-(M22+460)^4))),0)</f>
        <v>0</v>
      </c>
      <c r="N26" s="1546" t="s">
        <v>1177</v>
      </c>
      <c r="O26" s="1525"/>
      <c r="P26" s="1525"/>
      <c r="Q26" s="1525"/>
    </row>
    <row r="27" spans="1:17" s="1532" customFormat="1" ht="20.100000000000001" customHeight="1">
      <c r="A27" s="1433"/>
      <c r="B27" s="944" t="s">
        <v>1248</v>
      </c>
      <c r="C27" s="943" t="s">
        <v>1174</v>
      </c>
      <c r="D27" s="955">
        <v>0</v>
      </c>
      <c r="E27" s="956">
        <v>0</v>
      </c>
      <c r="F27" s="2585"/>
      <c r="G27" s="1530"/>
      <c r="H27" s="1543"/>
      <c r="I27" s="1525"/>
      <c r="K27" s="1525"/>
      <c r="L27" s="1545">
        <f>L26*D27*D28</f>
        <v>0</v>
      </c>
      <c r="M27" s="1545">
        <f>M26*E27*E28</f>
        <v>0</v>
      </c>
      <c r="N27" s="1546" t="s">
        <v>1173</v>
      </c>
      <c r="O27" s="1525"/>
      <c r="P27" s="1525"/>
      <c r="Q27" s="1525"/>
    </row>
    <row r="28" spans="1:17" s="1532" customFormat="1" ht="20.100000000000001" customHeight="1" thickBot="1">
      <c r="A28" s="1433"/>
      <c r="B28" s="972" t="s">
        <v>1249</v>
      </c>
      <c r="C28" s="1555"/>
      <c r="D28" s="2140">
        <v>1</v>
      </c>
      <c r="E28" s="2141">
        <v>1</v>
      </c>
      <c r="F28" s="2586" t="str">
        <f>IF(OR(D21&lt;=D22,E21&lt;=E22),"Surface temperature lower than ambient temperature"," ")</f>
        <v>Surface temperature lower than ambient temperature</v>
      </c>
      <c r="G28" s="1530"/>
      <c r="H28" s="1543"/>
      <c r="I28" s="1543"/>
      <c r="K28" s="1525"/>
      <c r="L28" s="1545">
        <f>L27</f>
        <v>0</v>
      </c>
      <c r="M28" s="1545">
        <f>M27</f>
        <v>0</v>
      </c>
      <c r="N28" s="1546" t="s">
        <v>1173</v>
      </c>
      <c r="O28" s="1525">
        <f>IF($C$5&gt;1,1,0)</f>
        <v>1</v>
      </c>
      <c r="P28" s="1525" t="s">
        <v>3</v>
      </c>
      <c r="Q28" s="1525"/>
    </row>
    <row r="29" spans="1:17" s="1532" customFormat="1" ht="20.100000000000001" customHeight="1" thickBot="1">
      <c r="A29" s="1433"/>
      <c r="B29" s="973" t="s">
        <v>1469</v>
      </c>
      <c r="C29" s="1368" t="s">
        <v>1470</v>
      </c>
      <c r="D29" s="2160">
        <f>L28</f>
        <v>0</v>
      </c>
      <c r="E29" s="2161">
        <f>M28</f>
        <v>0</v>
      </c>
      <c r="F29" s="2586"/>
      <c r="G29" s="1530"/>
      <c r="H29" s="1543"/>
      <c r="I29" s="1543"/>
      <c r="K29" s="1525"/>
      <c r="L29" s="1554"/>
      <c r="M29" s="1554"/>
      <c r="N29" s="1535"/>
      <c r="O29" s="1525"/>
      <c r="P29" s="1525"/>
      <c r="Q29" s="1525"/>
    </row>
    <row r="30" spans="1:17" s="1475" customFormat="1" ht="20.100000000000001" customHeight="1" thickBot="1">
      <c r="A30" s="1433"/>
      <c r="B30" s="2049"/>
      <c r="C30" s="2050"/>
      <c r="D30" s="2051"/>
      <c r="E30" s="2051"/>
      <c r="F30" s="1474"/>
      <c r="G30" s="2043"/>
      <c r="H30" s="2042"/>
      <c r="I30" s="1027"/>
      <c r="K30" s="1801"/>
      <c r="L30" s="2047"/>
      <c r="M30" s="1801"/>
      <c r="N30" s="1801"/>
      <c r="O30" s="1801"/>
      <c r="P30" s="1801"/>
      <c r="Q30" s="1801"/>
    </row>
    <row r="31" spans="1:17" ht="20.100000000000001" customHeight="1">
      <c r="B31" s="968" t="s">
        <v>1251</v>
      </c>
      <c r="C31" s="2566" t="s">
        <v>638</v>
      </c>
      <c r="D31" s="2566"/>
      <c r="E31" s="2567"/>
      <c r="I31" s="1556"/>
    </row>
    <row r="32" spans="1:17" ht="20.100000000000001" customHeight="1">
      <c r="B32" s="2503"/>
      <c r="C32" s="2504"/>
      <c r="D32" s="959" t="s">
        <v>1114</v>
      </c>
      <c r="E32" s="962" t="s">
        <v>1119</v>
      </c>
      <c r="I32" s="1556"/>
      <c r="J32" s="1523"/>
    </row>
    <row r="33" spans="1:17" ht="20.100000000000001" customHeight="1">
      <c r="B33" s="945" t="s">
        <v>1246</v>
      </c>
      <c r="C33" s="941" t="s">
        <v>1175</v>
      </c>
      <c r="D33" s="2138"/>
      <c r="E33" s="2139"/>
      <c r="I33" s="1556"/>
      <c r="J33" s="1523"/>
      <c r="L33" s="1545">
        <f t="shared" ref="L33:M37" si="2">D33</f>
        <v>0</v>
      </c>
      <c r="M33" s="1545">
        <f t="shared" si="2"/>
        <v>0</v>
      </c>
      <c r="N33" s="1546" t="s">
        <v>1176</v>
      </c>
    </row>
    <row r="34" spans="1:17" ht="20.100000000000001" customHeight="1">
      <c r="B34" s="946" t="s">
        <v>1247</v>
      </c>
      <c r="C34" s="941" t="s">
        <v>1175</v>
      </c>
      <c r="D34" s="2131"/>
      <c r="E34" s="2132"/>
      <c r="I34" s="1556"/>
      <c r="J34" s="1523"/>
      <c r="L34" s="1545">
        <f t="shared" si="2"/>
        <v>0</v>
      </c>
      <c r="M34" s="1545">
        <f t="shared" si="2"/>
        <v>0</v>
      </c>
      <c r="N34" s="1546" t="s">
        <v>1176</v>
      </c>
    </row>
    <row r="35" spans="1:17" ht="20.100000000000001" customHeight="1">
      <c r="B35" s="946" t="s">
        <v>1422</v>
      </c>
      <c r="C35" s="941" t="s">
        <v>1423</v>
      </c>
      <c r="D35" s="947"/>
      <c r="E35" s="948"/>
      <c r="I35" s="1556"/>
      <c r="J35" s="1523"/>
      <c r="L35" s="1545">
        <f t="shared" si="2"/>
        <v>0</v>
      </c>
      <c r="M35" s="1545">
        <f t="shared" si="2"/>
        <v>0</v>
      </c>
      <c r="N35" s="1546" t="s">
        <v>1433</v>
      </c>
    </row>
    <row r="36" spans="1:17" ht="43.5" customHeight="1">
      <c r="B36" s="946" t="s">
        <v>1467</v>
      </c>
      <c r="C36" s="941"/>
      <c r="D36" s="957" t="s">
        <v>1427</v>
      </c>
      <c r="E36" s="958" t="s">
        <v>1427</v>
      </c>
      <c r="I36" s="1556"/>
      <c r="J36" s="1523"/>
      <c r="L36" s="1545"/>
      <c r="M36" s="1545"/>
      <c r="N36" s="1546"/>
    </row>
    <row r="37" spans="1:17" ht="20.100000000000001" customHeight="1">
      <c r="B37" s="946" t="s">
        <v>1468</v>
      </c>
      <c r="C37" s="941"/>
      <c r="D37" s="1547">
        <f>INDEX($G$8:$G$14,MATCH(D36,$H$8:$H$14,0))</f>
        <v>1.2350000000000001</v>
      </c>
      <c r="E37" s="1548">
        <f>INDEX($G$8:$G$14,MATCH(E36,$H$8:$H$14,0))</f>
        <v>1.2350000000000001</v>
      </c>
      <c r="I37" s="1556"/>
      <c r="J37" s="1523"/>
      <c r="L37" s="1545">
        <f t="shared" si="2"/>
        <v>1.2350000000000001</v>
      </c>
      <c r="M37" s="1545">
        <f t="shared" si="2"/>
        <v>1.2350000000000001</v>
      </c>
      <c r="N37" s="1546"/>
    </row>
    <row r="38" spans="1:17" ht="20.100000000000001" customHeight="1">
      <c r="B38" s="946" t="s">
        <v>1645</v>
      </c>
      <c r="C38" s="942"/>
      <c r="D38" s="949"/>
      <c r="E38" s="950"/>
      <c r="F38" s="2585" t="str">
        <f>IF(OR(D38&gt;1,E38&gt;1),"Surface emmissivity cannot be greater than 1","")</f>
        <v/>
      </c>
      <c r="I38" s="1556"/>
      <c r="J38" s="1523"/>
      <c r="L38" s="1545">
        <f>IF(L33&gt;L34,((L37*(1/24)^0.2*(1/((L34+L33)/2)^0.181*(L33-L34)^0.266*(1+1.277*L35)^0.5)*(L33-L34)) + 0.1713*10^-8*D38*(((L33+460)^4-(L34+460)^4))),0)</f>
        <v>0</v>
      </c>
      <c r="M38" s="1545">
        <f>IF(M33&gt;M34,((M37*(1/24)^0.2*(1/((M34+M33)/2)^0.181*(M33-M34)^0.266*(1+1.277*M35)^0.5)*(M33-M34)) + 0.1713*10^-8*E38*(((M33+460)^4-(M34+460)^4))),0)</f>
        <v>0</v>
      </c>
      <c r="N38" s="1546" t="s">
        <v>1177</v>
      </c>
    </row>
    <row r="39" spans="1:17" ht="20.100000000000001" customHeight="1">
      <c r="B39" s="946" t="s">
        <v>1248</v>
      </c>
      <c r="C39" s="942" t="s">
        <v>1174</v>
      </c>
      <c r="D39" s="951">
        <v>0</v>
      </c>
      <c r="E39" s="952">
        <v>0</v>
      </c>
      <c r="F39" s="2585"/>
      <c r="I39" s="1556"/>
      <c r="J39" s="1523"/>
      <c r="L39" s="1545">
        <f>L38*D39*D40</f>
        <v>0</v>
      </c>
      <c r="M39" s="1545">
        <f>M38*E39*E40</f>
        <v>0</v>
      </c>
      <c r="N39" s="1546" t="s">
        <v>1173</v>
      </c>
    </row>
    <row r="40" spans="1:17" ht="20.100000000000001" customHeight="1" thickBot="1">
      <c r="B40" s="970" t="s">
        <v>1249</v>
      </c>
      <c r="C40" s="1055"/>
      <c r="D40" s="2140">
        <v>1</v>
      </c>
      <c r="E40" s="2141">
        <v>1</v>
      </c>
      <c r="F40" s="2586" t="str">
        <f>IF(OR(D33&lt;=D34,E33&lt;=E34),"Surface temperature lower than ambient temperature"," ")</f>
        <v>Surface temperature lower than ambient temperature</v>
      </c>
      <c r="I40" s="1556"/>
      <c r="J40" s="1523"/>
      <c r="L40" s="1545">
        <f>L39</f>
        <v>0</v>
      </c>
      <c r="M40" s="1545">
        <f>M39</f>
        <v>0</v>
      </c>
      <c r="N40" s="1546" t="s">
        <v>1173</v>
      </c>
      <c r="O40" s="1525">
        <f>IF($C$5&gt;2,1,0)</f>
        <v>1</v>
      </c>
      <c r="P40" s="1525" t="s">
        <v>3</v>
      </c>
    </row>
    <row r="41" spans="1:17" ht="20.100000000000001" customHeight="1" thickBot="1">
      <c r="B41" s="973" t="s">
        <v>1469</v>
      </c>
      <c r="C41" s="1368" t="s">
        <v>1470</v>
      </c>
      <c r="D41" s="2160">
        <f>L40</f>
        <v>0</v>
      </c>
      <c r="E41" s="2161">
        <f>M40</f>
        <v>0</v>
      </c>
      <c r="F41" s="2586"/>
      <c r="I41" s="1556"/>
      <c r="J41" s="1523"/>
      <c r="L41" s="1554"/>
      <c r="M41" s="1554"/>
      <c r="N41" s="1535"/>
    </row>
    <row r="42" spans="1:17" s="1302" customFormat="1" ht="20.100000000000001" customHeight="1" thickBot="1">
      <c r="A42" s="2042"/>
      <c r="B42" s="1429"/>
      <c r="C42" s="1428"/>
      <c r="D42" s="1430"/>
      <c r="E42" s="1430"/>
      <c r="F42" s="2043"/>
      <c r="G42" s="2043"/>
      <c r="H42" s="2042"/>
      <c r="I42" s="2052"/>
      <c r="K42" s="1801"/>
      <c r="L42" s="2047"/>
      <c r="M42" s="1801"/>
      <c r="N42" s="1801"/>
      <c r="O42" s="1801"/>
      <c r="P42" s="1801"/>
      <c r="Q42" s="1801"/>
    </row>
    <row r="43" spans="1:17" ht="20.100000000000001" customHeight="1">
      <c r="B43" s="968" t="s">
        <v>1251</v>
      </c>
      <c r="C43" s="2566" t="s">
        <v>639</v>
      </c>
      <c r="D43" s="2566"/>
      <c r="E43" s="2567"/>
    </row>
    <row r="44" spans="1:17" ht="20.100000000000001" customHeight="1">
      <c r="B44" s="2503"/>
      <c r="C44" s="2504"/>
      <c r="D44" s="959" t="s">
        <v>1114</v>
      </c>
      <c r="E44" s="962" t="s">
        <v>1119</v>
      </c>
    </row>
    <row r="45" spans="1:17" ht="20.100000000000001" customHeight="1">
      <c r="B45" s="945" t="s">
        <v>1246</v>
      </c>
      <c r="C45" s="941" t="s">
        <v>1175</v>
      </c>
      <c r="D45" s="2138"/>
      <c r="E45" s="2139"/>
      <c r="L45" s="1545">
        <f t="shared" ref="L45:M49" si="3">D45</f>
        <v>0</v>
      </c>
      <c r="M45" s="1545">
        <f t="shared" si="3"/>
        <v>0</v>
      </c>
      <c r="N45" s="1546" t="s">
        <v>1176</v>
      </c>
    </row>
    <row r="46" spans="1:17" ht="20.100000000000001" customHeight="1">
      <c r="B46" s="946" t="s">
        <v>1247</v>
      </c>
      <c r="C46" s="941" t="s">
        <v>1175</v>
      </c>
      <c r="D46" s="2131"/>
      <c r="E46" s="2132"/>
      <c r="L46" s="1545">
        <f t="shared" si="3"/>
        <v>0</v>
      </c>
      <c r="M46" s="1545">
        <f t="shared" si="3"/>
        <v>0</v>
      </c>
      <c r="N46" s="1546" t="s">
        <v>1176</v>
      </c>
    </row>
    <row r="47" spans="1:17" ht="20.100000000000001" customHeight="1">
      <c r="B47" s="946" t="s">
        <v>1422</v>
      </c>
      <c r="C47" s="941" t="s">
        <v>1423</v>
      </c>
      <c r="D47" s="947"/>
      <c r="E47" s="948"/>
      <c r="L47" s="1545">
        <f t="shared" si="3"/>
        <v>0</v>
      </c>
      <c r="M47" s="1545">
        <f t="shared" si="3"/>
        <v>0</v>
      </c>
      <c r="N47" s="1546" t="s">
        <v>1433</v>
      </c>
    </row>
    <row r="48" spans="1:17" ht="43.5" customHeight="1">
      <c r="B48" s="946" t="s">
        <v>1467</v>
      </c>
      <c r="C48" s="941"/>
      <c r="D48" s="957" t="s">
        <v>1431</v>
      </c>
      <c r="E48" s="958" t="s">
        <v>1431</v>
      </c>
      <c r="L48" s="1545"/>
      <c r="M48" s="1545"/>
      <c r="N48" s="1546"/>
    </row>
    <row r="49" spans="1:17" ht="20.100000000000001" customHeight="1">
      <c r="B49" s="946" t="s">
        <v>1468</v>
      </c>
      <c r="C49" s="941"/>
      <c r="D49" s="1547">
        <f>INDEX($G$8:$G$14,MATCH(D48,$H$8:$H$14,0))</f>
        <v>0.89</v>
      </c>
      <c r="E49" s="1548">
        <f>INDEX($G$8:$G$14,MATCH(E48,$H$8:$H$14,0))</f>
        <v>0.89</v>
      </c>
      <c r="L49" s="1545">
        <f t="shared" si="3"/>
        <v>0.89</v>
      </c>
      <c r="M49" s="1545">
        <f t="shared" si="3"/>
        <v>0.89</v>
      </c>
      <c r="N49" s="1546"/>
    </row>
    <row r="50" spans="1:17" ht="20.100000000000001" customHeight="1">
      <c r="B50" s="946" t="s">
        <v>1645</v>
      </c>
      <c r="C50" s="942"/>
      <c r="D50" s="949"/>
      <c r="E50" s="950"/>
      <c r="F50" s="2585" t="str">
        <f>IF(OR(D50&gt;1,E50&gt;1),"Surface emmissivity cannot be greater than 1","")</f>
        <v/>
      </c>
      <c r="L50" s="1545">
        <f>IF(L45&gt;L46,((L49*(1/24)^0.2*(1/((L46+L45)/2)^0.181*(L45-L46)^0.266*(1+1.277*L47)^0.5)*(L45-L46)) + 0.1713*10^-8*D50*(((L45+460)^4-(L46+460)^4))),0)</f>
        <v>0</v>
      </c>
      <c r="M50" s="1545">
        <f>IF(M45&gt;M46,((M49*(1/24)^0.2*(1/((M46+M45)/2)^0.181*(M45-M46)^0.266*(1+1.277*M47)^0.5)*(M45-M46)) + 0.1713*10^-8*E50*(((M45+460)^4-(M46+460)^4))),0)</f>
        <v>0</v>
      </c>
      <c r="N50" s="1546" t="s">
        <v>1177</v>
      </c>
    </row>
    <row r="51" spans="1:17" ht="20.100000000000001" customHeight="1">
      <c r="B51" s="946" t="s">
        <v>1248</v>
      </c>
      <c r="C51" s="942" t="s">
        <v>1174</v>
      </c>
      <c r="D51" s="951">
        <v>0</v>
      </c>
      <c r="E51" s="952">
        <v>0</v>
      </c>
      <c r="F51" s="2585"/>
      <c r="L51" s="1545">
        <f>L50*D51*D52</f>
        <v>0</v>
      </c>
      <c r="M51" s="1545">
        <f>M50*E51*E52</f>
        <v>0</v>
      </c>
      <c r="N51" s="1546" t="s">
        <v>1173</v>
      </c>
    </row>
    <row r="52" spans="1:17" ht="20.100000000000001" customHeight="1" thickBot="1">
      <c r="B52" s="970" t="s">
        <v>1249</v>
      </c>
      <c r="C52" s="1055"/>
      <c r="D52" s="2140">
        <v>1</v>
      </c>
      <c r="E52" s="2141">
        <v>1</v>
      </c>
      <c r="F52" s="2586" t="str">
        <f>IF(OR(D53&lt;=0,E53&lt;=0),"Surface temperature lower than ambient temperature"," ")</f>
        <v>Surface temperature lower than ambient temperature</v>
      </c>
      <c r="L52" s="1545">
        <f>L51</f>
        <v>0</v>
      </c>
      <c r="M52" s="1545">
        <f>M51</f>
        <v>0</v>
      </c>
      <c r="N52" s="1546" t="s">
        <v>1173</v>
      </c>
      <c r="O52" s="1525">
        <f>IF($C$5&gt;3,1,0)</f>
        <v>1</v>
      </c>
      <c r="P52" s="1525" t="s">
        <v>3</v>
      </c>
    </row>
    <row r="53" spans="1:17" ht="20.100000000000001" customHeight="1" thickBot="1">
      <c r="B53" s="971" t="s">
        <v>1469</v>
      </c>
      <c r="C53" s="1553" t="s">
        <v>1470</v>
      </c>
      <c r="D53" s="2160">
        <f>L52</f>
        <v>0</v>
      </c>
      <c r="E53" s="2161">
        <f>M52</f>
        <v>0</v>
      </c>
      <c r="F53" s="2586"/>
      <c r="L53" s="1554"/>
      <c r="M53" s="1554"/>
      <c r="N53" s="1535"/>
    </row>
    <row r="54" spans="1:17" s="1302" customFormat="1" ht="20.100000000000001" customHeight="1" thickBot="1">
      <c r="A54" s="2042"/>
      <c r="B54" s="1429"/>
      <c r="C54" s="1428"/>
      <c r="D54" s="1430"/>
      <c r="E54" s="1430"/>
      <c r="F54" s="2043"/>
      <c r="G54" s="2043"/>
      <c r="H54" s="2042"/>
      <c r="I54" s="2043"/>
      <c r="K54" s="1801"/>
      <c r="L54" s="2047"/>
      <c r="M54" s="1801"/>
      <c r="N54" s="1801"/>
      <c r="O54" s="1801"/>
      <c r="P54" s="1801"/>
      <c r="Q54" s="1801"/>
    </row>
    <row r="55" spans="1:17" ht="20.100000000000001" customHeight="1">
      <c r="B55" s="968" t="s">
        <v>1251</v>
      </c>
      <c r="C55" s="2568"/>
      <c r="D55" s="2568"/>
      <c r="E55" s="2569"/>
    </row>
    <row r="56" spans="1:17" ht="20.100000000000001" customHeight="1">
      <c r="B56" s="2503"/>
      <c r="C56" s="2504"/>
      <c r="D56" s="959" t="s">
        <v>1114</v>
      </c>
      <c r="E56" s="962" t="s">
        <v>1119</v>
      </c>
    </row>
    <row r="57" spans="1:17" ht="20.100000000000001" customHeight="1">
      <c r="B57" s="945" t="s">
        <v>1246</v>
      </c>
      <c r="C57" s="941" t="s">
        <v>1175</v>
      </c>
      <c r="D57" s="2138"/>
      <c r="E57" s="2139"/>
      <c r="L57" s="1545">
        <f t="shared" ref="L57:M61" si="4">D57</f>
        <v>0</v>
      </c>
      <c r="M57" s="1545">
        <f t="shared" si="4"/>
        <v>0</v>
      </c>
      <c r="N57" s="1546" t="s">
        <v>1176</v>
      </c>
    </row>
    <row r="58" spans="1:17" ht="20.100000000000001" customHeight="1">
      <c r="B58" s="946" t="s">
        <v>1247</v>
      </c>
      <c r="C58" s="941" t="s">
        <v>1175</v>
      </c>
      <c r="D58" s="2131"/>
      <c r="E58" s="2132"/>
      <c r="L58" s="1545">
        <f t="shared" si="4"/>
        <v>0</v>
      </c>
      <c r="M58" s="1545">
        <f t="shared" si="4"/>
        <v>0</v>
      </c>
      <c r="N58" s="1546" t="s">
        <v>1176</v>
      </c>
    </row>
    <row r="59" spans="1:17" ht="20.100000000000001" customHeight="1">
      <c r="B59" s="946" t="s">
        <v>1422</v>
      </c>
      <c r="C59" s="941" t="s">
        <v>1423</v>
      </c>
      <c r="D59" s="947"/>
      <c r="E59" s="948"/>
      <c r="L59" s="1545">
        <f t="shared" si="4"/>
        <v>0</v>
      </c>
      <c r="M59" s="1545">
        <f t="shared" si="4"/>
        <v>0</v>
      </c>
      <c r="N59" s="1546" t="s">
        <v>1433</v>
      </c>
    </row>
    <row r="60" spans="1:17" ht="43.5" customHeight="1">
      <c r="B60" s="946" t="s">
        <v>1467</v>
      </c>
      <c r="C60" s="941"/>
      <c r="D60" s="957" t="s">
        <v>1432</v>
      </c>
      <c r="E60" s="958" t="s">
        <v>1432</v>
      </c>
      <c r="L60" s="1545"/>
      <c r="M60" s="1545"/>
      <c r="N60" s="1546"/>
    </row>
    <row r="61" spans="1:17" ht="20.100000000000001" customHeight="1">
      <c r="B61" s="946" t="s">
        <v>1468</v>
      </c>
      <c r="C61" s="941"/>
      <c r="D61" s="1547">
        <f>INDEX($G$8:$G$14,MATCH(D60,$H$8:$H$14,0))</f>
        <v>1.79</v>
      </c>
      <c r="E61" s="1548">
        <f>INDEX($G$8:$G$14,MATCH(E60,$H$8:$H$14,0))</f>
        <v>1.79</v>
      </c>
      <c r="L61" s="1545">
        <f t="shared" si="4"/>
        <v>1.79</v>
      </c>
      <c r="M61" s="1545">
        <f t="shared" si="4"/>
        <v>1.79</v>
      </c>
      <c r="N61" s="1546"/>
    </row>
    <row r="62" spans="1:17" ht="20.100000000000001" customHeight="1">
      <c r="B62" s="946" t="s">
        <v>1645</v>
      </c>
      <c r="C62" s="942"/>
      <c r="D62" s="949"/>
      <c r="E62" s="950"/>
      <c r="F62" s="2585" t="str">
        <f>IF(OR(D62&gt;1,E62&gt;1),"Surface emmissivity cannot be greater than 1","")</f>
        <v/>
      </c>
      <c r="L62" s="1545">
        <f>IF(L57&gt;L58,((L61*(1/24)^0.2*(1/((L58+L57)/2)^0.181*(L57-L58)^0.266*(1+1.277*L59)^0.5)*(L57-L58)) + 0.1713*10^-8*D62*(((L57+460)^4-(L58+460)^4))),0)</f>
        <v>0</v>
      </c>
      <c r="M62" s="1545">
        <f>IF(M57&gt;M58,((M61*(1/24)^0.2*(1/((M58+M57)/2)^0.181*(M57-M58)^0.266*(1+1.277*M59)^0.5)*(M57-M58)) + 0.1713*10^-8*E62*(((M57+460)^4-(M58+460)^4))),0)</f>
        <v>0</v>
      </c>
      <c r="N62" s="1546" t="s">
        <v>1177</v>
      </c>
    </row>
    <row r="63" spans="1:17" ht="20.100000000000001" customHeight="1">
      <c r="B63" s="946" t="s">
        <v>1248</v>
      </c>
      <c r="C63" s="942" t="s">
        <v>1174</v>
      </c>
      <c r="D63" s="951">
        <v>0</v>
      </c>
      <c r="E63" s="952">
        <v>0</v>
      </c>
      <c r="F63" s="2585"/>
      <c r="L63" s="1545">
        <f>L62*D63*D64</f>
        <v>0</v>
      </c>
      <c r="M63" s="1545">
        <f>M62*E63*E64</f>
        <v>0</v>
      </c>
      <c r="N63" s="1546" t="s">
        <v>1173</v>
      </c>
    </row>
    <row r="64" spans="1:17" ht="20.100000000000001" customHeight="1" thickBot="1">
      <c r="B64" s="970" t="s">
        <v>1249</v>
      </c>
      <c r="C64" s="1055"/>
      <c r="D64" s="2140">
        <v>1</v>
      </c>
      <c r="E64" s="2141">
        <v>1</v>
      </c>
      <c r="F64" s="2586" t="str">
        <f>IF(OR(D57&lt;=D58,E57&lt;=E58),"Surface temperature lower than ambient temperature"," ")</f>
        <v>Surface temperature lower than ambient temperature</v>
      </c>
      <c r="L64" s="1545">
        <f>L63</f>
        <v>0</v>
      </c>
      <c r="M64" s="1545">
        <f>M63</f>
        <v>0</v>
      </c>
      <c r="N64" s="1546" t="s">
        <v>1173</v>
      </c>
      <c r="O64" s="1525">
        <f>IF($C$5&gt;4,1,0)</f>
        <v>1</v>
      </c>
      <c r="P64" s="1525" t="s">
        <v>3</v>
      </c>
    </row>
    <row r="65" spans="1:17" ht="20.100000000000001" customHeight="1" thickBot="1">
      <c r="B65" s="971" t="s">
        <v>1469</v>
      </c>
      <c r="C65" s="1553" t="s">
        <v>1470</v>
      </c>
      <c r="D65" s="2160">
        <f>L64</f>
        <v>0</v>
      </c>
      <c r="E65" s="2161">
        <f>M64</f>
        <v>0</v>
      </c>
      <c r="F65" s="2586"/>
      <c r="L65" s="1554"/>
      <c r="M65" s="1554"/>
      <c r="N65" s="1535"/>
    </row>
    <row r="66" spans="1:17" s="1302" customFormat="1" ht="20.100000000000001" customHeight="1" thickBot="1">
      <c r="A66" s="2042"/>
      <c r="B66" s="1429"/>
      <c r="C66" s="1428"/>
      <c r="D66" s="1430"/>
      <c r="E66" s="1430"/>
      <c r="F66" s="2043"/>
      <c r="G66" s="2043"/>
      <c r="H66" s="2042"/>
      <c r="I66" s="2043"/>
      <c r="K66" s="1801"/>
      <c r="L66" s="2047"/>
      <c r="M66" s="1801"/>
      <c r="N66" s="1801"/>
      <c r="O66" s="1801"/>
      <c r="P66" s="1801"/>
      <c r="Q66" s="1801"/>
    </row>
    <row r="67" spans="1:17" ht="20.100000000000001" customHeight="1">
      <c r="B67" s="968" t="s">
        <v>1251</v>
      </c>
      <c r="C67" s="2568"/>
      <c r="D67" s="2568"/>
      <c r="E67" s="2569"/>
    </row>
    <row r="68" spans="1:17" ht="20.100000000000001" customHeight="1">
      <c r="B68" s="2503"/>
      <c r="C68" s="2504"/>
      <c r="D68" s="959" t="s">
        <v>1114</v>
      </c>
      <c r="E68" s="962" t="s">
        <v>1119</v>
      </c>
    </row>
    <row r="69" spans="1:17" ht="20.100000000000001" customHeight="1">
      <c r="B69" s="945" t="s">
        <v>1246</v>
      </c>
      <c r="C69" s="941" t="s">
        <v>1175</v>
      </c>
      <c r="D69" s="2138"/>
      <c r="E69" s="2139"/>
      <c r="L69" s="1545">
        <f t="shared" ref="L69:M73" si="5">D69</f>
        <v>0</v>
      </c>
      <c r="M69" s="1545">
        <f t="shared" si="5"/>
        <v>0</v>
      </c>
      <c r="N69" s="1546" t="s">
        <v>1176</v>
      </c>
    </row>
    <row r="70" spans="1:17" ht="20.100000000000001" customHeight="1">
      <c r="B70" s="946" t="s">
        <v>1247</v>
      </c>
      <c r="C70" s="941" t="s">
        <v>1175</v>
      </c>
      <c r="D70" s="2131"/>
      <c r="E70" s="2132"/>
      <c r="L70" s="1545">
        <f t="shared" si="5"/>
        <v>0</v>
      </c>
      <c r="M70" s="1545">
        <f t="shared" si="5"/>
        <v>0</v>
      </c>
      <c r="N70" s="1546" t="s">
        <v>1176</v>
      </c>
    </row>
    <row r="71" spans="1:17" ht="20.100000000000001" customHeight="1">
      <c r="B71" s="946" t="s">
        <v>1422</v>
      </c>
      <c r="C71" s="941" t="s">
        <v>1423</v>
      </c>
      <c r="D71" s="947"/>
      <c r="E71" s="948"/>
      <c r="L71" s="1545">
        <f t="shared" si="5"/>
        <v>0</v>
      </c>
      <c r="M71" s="1545">
        <f t="shared" si="5"/>
        <v>0</v>
      </c>
      <c r="N71" s="1546" t="s">
        <v>1433</v>
      </c>
    </row>
    <row r="72" spans="1:17" ht="43.5" customHeight="1">
      <c r="B72" s="946" t="s">
        <v>1467</v>
      </c>
      <c r="C72" s="941"/>
      <c r="D72" s="957" t="s">
        <v>1426</v>
      </c>
      <c r="E72" s="958" t="s">
        <v>1426</v>
      </c>
      <c r="L72" s="1545"/>
      <c r="M72" s="1545"/>
      <c r="N72" s="1546"/>
    </row>
    <row r="73" spans="1:17" ht="20.100000000000001" customHeight="1">
      <c r="B73" s="946" t="s">
        <v>1468</v>
      </c>
      <c r="C73" s="941"/>
      <c r="D73" s="1547">
        <f>INDEX($G$8:$G$14,MATCH(D72,$H$8:$H$14,0))</f>
        <v>1.016</v>
      </c>
      <c r="E73" s="1548">
        <f>INDEX($G$8:$G$14,MATCH(E72,$H$8:$H$14,0))</f>
        <v>1.016</v>
      </c>
      <c r="L73" s="1545">
        <f t="shared" si="5"/>
        <v>1.016</v>
      </c>
      <c r="M73" s="1545">
        <f t="shared" si="5"/>
        <v>1.016</v>
      </c>
      <c r="N73" s="1546"/>
    </row>
    <row r="74" spans="1:17" ht="20.100000000000001" customHeight="1">
      <c r="B74" s="946" t="s">
        <v>1645</v>
      </c>
      <c r="C74" s="942"/>
      <c r="D74" s="949"/>
      <c r="E74" s="950"/>
      <c r="F74" s="2585" t="str">
        <f>IF(OR(D74&gt;1,E74&gt;1),"Surface emmissivity cannot be greater than 1","")</f>
        <v/>
      </c>
      <c r="L74" s="1545">
        <f>IF(L69&gt;L70,((L73*(1/24)^0.2*(1/((L70+L69)/2)^0.181*(L69-L70)^0.266*(1+1.277*L71)^0.5)*(L69-L70)) + 0.1713*10^-8*D74*(((L69+460)^4-(L70+460)^4))),0)</f>
        <v>0</v>
      </c>
      <c r="M74" s="1545">
        <f>IF(M69&gt;M70,((M73*(1/24)^0.2*(1/((M70+M69)/2)^0.181*(M69-M70)^0.266*(1+1.277*M71)^0.5)*(M69-M70)) + 0.1713*10^-8*E74*(((M69+460)^4-(M70+460)^4))),0)</f>
        <v>0</v>
      </c>
      <c r="N74" s="1546" t="s">
        <v>1177</v>
      </c>
    </row>
    <row r="75" spans="1:17" ht="20.100000000000001" customHeight="1">
      <c r="B75" s="946" t="s">
        <v>1248</v>
      </c>
      <c r="C75" s="942" t="s">
        <v>1174</v>
      </c>
      <c r="D75" s="951">
        <v>0</v>
      </c>
      <c r="E75" s="952">
        <v>0</v>
      </c>
      <c r="F75" s="2585"/>
      <c r="L75" s="1545">
        <f>L74*D75*D76</f>
        <v>0</v>
      </c>
      <c r="M75" s="1545">
        <f>M74*E75*E76</f>
        <v>0</v>
      </c>
      <c r="N75" s="1546" t="s">
        <v>1173</v>
      </c>
    </row>
    <row r="76" spans="1:17" ht="20.100000000000001" customHeight="1" thickBot="1">
      <c r="B76" s="970" t="s">
        <v>1249</v>
      </c>
      <c r="C76" s="1055"/>
      <c r="D76" s="2140">
        <v>1</v>
      </c>
      <c r="E76" s="2141">
        <v>1</v>
      </c>
      <c r="F76" s="2586" t="str">
        <f>IF(OR(D69&lt;=D70,E69&lt;=E70),"Surface temperature lower than ambient temperature"," ")</f>
        <v>Surface temperature lower than ambient temperature</v>
      </c>
      <c r="L76" s="1545">
        <f>L75</f>
        <v>0</v>
      </c>
      <c r="M76" s="1545">
        <f>M75</f>
        <v>0</v>
      </c>
      <c r="N76" s="1546" t="s">
        <v>1173</v>
      </c>
      <c r="O76" s="1525">
        <f>IF($C$5&gt;5,1,0)</f>
        <v>1</v>
      </c>
      <c r="P76" s="1525" t="s">
        <v>3</v>
      </c>
    </row>
    <row r="77" spans="1:17" ht="20.100000000000001" customHeight="1" thickBot="1">
      <c r="B77" s="971" t="s">
        <v>1469</v>
      </c>
      <c r="C77" s="1553" t="s">
        <v>1470</v>
      </c>
      <c r="D77" s="2160">
        <f>L76</f>
        <v>0</v>
      </c>
      <c r="E77" s="2161">
        <f>M76</f>
        <v>0</v>
      </c>
      <c r="F77" s="2586"/>
      <c r="L77" s="1554"/>
      <c r="M77" s="1554"/>
      <c r="N77" s="1535"/>
    </row>
    <row r="78" spans="1:17" s="1302" customFormat="1" ht="20.100000000000001" customHeight="1" thickBot="1">
      <c r="A78" s="2042"/>
      <c r="B78" s="1429"/>
      <c r="C78" s="1428"/>
      <c r="D78" s="1430"/>
      <c r="E78" s="1430"/>
      <c r="F78" s="2043"/>
      <c r="G78" s="2043"/>
      <c r="H78" s="2042"/>
      <c r="I78" s="2042"/>
      <c r="K78" s="1801"/>
      <c r="L78" s="2047"/>
      <c r="M78" s="1801"/>
      <c r="N78" s="1801"/>
      <c r="O78" s="1801"/>
      <c r="P78" s="1801"/>
      <c r="Q78" s="1801"/>
    </row>
    <row r="79" spans="1:17" ht="20.100000000000001" customHeight="1">
      <c r="B79" s="968" t="s">
        <v>1251</v>
      </c>
      <c r="C79" s="2568"/>
      <c r="D79" s="2568"/>
      <c r="E79" s="2569"/>
      <c r="I79" s="1522"/>
    </row>
    <row r="80" spans="1:17" ht="20.100000000000001" customHeight="1">
      <c r="B80" s="2503"/>
      <c r="C80" s="2504"/>
      <c r="D80" s="959" t="s">
        <v>1114</v>
      </c>
      <c r="E80" s="962" t="s">
        <v>1119</v>
      </c>
      <c r="I80" s="1522"/>
    </row>
    <row r="81" spans="1:17" ht="20.100000000000001" customHeight="1">
      <c r="B81" s="945" t="s">
        <v>1246</v>
      </c>
      <c r="C81" s="941" t="s">
        <v>1175</v>
      </c>
      <c r="D81" s="2138"/>
      <c r="E81" s="2139"/>
      <c r="I81" s="1522"/>
      <c r="L81" s="1545">
        <f t="shared" ref="L81:M85" si="6">D81</f>
        <v>0</v>
      </c>
      <c r="M81" s="1545">
        <f t="shared" si="6"/>
        <v>0</v>
      </c>
      <c r="N81" s="1546" t="s">
        <v>1176</v>
      </c>
    </row>
    <row r="82" spans="1:17" ht="20.100000000000001" customHeight="1">
      <c r="B82" s="946" t="s">
        <v>1247</v>
      </c>
      <c r="C82" s="941" t="s">
        <v>1175</v>
      </c>
      <c r="D82" s="2131"/>
      <c r="E82" s="2132"/>
      <c r="I82" s="1522"/>
      <c r="L82" s="1545">
        <f t="shared" si="6"/>
        <v>0</v>
      </c>
      <c r="M82" s="1545">
        <f t="shared" si="6"/>
        <v>0</v>
      </c>
      <c r="N82" s="1546" t="s">
        <v>1176</v>
      </c>
    </row>
    <row r="83" spans="1:17" ht="20.100000000000001" customHeight="1">
      <c r="B83" s="946" t="s">
        <v>1422</v>
      </c>
      <c r="C83" s="941" t="s">
        <v>1423</v>
      </c>
      <c r="D83" s="947"/>
      <c r="E83" s="948"/>
      <c r="I83" s="1522"/>
      <c r="L83" s="1545">
        <f t="shared" si="6"/>
        <v>0</v>
      </c>
      <c r="M83" s="1545">
        <f t="shared" si="6"/>
        <v>0</v>
      </c>
      <c r="N83" s="1546" t="s">
        <v>1433</v>
      </c>
    </row>
    <row r="84" spans="1:17" ht="43.5" customHeight="1">
      <c r="B84" s="946" t="s">
        <v>1467</v>
      </c>
      <c r="C84" s="941"/>
      <c r="D84" s="957" t="s">
        <v>1427</v>
      </c>
      <c r="E84" s="958" t="s">
        <v>1427</v>
      </c>
      <c r="I84" s="1522"/>
      <c r="L84" s="1545"/>
      <c r="M84" s="1545"/>
      <c r="N84" s="1546"/>
    </row>
    <row r="85" spans="1:17" ht="20.100000000000001" customHeight="1">
      <c r="B85" s="946" t="s">
        <v>1468</v>
      </c>
      <c r="C85" s="941"/>
      <c r="D85" s="1547">
        <f>INDEX($G$8:$G$14,MATCH(D84,$H$8:$H$14,0))</f>
        <v>1.2350000000000001</v>
      </c>
      <c r="E85" s="1548">
        <f>INDEX($G$8:$G$14,MATCH(E84,$H$8:$H$14,0))</f>
        <v>1.2350000000000001</v>
      </c>
      <c r="I85" s="1522"/>
      <c r="L85" s="1545">
        <f t="shared" si="6"/>
        <v>1.2350000000000001</v>
      </c>
      <c r="M85" s="1545">
        <f t="shared" si="6"/>
        <v>1.2350000000000001</v>
      </c>
      <c r="N85" s="1546"/>
    </row>
    <row r="86" spans="1:17" ht="20.100000000000001" customHeight="1">
      <c r="B86" s="946" t="s">
        <v>1645</v>
      </c>
      <c r="C86" s="942"/>
      <c r="D86" s="949"/>
      <c r="E86" s="950"/>
      <c r="F86" s="2585" t="str">
        <f>IF(OR(D86&gt;1,E86&gt;1),"Surface emmissivity cannot be greater than 1","")</f>
        <v/>
      </c>
      <c r="I86" s="1522"/>
      <c r="L86" s="1545">
        <f>IF(L81&gt;L82,((L85*(1/24)^0.2*(1/((L82+L81)/2)^0.181*(L81-L82)^0.266*(1+1.277*L83)^0.5)*(L81-L82)) + 0.1713*10^-8*D86*(((L81+460)^4-(L82+460)^4))),0)</f>
        <v>0</v>
      </c>
      <c r="M86" s="1545">
        <f>IF(M81&gt;M82,((M85*(1/24)^0.2*(1/((M82+M81)/2)^0.181*(M81-M82)^0.266*(1+1.277*M83)^0.5)*(M81-M82)) + 0.1713*10^-8*E86*(((M81+460)^4-(M82+460)^4))),0)</f>
        <v>0</v>
      </c>
      <c r="N86" s="1546" t="s">
        <v>1177</v>
      </c>
    </row>
    <row r="87" spans="1:17" ht="20.100000000000001" customHeight="1">
      <c r="B87" s="946" t="s">
        <v>1248</v>
      </c>
      <c r="C87" s="942" t="s">
        <v>1174</v>
      </c>
      <c r="D87" s="951">
        <v>0</v>
      </c>
      <c r="E87" s="952">
        <v>0</v>
      </c>
      <c r="F87" s="2585"/>
      <c r="I87" s="1522"/>
      <c r="L87" s="1545">
        <f>L86*D87*D88</f>
        <v>0</v>
      </c>
      <c r="M87" s="1545">
        <f>M86*E87*E88</f>
        <v>0</v>
      </c>
      <c r="N87" s="1546" t="s">
        <v>1173</v>
      </c>
    </row>
    <row r="88" spans="1:17" ht="20.100000000000001" customHeight="1" thickBot="1">
      <c r="B88" s="970" t="s">
        <v>1249</v>
      </c>
      <c r="C88" s="1055"/>
      <c r="D88" s="2140">
        <v>1</v>
      </c>
      <c r="E88" s="2141">
        <v>1</v>
      </c>
      <c r="F88" s="2586" t="str">
        <f>IF(OR(D81&lt;=D82,E81&lt;=E82),"Surface temperature lower than ambient temperature"," ")</f>
        <v>Surface temperature lower than ambient temperature</v>
      </c>
      <c r="I88" s="1522"/>
      <c r="L88" s="1545">
        <f>L87</f>
        <v>0</v>
      </c>
      <c r="M88" s="1545">
        <f>M87</f>
        <v>0</v>
      </c>
      <c r="N88" s="1546" t="s">
        <v>1173</v>
      </c>
      <c r="O88" s="1525">
        <f>IF($C$5&gt;6,1,0)</f>
        <v>1</v>
      </c>
      <c r="P88" s="1525" t="s">
        <v>3</v>
      </c>
    </row>
    <row r="89" spans="1:17" ht="20.100000000000001" customHeight="1" thickBot="1">
      <c r="B89" s="971" t="s">
        <v>1469</v>
      </c>
      <c r="C89" s="1553" t="s">
        <v>1470</v>
      </c>
      <c r="D89" s="2160">
        <f>L88</f>
        <v>0</v>
      </c>
      <c r="E89" s="2161">
        <f>M88</f>
        <v>0</v>
      </c>
      <c r="F89" s="2586"/>
      <c r="I89" s="1522"/>
      <c r="L89" s="1554"/>
      <c r="M89" s="1554"/>
      <c r="N89" s="1535"/>
    </row>
    <row r="90" spans="1:17" s="1302" customFormat="1" ht="20.100000000000001" customHeight="1" thickBot="1">
      <c r="A90" s="2042"/>
      <c r="B90" s="1429"/>
      <c r="C90" s="1428"/>
      <c r="D90" s="2187">
        <v>1</v>
      </c>
      <c r="E90" s="2187">
        <v>1</v>
      </c>
      <c r="F90" s="2043"/>
      <c r="G90" s="2043"/>
      <c r="H90" s="2042"/>
      <c r="I90" s="2042"/>
      <c r="K90" s="1801"/>
      <c r="L90" s="2047"/>
      <c r="M90" s="1801"/>
      <c r="N90" s="1801"/>
      <c r="O90" s="1801"/>
      <c r="P90" s="1801"/>
      <c r="Q90" s="1801"/>
    </row>
    <row r="91" spans="1:17" ht="20.100000000000001" customHeight="1">
      <c r="B91" s="968" t="s">
        <v>1251</v>
      </c>
      <c r="C91" s="2568"/>
      <c r="D91" s="2568"/>
      <c r="E91" s="2569"/>
      <c r="I91" s="1522"/>
    </row>
    <row r="92" spans="1:17" ht="20.100000000000001" customHeight="1">
      <c r="B92" s="2503"/>
      <c r="C92" s="2504"/>
      <c r="D92" s="959" t="s">
        <v>1114</v>
      </c>
      <c r="E92" s="962" t="s">
        <v>1119</v>
      </c>
      <c r="I92" s="1522"/>
    </row>
    <row r="93" spans="1:17" ht="20.100000000000001" customHeight="1">
      <c r="B93" s="945" t="s">
        <v>1246</v>
      </c>
      <c r="C93" s="941" t="s">
        <v>1175</v>
      </c>
      <c r="D93" s="2138"/>
      <c r="E93" s="2139"/>
      <c r="I93" s="1522"/>
      <c r="L93" s="1545">
        <f t="shared" ref="L93:M97" si="7">D93</f>
        <v>0</v>
      </c>
      <c r="M93" s="1545">
        <f t="shared" si="7"/>
        <v>0</v>
      </c>
      <c r="N93" s="1546" t="s">
        <v>1176</v>
      </c>
    </row>
    <row r="94" spans="1:17" ht="20.100000000000001" customHeight="1">
      <c r="B94" s="946" t="s">
        <v>1247</v>
      </c>
      <c r="C94" s="941" t="s">
        <v>1175</v>
      </c>
      <c r="D94" s="2131"/>
      <c r="E94" s="2132"/>
      <c r="I94" s="1522"/>
      <c r="L94" s="1545">
        <f t="shared" si="7"/>
        <v>0</v>
      </c>
      <c r="M94" s="1545">
        <f t="shared" si="7"/>
        <v>0</v>
      </c>
      <c r="N94" s="1546" t="s">
        <v>1176</v>
      </c>
    </row>
    <row r="95" spans="1:17" ht="20.100000000000001" customHeight="1">
      <c r="B95" s="946" t="s">
        <v>1422</v>
      </c>
      <c r="C95" s="941" t="s">
        <v>1423</v>
      </c>
      <c r="D95" s="947"/>
      <c r="E95" s="948"/>
      <c r="I95" s="1522"/>
      <c r="L95" s="1545">
        <f t="shared" si="7"/>
        <v>0</v>
      </c>
      <c r="M95" s="1545">
        <f t="shared" si="7"/>
        <v>0</v>
      </c>
      <c r="N95" s="1546" t="s">
        <v>1433</v>
      </c>
    </row>
    <row r="96" spans="1:17" ht="43.5" customHeight="1">
      <c r="B96" s="946" t="s">
        <v>1467</v>
      </c>
      <c r="C96" s="941"/>
      <c r="D96" s="957" t="s">
        <v>1431</v>
      </c>
      <c r="E96" s="958" t="s">
        <v>1431</v>
      </c>
      <c r="I96" s="1522"/>
      <c r="L96" s="1545"/>
      <c r="M96" s="1545"/>
      <c r="N96" s="1546"/>
    </row>
    <row r="97" spans="1:17" ht="20.100000000000001" customHeight="1">
      <c r="B97" s="946" t="s">
        <v>1468</v>
      </c>
      <c r="C97" s="941"/>
      <c r="D97" s="1547">
        <f>INDEX($G$8:$G$14,MATCH(D96,$H$8:$H$14,0))</f>
        <v>0.89</v>
      </c>
      <c r="E97" s="1548">
        <f>INDEX($G$8:$G$14,MATCH(E96,$H$8:$H$14,0))</f>
        <v>0.89</v>
      </c>
      <c r="I97" s="1522"/>
      <c r="L97" s="1545">
        <f t="shared" si="7"/>
        <v>0.89</v>
      </c>
      <c r="M97" s="1545">
        <f t="shared" si="7"/>
        <v>0.89</v>
      </c>
      <c r="N97" s="1546"/>
    </row>
    <row r="98" spans="1:17" ht="20.100000000000001" customHeight="1">
      <c r="B98" s="946" t="s">
        <v>1645</v>
      </c>
      <c r="C98" s="942"/>
      <c r="D98" s="949"/>
      <c r="E98" s="950"/>
      <c r="F98" s="2585" t="str">
        <f>IF(OR(D98&gt;1,E98&gt;1),"Surface emmissivity cannot be greater than 1","")</f>
        <v/>
      </c>
      <c r="I98" s="1522"/>
      <c r="L98" s="1545">
        <f>IF(L93&gt;L94,((L97*(1/24)^0.2*(1/((L94+L93)/2)^0.181*(L93-L94)^0.266*(1+1.277*L95)^0.5)*(L93-L94)) + 0.1713*10^-8*D98*(((L93+460)^4-(L94+460)^4))),0)</f>
        <v>0</v>
      </c>
      <c r="M98" s="1545">
        <f>IF(M93&gt;M94,((M97*(1/24)^0.2*(1/((M94+M93)/2)^0.181*(M93-M94)^0.266*(1+1.277*M95)^0.5)*(M93-M94)) + 0.1713*10^-8*E98*(((M93+460)^4-(M94+460)^4))),0)</f>
        <v>0</v>
      </c>
      <c r="N98" s="1546" t="s">
        <v>1177</v>
      </c>
    </row>
    <row r="99" spans="1:17" ht="20.100000000000001" customHeight="1">
      <c r="B99" s="946" t="s">
        <v>1248</v>
      </c>
      <c r="C99" s="942" t="s">
        <v>1174</v>
      </c>
      <c r="D99" s="951">
        <v>0</v>
      </c>
      <c r="E99" s="952">
        <v>0</v>
      </c>
      <c r="F99" s="2585"/>
      <c r="I99" s="1522"/>
      <c r="L99" s="1545">
        <f>L98*D99*D100</f>
        <v>0</v>
      </c>
      <c r="M99" s="1545">
        <f>M98*E99*E100</f>
        <v>0</v>
      </c>
      <c r="N99" s="1546" t="s">
        <v>1173</v>
      </c>
    </row>
    <row r="100" spans="1:17" ht="20.100000000000001" customHeight="1" thickBot="1">
      <c r="B100" s="970" t="s">
        <v>1249</v>
      </c>
      <c r="C100" s="1055"/>
      <c r="D100" s="2140">
        <v>1</v>
      </c>
      <c r="E100" s="2141">
        <v>1</v>
      </c>
      <c r="F100" s="2586" t="str">
        <f>IF(OR(D93&lt;=D94,E93&lt;=E94),"Surface temperature lower than ambient temperature"," ")</f>
        <v>Surface temperature lower than ambient temperature</v>
      </c>
      <c r="I100" s="1522"/>
      <c r="L100" s="1545">
        <f>L99</f>
        <v>0</v>
      </c>
      <c r="M100" s="1545">
        <f>M99</f>
        <v>0</v>
      </c>
      <c r="N100" s="1546" t="s">
        <v>1173</v>
      </c>
      <c r="O100" s="1525">
        <f>IF($C$5&gt;7,1,0)</f>
        <v>1</v>
      </c>
      <c r="P100" s="1525" t="s">
        <v>3</v>
      </c>
    </row>
    <row r="101" spans="1:17" ht="20.100000000000001" customHeight="1" thickBot="1">
      <c r="B101" s="971" t="s">
        <v>1469</v>
      </c>
      <c r="C101" s="1553" t="s">
        <v>1470</v>
      </c>
      <c r="D101" s="2160">
        <f>L100</f>
        <v>0</v>
      </c>
      <c r="E101" s="2161">
        <f>M100</f>
        <v>0</v>
      </c>
      <c r="F101" s="2586"/>
      <c r="I101" s="1522"/>
      <c r="L101" s="1554"/>
      <c r="M101" s="1554"/>
      <c r="N101" s="1535"/>
    </row>
    <row r="102" spans="1:17" s="1302" customFormat="1" ht="20.100000000000001" customHeight="1" thickBot="1">
      <c r="A102" s="2042"/>
      <c r="B102" s="1429"/>
      <c r="C102" s="1428"/>
      <c r="D102" s="1430"/>
      <c r="E102" s="1430"/>
      <c r="F102" s="2043"/>
      <c r="G102" s="2043"/>
      <c r="H102" s="2042"/>
      <c r="I102" s="2042"/>
      <c r="K102" s="1801"/>
      <c r="L102" s="2047"/>
      <c r="M102" s="1801"/>
      <c r="N102" s="1801"/>
      <c r="O102" s="1801"/>
      <c r="P102" s="1801"/>
      <c r="Q102" s="1801"/>
    </row>
    <row r="103" spans="1:17" ht="20.100000000000001" customHeight="1">
      <c r="B103" s="968" t="s">
        <v>1251</v>
      </c>
      <c r="C103" s="2568"/>
      <c r="D103" s="2568"/>
      <c r="E103" s="2569"/>
      <c r="I103" s="1522"/>
    </row>
    <row r="104" spans="1:17" ht="20.100000000000001" customHeight="1">
      <c r="B104" s="2503"/>
      <c r="C104" s="2504"/>
      <c r="D104" s="959" t="s">
        <v>1114</v>
      </c>
      <c r="E104" s="962" t="s">
        <v>1119</v>
      </c>
      <c r="I104" s="1522"/>
    </row>
    <row r="105" spans="1:17" ht="20.100000000000001" customHeight="1">
      <c r="B105" s="945" t="s">
        <v>1246</v>
      </c>
      <c r="C105" s="941" t="s">
        <v>1175</v>
      </c>
      <c r="D105" s="2138"/>
      <c r="E105" s="2139"/>
      <c r="I105" s="1522"/>
      <c r="L105" s="1545">
        <f t="shared" ref="L105:M109" si="8">D105</f>
        <v>0</v>
      </c>
      <c r="M105" s="1545">
        <f t="shared" si="8"/>
        <v>0</v>
      </c>
      <c r="N105" s="1546" t="s">
        <v>1176</v>
      </c>
    </row>
    <row r="106" spans="1:17" ht="20.100000000000001" customHeight="1">
      <c r="B106" s="946" t="s">
        <v>1247</v>
      </c>
      <c r="C106" s="941" t="s">
        <v>1175</v>
      </c>
      <c r="D106" s="2131"/>
      <c r="E106" s="2132"/>
      <c r="I106" s="1522"/>
      <c r="L106" s="1545">
        <f t="shared" si="8"/>
        <v>0</v>
      </c>
      <c r="M106" s="1545">
        <f t="shared" si="8"/>
        <v>0</v>
      </c>
      <c r="N106" s="1546" t="s">
        <v>1176</v>
      </c>
    </row>
    <row r="107" spans="1:17" ht="20.100000000000001" customHeight="1">
      <c r="B107" s="946" t="s">
        <v>1422</v>
      </c>
      <c r="C107" s="941" t="s">
        <v>1423</v>
      </c>
      <c r="D107" s="947"/>
      <c r="E107" s="948"/>
      <c r="I107" s="1522"/>
      <c r="L107" s="1545">
        <f t="shared" si="8"/>
        <v>0</v>
      </c>
      <c r="M107" s="1545">
        <f t="shared" si="8"/>
        <v>0</v>
      </c>
      <c r="N107" s="1546" t="s">
        <v>1433</v>
      </c>
    </row>
    <row r="108" spans="1:17" ht="43.5" customHeight="1">
      <c r="B108" s="946" t="s">
        <v>1467</v>
      </c>
      <c r="C108" s="941"/>
      <c r="D108" s="957" t="s">
        <v>1431</v>
      </c>
      <c r="E108" s="958" t="s">
        <v>1431</v>
      </c>
      <c r="I108" s="1522"/>
      <c r="L108" s="1545"/>
      <c r="M108" s="1545"/>
      <c r="N108" s="1546"/>
    </row>
    <row r="109" spans="1:17" ht="20.100000000000001" customHeight="1">
      <c r="B109" s="946" t="s">
        <v>1468</v>
      </c>
      <c r="C109" s="941"/>
      <c r="D109" s="1547">
        <f>INDEX($G$8:$G$14,MATCH(D108,$H$8:$H$14,0))</f>
        <v>0.89</v>
      </c>
      <c r="E109" s="1548">
        <f>INDEX($G$8:$G$14,MATCH(E108,$H$8:$H$14,0))</f>
        <v>0.89</v>
      </c>
      <c r="I109" s="1522"/>
      <c r="L109" s="1545">
        <f t="shared" si="8"/>
        <v>0.89</v>
      </c>
      <c r="M109" s="1545">
        <f t="shared" si="8"/>
        <v>0.89</v>
      </c>
      <c r="N109" s="1546"/>
    </row>
    <row r="110" spans="1:17" ht="20.100000000000001" customHeight="1">
      <c r="B110" s="946" t="s">
        <v>1645</v>
      </c>
      <c r="C110" s="942"/>
      <c r="D110" s="949"/>
      <c r="E110" s="950"/>
      <c r="F110" s="2585" t="str">
        <f>IF(OR(D110&gt;1,E110&gt;1),"Surface emmissivity cannot be greater than 1","")</f>
        <v/>
      </c>
      <c r="I110" s="1522"/>
      <c r="L110" s="1545">
        <f>IF(L105&gt;L106,((L109*(1/24)^0.2*(1/((L106+L105)/2)^0.181*(L105-L106)^0.266*(1+1.277*L107)^0.5)*(L105-L106)) + 0.1713*10^-8*D110*(((L105+460)^4-(L106+460)^4))),0)</f>
        <v>0</v>
      </c>
      <c r="M110" s="1545">
        <f>IF(M105&gt;M106,((M109*(1/24)^0.2*(1/((M106+M105)/2)^0.181*(M105-M106)^0.266*(1+1.277*M107)^0.5)*(M105-M106)) + 0.1713*10^-8*E110*(((M105+460)^4-(M106+460)^4))),0)</f>
        <v>0</v>
      </c>
      <c r="N110" s="1546" t="s">
        <v>1177</v>
      </c>
    </row>
    <row r="111" spans="1:17" ht="20.100000000000001" customHeight="1">
      <c r="B111" s="946" t="s">
        <v>1248</v>
      </c>
      <c r="C111" s="942" t="s">
        <v>1174</v>
      </c>
      <c r="D111" s="951">
        <v>0</v>
      </c>
      <c r="E111" s="952">
        <v>0</v>
      </c>
      <c r="F111" s="2585"/>
      <c r="I111" s="1522"/>
      <c r="L111" s="1545">
        <f>L110*D111*D112</f>
        <v>0</v>
      </c>
      <c r="M111" s="1545">
        <f>M110*E111*E112</f>
        <v>0</v>
      </c>
      <c r="N111" s="1546" t="s">
        <v>1173</v>
      </c>
    </row>
    <row r="112" spans="1:17" ht="20.100000000000001" customHeight="1" thickBot="1">
      <c r="B112" s="970" t="s">
        <v>1249</v>
      </c>
      <c r="C112" s="1055"/>
      <c r="D112" s="2140">
        <v>1</v>
      </c>
      <c r="E112" s="2141">
        <v>1</v>
      </c>
      <c r="F112" s="2586" t="str">
        <f>IF(OR(D105&lt;=D106,E105&lt;=E106),"Surface temperature lower than ambient temperature"," ")</f>
        <v>Surface temperature lower than ambient temperature</v>
      </c>
      <c r="I112" s="1522"/>
      <c r="L112" s="1545">
        <f>L111</f>
        <v>0</v>
      </c>
      <c r="M112" s="1545">
        <f>M111</f>
        <v>0</v>
      </c>
      <c r="N112" s="1546" t="s">
        <v>1173</v>
      </c>
      <c r="O112" s="1525">
        <f>IF($C$5&gt;8,1,0)</f>
        <v>1</v>
      </c>
      <c r="P112" s="1525" t="s">
        <v>3</v>
      </c>
    </row>
    <row r="113" spans="1:17" ht="20.100000000000001" customHeight="1" thickBot="1">
      <c r="B113" s="971" t="s">
        <v>1469</v>
      </c>
      <c r="C113" s="1553" t="s">
        <v>1470</v>
      </c>
      <c r="D113" s="2160">
        <f>L112</f>
        <v>0</v>
      </c>
      <c r="E113" s="2161">
        <f>M112</f>
        <v>0</v>
      </c>
      <c r="F113" s="2586"/>
      <c r="I113" s="1522"/>
      <c r="L113" s="1554"/>
      <c r="M113" s="1554"/>
      <c r="N113" s="1535"/>
    </row>
    <row r="114" spans="1:17" s="1302" customFormat="1" ht="20.100000000000001" customHeight="1" thickBot="1">
      <c r="A114" s="2042"/>
      <c r="B114" s="1429"/>
      <c r="C114" s="1428"/>
      <c r="D114" s="1430"/>
      <c r="E114" s="1430"/>
      <c r="F114" s="2043"/>
      <c r="G114" s="2043"/>
      <c r="H114" s="2042"/>
      <c r="I114" s="2042"/>
      <c r="K114" s="1801"/>
      <c r="L114" s="2047"/>
      <c r="M114" s="1801"/>
      <c r="N114" s="1801"/>
      <c r="O114" s="1801"/>
      <c r="P114" s="1801"/>
      <c r="Q114" s="1801"/>
    </row>
    <row r="115" spans="1:17" ht="20.100000000000001" customHeight="1">
      <c r="B115" s="968" t="s">
        <v>1251</v>
      </c>
      <c r="C115" s="2568"/>
      <c r="D115" s="2568"/>
      <c r="E115" s="2569"/>
      <c r="I115" s="1522"/>
    </row>
    <row r="116" spans="1:17" ht="20.100000000000001" customHeight="1">
      <c r="B116" s="2503" t="s">
        <v>1250</v>
      </c>
      <c r="C116" s="2504"/>
      <c r="D116" s="959" t="s">
        <v>1114</v>
      </c>
      <c r="E116" s="962" t="s">
        <v>1119</v>
      </c>
      <c r="I116" s="1522"/>
    </row>
    <row r="117" spans="1:17" ht="20.100000000000001" customHeight="1">
      <c r="B117" s="945" t="s">
        <v>1246</v>
      </c>
      <c r="C117" s="941" t="s">
        <v>1175</v>
      </c>
      <c r="D117" s="2138"/>
      <c r="E117" s="2139"/>
      <c r="I117" s="1522"/>
      <c r="L117" s="1545">
        <f t="shared" ref="L117:M121" si="9">D117</f>
        <v>0</v>
      </c>
      <c r="M117" s="1545">
        <f t="shared" si="9"/>
        <v>0</v>
      </c>
      <c r="N117" s="1546" t="s">
        <v>1176</v>
      </c>
    </row>
    <row r="118" spans="1:17" ht="20.100000000000001" customHeight="1">
      <c r="B118" s="946" t="s">
        <v>1247</v>
      </c>
      <c r="C118" s="942" t="s">
        <v>1175</v>
      </c>
      <c r="D118" s="2131"/>
      <c r="E118" s="2132"/>
      <c r="I118" s="1522"/>
      <c r="L118" s="1545">
        <f t="shared" si="9"/>
        <v>0</v>
      </c>
      <c r="M118" s="1545">
        <f t="shared" si="9"/>
        <v>0</v>
      </c>
      <c r="N118" s="1546" t="s">
        <v>1176</v>
      </c>
    </row>
    <row r="119" spans="1:17" ht="20.100000000000001" customHeight="1">
      <c r="B119" s="946" t="s">
        <v>1422</v>
      </c>
      <c r="C119" s="941" t="s">
        <v>1423</v>
      </c>
      <c r="D119" s="947"/>
      <c r="E119" s="948"/>
      <c r="I119" s="1522"/>
      <c r="L119" s="1545">
        <f t="shared" si="9"/>
        <v>0</v>
      </c>
      <c r="M119" s="1545">
        <f t="shared" si="9"/>
        <v>0</v>
      </c>
      <c r="N119" s="1546" t="s">
        <v>1433</v>
      </c>
    </row>
    <row r="120" spans="1:17" ht="43.5" customHeight="1">
      <c r="B120" s="946" t="s">
        <v>1467</v>
      </c>
      <c r="C120" s="941"/>
      <c r="D120" s="957" t="s">
        <v>1432</v>
      </c>
      <c r="E120" s="958" t="s">
        <v>1432</v>
      </c>
      <c r="I120" s="1522"/>
      <c r="L120" s="1545"/>
      <c r="M120" s="1545"/>
      <c r="N120" s="1546"/>
    </row>
    <row r="121" spans="1:17" ht="20.100000000000001" customHeight="1">
      <c r="B121" s="946" t="s">
        <v>1468</v>
      </c>
      <c r="C121" s="941"/>
      <c r="D121" s="1547">
        <f>INDEX($G$8:$G$14,MATCH(D120,$H$8:$H$14,0))</f>
        <v>1.79</v>
      </c>
      <c r="E121" s="1548">
        <f>INDEX($G$8:$G$14,MATCH(E120,$H$8:$H$14,0))</f>
        <v>1.79</v>
      </c>
      <c r="I121" s="1522"/>
      <c r="L121" s="1545">
        <f t="shared" si="9"/>
        <v>1.79</v>
      </c>
      <c r="M121" s="1545">
        <f t="shared" si="9"/>
        <v>1.79</v>
      </c>
      <c r="N121" s="1546"/>
    </row>
    <row r="122" spans="1:17" ht="20.100000000000001" customHeight="1">
      <c r="B122" s="946" t="s">
        <v>1645</v>
      </c>
      <c r="C122" s="942"/>
      <c r="D122" s="949"/>
      <c r="E122" s="950"/>
      <c r="F122" s="2585" t="str">
        <f>IF(OR(D122&gt;1,E122&gt;1),"Surface emmissivity cannot be greater than 1","")</f>
        <v/>
      </c>
      <c r="I122" s="1522"/>
      <c r="L122" s="1545">
        <f>IF(L117&gt;L118,((L121*(1/24)^0.2*(1/((L118+L117)/2)^0.181*(L117-L118)^0.266*(1+1.277*L119)^0.5)*(L117-L118)) + 0.1713*10^-8*D122*(((L117+460)^4-(L118+460)^4))),0)</f>
        <v>0</v>
      </c>
      <c r="M122" s="1545">
        <f>IF(M117&gt;M118,((M121*(1/24)^0.2*(1/((M118+M117)/2)^0.181*(M117-M118)^0.266*(1+1.277*M119)^0.5)*(M117-M118)) + 0.1713*10^-8*E122*(((M117+460)^4-(M118+460)^4))),0)</f>
        <v>0</v>
      </c>
      <c r="N122" s="1546" t="s">
        <v>1177</v>
      </c>
    </row>
    <row r="123" spans="1:17" ht="20.100000000000001" customHeight="1">
      <c r="B123" s="946" t="s">
        <v>1248</v>
      </c>
      <c r="C123" s="942" t="s">
        <v>1174</v>
      </c>
      <c r="D123" s="951">
        <v>0</v>
      </c>
      <c r="E123" s="952">
        <v>0</v>
      </c>
      <c r="F123" s="2585"/>
      <c r="I123" s="1522"/>
      <c r="L123" s="1545">
        <f>L122*D123*D124</f>
        <v>0</v>
      </c>
      <c r="M123" s="1545">
        <f>M122*E123*E124</f>
        <v>0</v>
      </c>
      <c r="N123" s="1546" t="s">
        <v>1173</v>
      </c>
    </row>
    <row r="124" spans="1:17" ht="20.100000000000001" customHeight="1" thickBot="1">
      <c r="B124" s="970" t="s">
        <v>1249</v>
      </c>
      <c r="C124" s="1055"/>
      <c r="D124" s="2140">
        <v>1</v>
      </c>
      <c r="E124" s="2141">
        <v>1</v>
      </c>
      <c r="F124" s="2586" t="str">
        <f>IF(OR(D117&lt;=D118,E117&lt;=E118),"Surface temperature lower than ambient temperature"," ")</f>
        <v>Surface temperature lower than ambient temperature</v>
      </c>
      <c r="I124" s="1522"/>
      <c r="L124" s="1545">
        <f>L123</f>
        <v>0</v>
      </c>
      <c r="M124" s="1545">
        <f>M123</f>
        <v>0</v>
      </c>
      <c r="N124" s="1546" t="s">
        <v>1173</v>
      </c>
      <c r="O124" s="1525">
        <f>IF($C$5&gt;9,1,0)</f>
        <v>1</v>
      </c>
      <c r="P124" s="1525" t="s">
        <v>3</v>
      </c>
    </row>
    <row r="125" spans="1:17" ht="20.100000000000001" customHeight="1" thickBot="1">
      <c r="B125" s="971" t="s">
        <v>1469</v>
      </c>
      <c r="C125" s="1553" t="s">
        <v>1470</v>
      </c>
      <c r="D125" s="2160">
        <f>L124</f>
        <v>0</v>
      </c>
      <c r="E125" s="2161">
        <f>M124</f>
        <v>0</v>
      </c>
      <c r="F125" s="2586"/>
      <c r="I125" s="1522"/>
      <c r="L125" s="1554"/>
      <c r="M125" s="1554"/>
      <c r="N125" s="1535"/>
    </row>
    <row r="126" spans="1:17" s="1302" customFormat="1" ht="20.100000000000001" customHeight="1">
      <c r="A126" s="2042"/>
      <c r="B126" s="918"/>
      <c r="C126" s="1433"/>
      <c r="D126" s="2048"/>
      <c r="E126" s="2048"/>
      <c r="F126" s="2043"/>
      <c r="G126" s="2043"/>
      <c r="H126" s="2042"/>
      <c r="I126" s="2042"/>
      <c r="K126" s="1801"/>
      <c r="L126" s="2053"/>
      <c r="M126" s="2053"/>
      <c r="N126" s="1046"/>
      <c r="O126" s="1801"/>
      <c r="P126" s="1801"/>
      <c r="Q126" s="1801"/>
    </row>
    <row r="127" spans="1:17" s="1302" customFormat="1" ht="20.100000000000001" customHeight="1">
      <c r="A127" s="2042"/>
      <c r="B127" s="1429"/>
      <c r="C127" s="1428"/>
      <c r="D127" s="1430"/>
      <c r="E127" s="1430"/>
      <c r="F127" s="2043"/>
      <c r="G127" s="2043"/>
      <c r="H127" s="2042"/>
      <c r="I127" s="2042"/>
      <c r="K127" s="1801"/>
      <c r="L127" s="2047"/>
      <c r="M127" s="1801"/>
      <c r="N127" s="1801"/>
      <c r="O127" s="1801"/>
      <c r="P127" s="1801"/>
      <c r="Q127" s="1801"/>
    </row>
    <row r="128" spans="1:17" s="1302" customFormat="1" ht="20.100000000000001" customHeight="1" thickBot="1">
      <c r="A128" s="2042"/>
      <c r="B128" s="1429"/>
      <c r="C128" s="1428"/>
      <c r="D128" s="1430"/>
      <c r="E128" s="1430"/>
      <c r="F128" s="2043"/>
      <c r="G128" s="2043"/>
      <c r="H128" s="2042"/>
      <c r="I128" s="2042"/>
      <c r="K128" s="1801"/>
      <c r="L128" s="2047"/>
      <c r="M128" s="1801"/>
      <c r="N128" s="1801"/>
      <c r="O128" s="1801"/>
      <c r="P128" s="1801"/>
      <c r="Q128" s="1801"/>
    </row>
    <row r="129" spans="1:17" ht="20.100000000000001" customHeight="1" thickBot="1">
      <c r="B129" s="969" t="s">
        <v>1098</v>
      </c>
      <c r="C129" s="938" t="s">
        <v>1173</v>
      </c>
      <c r="D129" s="967">
        <f>L129</f>
        <v>0</v>
      </c>
      <c r="E129" s="967">
        <f>M129</f>
        <v>0</v>
      </c>
      <c r="I129" s="1522"/>
      <c r="L129" s="1560">
        <f>SUM(($O124*L124)+($O112*L112)+($O100*L100)+($O88*L88)+($O76*L76)+($O64*L64)+($O52*L52)+($O40*L40)+($O28*L28)+L16)</f>
        <v>0</v>
      </c>
      <c r="M129" s="1560">
        <f>SUM(($O124*M124)+($O112*M112)+($O100*M100)+($O88*M88)+($O76*M76)+($O64*M64)+($O52*M52)+($O40*M40)+($O28*M28)+M16)</f>
        <v>0</v>
      </c>
      <c r="N129" s="1525" t="s">
        <v>1397</v>
      </c>
    </row>
    <row r="130" spans="1:17" s="1302" customFormat="1" ht="20.100000000000001" customHeight="1" thickBot="1">
      <c r="A130" s="2042"/>
      <c r="B130" s="1429"/>
      <c r="C130" s="1428"/>
      <c r="D130" s="1430"/>
      <c r="E130" s="1430"/>
      <c r="F130" s="2043"/>
      <c r="G130" s="2043"/>
      <c r="H130" s="2042"/>
      <c r="I130" s="2043"/>
      <c r="K130" s="1801"/>
      <c r="L130" s="2047"/>
      <c r="M130" s="1801"/>
      <c r="N130" s="1801"/>
      <c r="O130" s="1801"/>
      <c r="P130" s="1801"/>
      <c r="Q130" s="1801"/>
    </row>
    <row r="131" spans="1:17" ht="20.100000000000001" customHeight="1">
      <c r="B131" s="2576" t="s">
        <v>710</v>
      </c>
      <c r="C131" s="2577"/>
      <c r="D131" s="2577"/>
      <c r="E131" s="2578"/>
    </row>
    <row r="132" spans="1:17" ht="20.100000000000001" customHeight="1">
      <c r="B132" s="2575" t="s">
        <v>709</v>
      </c>
      <c r="C132" s="2534"/>
      <c r="D132" s="2534"/>
      <c r="E132" s="2535"/>
    </row>
    <row r="133" spans="1:17" ht="20.100000000000001" customHeight="1">
      <c r="B133" s="2559"/>
      <c r="C133" s="2560"/>
      <c r="D133" s="2560"/>
      <c r="E133" s="2561"/>
      <c r="J133" s="1524">
        <f>IF(B133="",0,1)</f>
        <v>0</v>
      </c>
    </row>
    <row r="134" spans="1:17" ht="20.100000000000001" customHeight="1">
      <c r="B134" s="2559"/>
      <c r="C134" s="2560"/>
      <c r="D134" s="2560"/>
      <c r="E134" s="2561"/>
      <c r="J134" s="1524">
        <f>IF(B134="",0,1)</f>
        <v>0</v>
      </c>
    </row>
    <row r="135" spans="1:17" ht="20.100000000000001" customHeight="1">
      <c r="B135" s="2559"/>
      <c r="C135" s="2560"/>
      <c r="D135" s="2560"/>
      <c r="E135" s="2561"/>
      <c r="J135" s="1524">
        <f>IF(B135="",0,1)</f>
        <v>0</v>
      </c>
    </row>
    <row r="136" spans="1:17" ht="20.100000000000001" customHeight="1">
      <c r="B136" s="2559"/>
      <c r="C136" s="2560"/>
      <c r="D136" s="2560"/>
      <c r="E136" s="2561"/>
      <c r="J136" s="1524">
        <f>IF(B136="",0,1)</f>
        <v>0</v>
      </c>
    </row>
    <row r="137" spans="1:17" ht="20.100000000000001" customHeight="1" thickBot="1">
      <c r="B137" s="2562"/>
      <c r="C137" s="2563"/>
      <c r="D137" s="2563"/>
      <c r="E137" s="2564"/>
      <c r="J137" s="1524">
        <f>IF(B137="",0,1)</f>
        <v>0</v>
      </c>
    </row>
    <row r="138" spans="1:17" s="1302" customFormat="1" ht="20.100000000000001" customHeight="1">
      <c r="A138" s="2042"/>
      <c r="B138" s="1429"/>
      <c r="C138" s="1428"/>
      <c r="D138" s="1430"/>
      <c r="E138" s="1430"/>
      <c r="F138" s="2043"/>
      <c r="G138" s="2043"/>
      <c r="H138" s="2042"/>
      <c r="I138" s="2043"/>
      <c r="J138" s="1302">
        <f>SUM(J133:J137)</f>
        <v>0</v>
      </c>
      <c r="K138" s="1801"/>
      <c r="L138" s="2047"/>
      <c r="M138" s="1801"/>
      <c r="N138" s="1801"/>
      <c r="O138" s="1801"/>
      <c r="P138" s="1801"/>
      <c r="Q138" s="1801"/>
    </row>
  </sheetData>
  <sheetProtection password="B61E" sheet="1" objects="1" scenarios="1"/>
  <mergeCells count="53">
    <mergeCell ref="F124:F125"/>
    <mergeCell ref="F52:F53"/>
    <mergeCell ref="F64:F65"/>
    <mergeCell ref="F76:F77"/>
    <mergeCell ref="F88:F89"/>
    <mergeCell ref="F100:F101"/>
    <mergeCell ref="F74:F75"/>
    <mergeCell ref="F86:F87"/>
    <mergeCell ref="F98:F99"/>
    <mergeCell ref="F110:F111"/>
    <mergeCell ref="F122:F123"/>
    <mergeCell ref="F112:F113"/>
    <mergeCell ref="G3:H3"/>
    <mergeCell ref="L7:N7"/>
    <mergeCell ref="C67:E67"/>
    <mergeCell ref="A7:A16"/>
    <mergeCell ref="C7:E7"/>
    <mergeCell ref="B8:C8"/>
    <mergeCell ref="C43:E43"/>
    <mergeCell ref="B32:C32"/>
    <mergeCell ref="F14:F15"/>
    <mergeCell ref="F26:F27"/>
    <mergeCell ref="F38:F39"/>
    <mergeCell ref="F50:F51"/>
    <mergeCell ref="F62:F63"/>
    <mergeCell ref="F16:F17"/>
    <mergeCell ref="F28:F29"/>
    <mergeCell ref="F40:F41"/>
    <mergeCell ref="B68:C68"/>
    <mergeCell ref="B20:C20"/>
    <mergeCell ref="B132:E132"/>
    <mergeCell ref="C115:E115"/>
    <mergeCell ref="B116:C116"/>
    <mergeCell ref="C103:E103"/>
    <mergeCell ref="B104:C104"/>
    <mergeCell ref="B131:E131"/>
    <mergeCell ref="B92:C92"/>
    <mergeCell ref="B80:C80"/>
    <mergeCell ref="C91:E91"/>
    <mergeCell ref="B56:C56"/>
    <mergeCell ref="C31:E31"/>
    <mergeCell ref="C79:E79"/>
    <mergeCell ref="B1:E1"/>
    <mergeCell ref="C19:E19"/>
    <mergeCell ref="B44:C44"/>
    <mergeCell ref="C55:E55"/>
    <mergeCell ref="B2:E2"/>
    <mergeCell ref="D5:E5"/>
    <mergeCell ref="B133:E133"/>
    <mergeCell ref="B134:E134"/>
    <mergeCell ref="B135:E135"/>
    <mergeCell ref="B136:E136"/>
    <mergeCell ref="B137:E137"/>
  </mergeCells>
  <phoneticPr fontId="0" type="noConversion"/>
  <conditionalFormatting sqref="J30:N30">
    <cfRule type="expression" dxfId="74" priority="19" stopIfTrue="1">
      <formula>V40&lt;&gt;1</formula>
    </cfRule>
  </conditionalFormatting>
  <conditionalFormatting sqref="J18:N18">
    <cfRule type="expression" dxfId="73" priority="20" stopIfTrue="1">
      <formula>V28&lt;&gt;1</formula>
    </cfRule>
  </conditionalFormatting>
  <conditionalFormatting sqref="L19:N20 I30 H29 F19:F25 I19:K29 G18:H28">
    <cfRule type="expression" dxfId="72" priority="21" stopIfTrue="1">
      <formula>$O$28&lt;&gt;1</formula>
    </cfRule>
  </conditionalFormatting>
  <conditionalFormatting sqref="J31:K41 L31:N32 F31:F37 G30:G40 I33:I42 H32:H41">
    <cfRule type="expression" dxfId="71" priority="22" stopIfTrue="1">
      <formula>$O$40&lt;&gt;1</formula>
    </cfRule>
  </conditionalFormatting>
  <conditionalFormatting sqref="J43:K53 L43:N44 I44 H43 F43:F49 G42:G52 I50:I53 H49:H52 I32 H31">
    <cfRule type="expression" dxfId="70" priority="23" stopIfTrue="1">
      <formula>$O$52&lt;&gt;1</formula>
    </cfRule>
  </conditionalFormatting>
  <conditionalFormatting sqref="L55:N56 F55:F61 I55:K65 G54:H64">
    <cfRule type="expression" dxfId="69" priority="24" stopIfTrue="1">
      <formula>$O$64&lt;&gt;1</formula>
    </cfRule>
  </conditionalFormatting>
  <conditionalFormatting sqref="L67:N68 F67:F73 I67:K77 G66:H76">
    <cfRule type="expression" dxfId="68" priority="25" stopIfTrue="1">
      <formula>$O$76&lt;&gt;1</formula>
    </cfRule>
  </conditionalFormatting>
  <conditionalFormatting sqref="F30">
    <cfRule type="expression" dxfId="67" priority="41" stopIfTrue="1">
      <formula>S40&lt;&gt;1</formula>
    </cfRule>
  </conditionalFormatting>
  <conditionalFormatting sqref="F18">
    <cfRule type="expression" dxfId="66" priority="42" stopIfTrue="1">
      <formula>S28&lt;&gt;1</formula>
    </cfRule>
  </conditionalFormatting>
  <conditionalFormatting sqref="G29">
    <cfRule type="expression" dxfId="65" priority="70" stopIfTrue="1">
      <formula>T40&lt;&gt;1</formula>
    </cfRule>
  </conditionalFormatting>
  <conditionalFormatting sqref="G17">
    <cfRule type="expression" dxfId="64" priority="72" stopIfTrue="1">
      <formula>T28&lt;&gt;1</formula>
    </cfRule>
  </conditionalFormatting>
  <conditionalFormatting sqref="D14:E14">
    <cfRule type="cellIs" dxfId="63" priority="16" stopIfTrue="1" operator="greaterThan">
      <formula>1</formula>
    </cfRule>
  </conditionalFormatting>
  <conditionalFormatting sqref="D26:E26">
    <cfRule type="cellIs" dxfId="62" priority="15" stopIfTrue="1" operator="greaterThan">
      <formula>1</formula>
    </cfRule>
  </conditionalFormatting>
  <conditionalFormatting sqref="D38:E38">
    <cfRule type="cellIs" dxfId="61" priority="14" stopIfTrue="1" operator="greaterThan">
      <formula>1</formula>
    </cfRule>
  </conditionalFormatting>
  <conditionalFormatting sqref="D50:E50">
    <cfRule type="cellIs" dxfId="60" priority="13" stopIfTrue="1" operator="greaterThan">
      <formula>1</formula>
    </cfRule>
  </conditionalFormatting>
  <conditionalFormatting sqref="D62:E62">
    <cfRule type="cellIs" dxfId="59" priority="12" stopIfTrue="1" operator="greaterThan">
      <formula>1</formula>
    </cfRule>
  </conditionalFormatting>
  <conditionalFormatting sqref="D74:E74">
    <cfRule type="cellIs" dxfId="58" priority="11" stopIfTrue="1" operator="greaterThan">
      <formula>1</formula>
    </cfRule>
  </conditionalFormatting>
  <conditionalFormatting sqref="D86:E86">
    <cfRule type="cellIs" dxfId="57" priority="10" stopIfTrue="1" operator="greaterThan">
      <formula>1</formula>
    </cfRule>
  </conditionalFormatting>
  <conditionalFormatting sqref="D98:E98">
    <cfRule type="cellIs" dxfId="56" priority="9" stopIfTrue="1" operator="greaterThan">
      <formula>1</formula>
    </cfRule>
  </conditionalFormatting>
  <conditionalFormatting sqref="D110:E110">
    <cfRule type="cellIs" dxfId="55" priority="8" stopIfTrue="1" operator="greaterThan">
      <formula>1</formula>
    </cfRule>
  </conditionalFormatting>
  <conditionalFormatting sqref="D122:E122">
    <cfRule type="cellIs" dxfId="54" priority="7" stopIfTrue="1" operator="greaterThan">
      <formula>1</formula>
    </cfRule>
  </conditionalFormatting>
  <conditionalFormatting sqref="C67:E67">
    <cfRule type="cellIs" dxfId="53" priority="6" operator="notEqual">
      <formula>0</formula>
    </cfRule>
  </conditionalFormatting>
  <conditionalFormatting sqref="C55:E55">
    <cfRule type="cellIs" dxfId="52" priority="5" operator="notEqual">
      <formula>0</formula>
    </cfRule>
  </conditionalFormatting>
  <conditionalFormatting sqref="C79:E79">
    <cfRule type="cellIs" dxfId="51" priority="4" operator="notEqual">
      <formula>0</formula>
    </cfRule>
  </conditionalFormatting>
  <conditionalFormatting sqref="C91:E91">
    <cfRule type="cellIs" dxfId="50" priority="3" operator="notEqual">
      <formula>0</formula>
    </cfRule>
  </conditionalFormatting>
  <conditionalFormatting sqref="C103:E103">
    <cfRule type="cellIs" dxfId="49" priority="2" operator="notEqual">
      <formula>0</formula>
    </cfRule>
  </conditionalFormatting>
  <conditionalFormatting sqref="C115:E115">
    <cfRule type="cellIs" dxfId="48" priority="1" operator="notEqual">
      <formula>0</formula>
    </cfRule>
  </conditionalFormatting>
  <dataValidations count="1">
    <dataValidation type="list" allowBlank="1" showInputMessage="1" showErrorMessage="1" sqref="D12:E12 D24:E24 D36:E36 D48:E48 D60:E60 D72:E72 D84:E84 D96:E96 D108:E108 D120:E120">
      <formula1>$H$8:$H$14</formula1>
    </dataValidation>
  </dataValidations>
  <pageMargins left="0.75" right="0.75" top="1" bottom="1" header="0.5" footer="0.5"/>
  <pageSetup scale="78" fitToHeight="2" orientation="portrait" r:id="rId1"/>
  <headerFooter alignWithMargins="0">
    <oddHeader>&amp;LWall Loss</oddHeader>
    <oddFooter>&amp;LUS Department of Energy&amp;C&amp;P&amp;R&amp;D</oddFooter>
  </headerFooter>
  <rowBreaks count="4" manualBreakCount="4">
    <brk id="29" max="16383" man="1"/>
    <brk id="54" max="16383" man="1"/>
    <brk id="78" max="16383" man="1"/>
    <brk id="102" max="16383" man="1"/>
  </rowBreaks>
  <drawing r:id="rId2"/>
  <legacyDrawing r:id="rId3"/>
  <controls>
    <mc:AlternateContent xmlns:mc="http://schemas.openxmlformats.org/markup-compatibility/2006">
      <mc:Choice Requires="x14">
        <control shapeId="28680" r:id="rId4" name="CommandButton2">
          <controlPr defaultSize="0" print="0" autoLine="0" r:id="rId5">
            <anchor moveWithCells="1">
              <from>
                <xdr:col>5</xdr:col>
                <xdr:colOff>419100</xdr:colOff>
                <xdr:row>1</xdr:row>
                <xdr:rowOff>285750</xdr:rowOff>
              </from>
              <to>
                <xdr:col>5</xdr:col>
                <xdr:colOff>1409700</xdr:colOff>
                <xdr:row>4</xdr:row>
                <xdr:rowOff>209550</xdr:rowOff>
              </to>
            </anchor>
          </controlPr>
        </control>
      </mc:Choice>
      <mc:Fallback>
        <control shapeId="28680" r:id="rId4" name="CommandButton2"/>
      </mc:Fallback>
    </mc:AlternateContent>
    <mc:AlternateContent xmlns:mc="http://schemas.openxmlformats.org/markup-compatibility/2006">
      <mc:Choice Requires="x14">
        <control shapeId="28681" r:id="rId6" name="CommandButton11">
          <controlPr defaultSize="0" print="0" autoLine="0" r:id="rId7">
            <anchor moveWithCells="1">
              <from>
                <xdr:col>5</xdr:col>
                <xdr:colOff>428625</xdr:colOff>
                <xdr:row>5</xdr:row>
                <xdr:rowOff>228600</xdr:rowOff>
              </from>
              <to>
                <xdr:col>5</xdr:col>
                <xdr:colOff>1409700</xdr:colOff>
                <xdr:row>7</xdr:row>
                <xdr:rowOff>209550</xdr:rowOff>
              </to>
            </anchor>
          </controlPr>
        </control>
      </mc:Choice>
      <mc:Fallback>
        <control shapeId="28681" r:id="rId6" name="CommandButton11"/>
      </mc:Fallback>
    </mc:AlternateContent>
    <mc:AlternateContent xmlns:mc="http://schemas.openxmlformats.org/markup-compatibility/2006">
      <mc:Choice Requires="x14">
        <control shapeId="4978129" r:id="rId8" name="CommandButtonHelp">
          <controlPr defaultSize="0" autoLine="0" r:id="rId9">
            <anchor moveWithCells="1">
              <from>
                <xdr:col>0</xdr:col>
                <xdr:colOff>57150</xdr:colOff>
                <xdr:row>6</xdr:row>
                <xdr:rowOff>28575</xdr:rowOff>
              </from>
              <to>
                <xdr:col>0</xdr:col>
                <xdr:colOff>666750</xdr:colOff>
                <xdr:row>16</xdr:row>
                <xdr:rowOff>123825</xdr:rowOff>
              </to>
            </anchor>
          </controlPr>
        </control>
      </mc:Choice>
      <mc:Fallback>
        <control shapeId="4978129" r:id="rId8" name="CommandButtonHelp"/>
      </mc:Fallback>
    </mc:AlternateContent>
    <mc:AlternateContent xmlns:mc="http://schemas.openxmlformats.org/markup-compatibility/2006">
      <mc:Choice Requires="x14">
        <control shapeId="4978467" r:id="rId10" name="CommandButton1">
          <controlPr defaultSize="0" autoLine="0" r:id="rId11">
            <anchor moveWithCells="1">
              <from>
                <xdr:col>5</xdr:col>
                <xdr:colOff>409575</xdr:colOff>
                <xdr:row>8</xdr:row>
                <xdr:rowOff>219075</xdr:rowOff>
              </from>
              <to>
                <xdr:col>5</xdr:col>
                <xdr:colOff>1390650</xdr:colOff>
                <xdr:row>10</xdr:row>
                <xdr:rowOff>190500</xdr:rowOff>
              </to>
            </anchor>
          </controlPr>
        </control>
      </mc:Choice>
      <mc:Fallback>
        <control shapeId="4978467" r:id="rId10"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N242"/>
  <sheetViews>
    <sheetView workbookViewId="0"/>
  </sheetViews>
  <sheetFormatPr defaultColWidth="0" defaultRowHeight="14.25" zeroHeight="1"/>
  <cols>
    <col min="1" max="1" width="10.7109375" style="1561" customWidth="1"/>
    <col min="2" max="2" width="40.7109375" style="1668" customWidth="1"/>
    <col min="3" max="3" width="11.7109375" style="1561" customWidth="1"/>
    <col min="4" max="5" width="19.7109375" style="1561" customWidth="1"/>
    <col min="6" max="6" width="12.7109375" style="1669" customWidth="1"/>
    <col min="7" max="7" width="12.7109375" style="1561" customWidth="1"/>
    <col min="8" max="8" width="12.28515625" style="1561" hidden="1" customWidth="1"/>
    <col min="9" max="10" width="9.140625" style="1561" hidden="1" customWidth="1"/>
    <col min="11" max="11" width="14.85546875" style="1561" hidden="1" customWidth="1"/>
    <col min="12" max="12" width="11.7109375" style="1561" hidden="1" customWidth="1"/>
    <col min="13" max="16384" width="9.140625" style="1561" hidden="1"/>
  </cols>
  <sheetData>
    <row r="1" spans="1:14" ht="20.100000000000001" customHeight="1" thickBot="1">
      <c r="A1" s="1428"/>
      <c r="B1" s="1429"/>
      <c r="C1" s="1428"/>
      <c r="D1" s="1428"/>
      <c r="E1" s="1428"/>
      <c r="F1" s="1428"/>
      <c r="G1" s="1428"/>
    </row>
    <row r="2" spans="1:14" ht="43.5" customHeight="1" thickBot="1">
      <c r="A2" s="1428"/>
      <c r="B2" s="2570" t="s">
        <v>730</v>
      </c>
      <c r="C2" s="2571"/>
      <c r="D2" s="2571"/>
      <c r="E2" s="2587"/>
      <c r="F2" s="1428"/>
      <c r="G2" s="1428"/>
    </row>
    <row r="3" spans="1:14" ht="20.100000000000001" customHeight="1" thickBot="1">
      <c r="A3" s="1428"/>
      <c r="B3" s="1562" t="s">
        <v>1112</v>
      </c>
      <c r="C3" s="1563">
        <f>'Control page'!D16</f>
        <v>6</v>
      </c>
      <c r="D3" s="2588" t="s">
        <v>1608</v>
      </c>
      <c r="E3" s="2589"/>
      <c r="F3" s="1428"/>
      <c r="G3" s="1428"/>
    </row>
    <row r="4" spans="1:14" ht="20.100000000000001" customHeight="1" thickBot="1">
      <c r="A4" s="1428"/>
      <c r="B4" s="1429"/>
      <c r="C4" s="1428"/>
      <c r="D4" s="1428"/>
      <c r="E4" s="1428"/>
      <c r="F4" s="1428"/>
      <c r="G4" s="1428"/>
    </row>
    <row r="5" spans="1:14" ht="20.100000000000001" customHeight="1" thickBot="1">
      <c r="A5" s="1027"/>
      <c r="B5" s="1564" t="s">
        <v>1103</v>
      </c>
      <c r="C5" s="1565"/>
      <c r="D5" s="1565"/>
      <c r="E5" s="1566"/>
      <c r="F5" s="1027"/>
      <c r="G5" s="1428"/>
    </row>
    <row r="6" spans="1:14" ht="20.100000000000001" customHeight="1">
      <c r="A6" s="1027"/>
      <c r="B6" s="1567"/>
      <c r="C6" s="1568"/>
      <c r="D6" s="1569" t="s">
        <v>1171</v>
      </c>
      <c r="E6" s="1570" t="s">
        <v>1115</v>
      </c>
      <c r="F6" s="1245"/>
      <c r="G6" s="1428"/>
      <c r="I6" s="1571" t="s">
        <v>8</v>
      </c>
      <c r="K6" s="1561" t="s">
        <v>735</v>
      </c>
      <c r="L6" s="1561" t="s">
        <v>1350</v>
      </c>
    </row>
    <row r="7" spans="1:14" ht="20.100000000000001" customHeight="1">
      <c r="A7" s="1027"/>
      <c r="B7" s="1572" t="s">
        <v>1101</v>
      </c>
      <c r="C7" s="1573"/>
      <c r="D7" s="980" t="s">
        <v>1606</v>
      </c>
      <c r="E7" s="975" t="s">
        <v>1606</v>
      </c>
      <c r="F7" s="1245"/>
      <c r="G7" s="1428"/>
      <c r="I7" s="1561" t="s">
        <v>6</v>
      </c>
      <c r="K7" s="1561" t="s">
        <v>734</v>
      </c>
      <c r="L7" s="1561" t="s">
        <v>1352</v>
      </c>
    </row>
    <row r="8" spans="1:14" ht="20.100000000000001" hidden="1" customHeight="1">
      <c r="A8" s="1027"/>
      <c r="B8" s="1572" t="s">
        <v>1464</v>
      </c>
      <c r="C8" s="1574" t="s">
        <v>1351</v>
      </c>
      <c r="D8" s="981"/>
      <c r="E8" s="977"/>
      <c r="F8" s="1245"/>
      <c r="G8" s="1428"/>
    </row>
    <row r="9" spans="1:14" ht="20.100000000000001" hidden="1" customHeight="1">
      <c r="A9" s="1027"/>
      <c r="B9" s="1572" t="s">
        <v>733</v>
      </c>
      <c r="C9" s="1574" t="str">
        <f>IF(B10="Gas Flow","(lb/SCF)", "(lb/gal)")</f>
        <v>(lb/SCF)</v>
      </c>
      <c r="D9" s="981"/>
      <c r="E9" s="977"/>
      <c r="F9" s="1245"/>
      <c r="G9" s="1428"/>
    </row>
    <row r="10" spans="1:14" ht="20.100000000000001" customHeight="1">
      <c r="A10" s="1027"/>
      <c r="B10" s="1572" t="str">
        <f>IF(OR(D7="Air",D7="OTHER GAS"),K$7,K$6)</f>
        <v>Gas Flow</v>
      </c>
      <c r="C10" s="1574" t="str">
        <f>IF(B10="Gas Flow",L$7,L$6)</f>
        <v>SCFM</v>
      </c>
      <c r="D10" s="982"/>
      <c r="E10" s="976"/>
      <c r="F10" s="1027"/>
      <c r="G10" s="1428"/>
      <c r="I10" s="1561" t="s">
        <v>776</v>
      </c>
    </row>
    <row r="11" spans="1:14" ht="20.100000000000001" customHeight="1">
      <c r="A11" s="1027"/>
      <c r="B11" s="1572" t="s">
        <v>756</v>
      </c>
      <c r="C11" s="1574" t="s">
        <v>1175</v>
      </c>
      <c r="D11" s="2162"/>
      <c r="E11" s="2163"/>
      <c r="F11" s="1027"/>
      <c r="G11" s="1428"/>
      <c r="I11" s="1561" t="s">
        <v>774</v>
      </c>
    </row>
    <row r="12" spans="1:14" ht="20.100000000000001" customHeight="1">
      <c r="A12" s="1027"/>
      <c r="B12" s="1572" t="str">
        <f>IF(OR(D7="Water",E7="Water",D7="Other Liquid",E7="Other Liquid"), "Outlet Temperature (Below boiling point)","Outlet Temperature")</f>
        <v>Outlet Temperature</v>
      </c>
      <c r="C12" s="1574" t="s">
        <v>1175</v>
      </c>
      <c r="D12" s="2162"/>
      <c r="E12" s="2163"/>
      <c r="F12" s="1027"/>
      <c r="G12" s="1428"/>
    </row>
    <row r="13" spans="1:14" ht="20.100000000000001" customHeight="1">
      <c r="A13" s="1027"/>
      <c r="B13" s="1572" t="s">
        <v>507</v>
      </c>
      <c r="C13" s="1575" t="s">
        <v>1173</v>
      </c>
      <c r="D13" s="1576">
        <f>D40</f>
        <v>0</v>
      </c>
      <c r="E13" s="1577">
        <f>E40</f>
        <v>0</v>
      </c>
      <c r="F13" s="1461"/>
      <c r="G13" s="1428"/>
      <c r="L13" s="1561">
        <f>IF($C$3=0,0,1)</f>
        <v>1</v>
      </c>
      <c r="M13" s="1561" t="s">
        <v>3</v>
      </c>
    </row>
    <row r="14" spans="1:14" ht="20.100000000000001" customHeight="1" thickBot="1">
      <c r="A14" s="1027"/>
      <c r="B14" s="1578" t="s">
        <v>1463</v>
      </c>
      <c r="C14" s="1579"/>
      <c r="D14" s="2202">
        <v>1</v>
      </c>
      <c r="E14" s="2203">
        <v>1</v>
      </c>
      <c r="F14" s="1027"/>
      <c r="G14" s="1428"/>
    </row>
    <row r="15" spans="1:14" ht="20.100000000000001" hidden="1" customHeight="1">
      <c r="A15" s="1027"/>
      <c r="B15" s="1580" t="s">
        <v>1104</v>
      </c>
      <c r="C15" s="1581"/>
      <c r="D15" s="1581"/>
      <c r="E15" s="1582"/>
      <c r="F15" s="1027"/>
      <c r="G15" s="1428"/>
      <c r="J15" s="1583" t="s">
        <v>1046</v>
      </c>
      <c r="K15" s="1584"/>
      <c r="L15" s="1584"/>
      <c r="M15" s="1584"/>
      <c r="N15" s="1585"/>
    </row>
    <row r="16" spans="1:14" ht="20.100000000000001" hidden="1" customHeight="1">
      <c r="A16" s="1027"/>
      <c r="B16" s="1586"/>
      <c r="C16" s="1495"/>
      <c r="D16" s="1495"/>
      <c r="E16" s="1587"/>
      <c r="F16" s="1027"/>
      <c r="G16" s="1428"/>
      <c r="J16" s="1588" t="s">
        <v>1045</v>
      </c>
      <c r="K16" s="1589"/>
      <c r="L16" s="1589"/>
      <c r="M16" s="1589"/>
      <c r="N16" s="1590"/>
    </row>
    <row r="17" spans="1:14" ht="20.100000000000001" hidden="1" customHeight="1">
      <c r="A17" s="1027"/>
      <c r="B17" s="1586" t="s">
        <v>1050</v>
      </c>
      <c r="C17" s="1495" t="s">
        <v>1350</v>
      </c>
      <c r="D17" s="1591">
        <f>D10</f>
        <v>0</v>
      </c>
      <c r="E17" s="1592">
        <f>E10</f>
        <v>0</v>
      </c>
      <c r="F17" s="1027"/>
      <c r="G17" s="1428"/>
      <c r="J17" s="1593" t="s">
        <v>1409</v>
      </c>
      <c r="K17" s="1593" t="s">
        <v>1410</v>
      </c>
      <c r="L17" s="1589"/>
      <c r="M17" s="1589"/>
      <c r="N17" s="1590"/>
    </row>
    <row r="18" spans="1:14" ht="20.100000000000001" hidden="1" customHeight="1">
      <c r="A18" s="1027"/>
      <c r="B18" s="1586" t="s">
        <v>1049</v>
      </c>
      <c r="C18" s="1495" t="s">
        <v>1353</v>
      </c>
      <c r="D18" s="1591">
        <f>D17*8.335</f>
        <v>0</v>
      </c>
      <c r="E18" s="1591">
        <f>E17*8.335</f>
        <v>0</v>
      </c>
      <c r="F18" s="1027"/>
      <c r="G18" s="1428"/>
      <c r="J18" s="1593">
        <v>0</v>
      </c>
      <c r="K18" s="1593"/>
      <c r="L18" s="1594" t="s">
        <v>1412</v>
      </c>
      <c r="M18" s="1595"/>
      <c r="N18" s="1590"/>
    </row>
    <row r="19" spans="1:14" ht="20.100000000000001" hidden="1" customHeight="1">
      <c r="A19" s="1027"/>
      <c r="B19" s="1586" t="s">
        <v>1048</v>
      </c>
      <c r="C19" s="1495" t="s">
        <v>1354</v>
      </c>
      <c r="D19" s="1596">
        <v>1</v>
      </c>
      <c r="E19" s="1597">
        <v>1</v>
      </c>
      <c r="F19" s="1598" t="s">
        <v>1413</v>
      </c>
      <c r="G19" s="1428"/>
      <c r="J19" s="1593">
        <f t="shared" ref="J19:J25" si="0">100+J18</f>
        <v>100</v>
      </c>
      <c r="K19" s="1593"/>
      <c r="L19" s="1594">
        <v>7.6300000000000007E-2</v>
      </c>
      <c r="M19" s="1595" t="s">
        <v>1411</v>
      </c>
      <c r="N19" s="1590"/>
    </row>
    <row r="20" spans="1:14" ht="20.100000000000001" hidden="1" customHeight="1" thickBot="1">
      <c r="A20" s="1027"/>
      <c r="B20" s="1599" t="s">
        <v>1047</v>
      </c>
      <c r="C20" s="1600" t="s">
        <v>1173</v>
      </c>
      <c r="D20" s="1601">
        <f>D18*60*D19*(D12-D11)</f>
        <v>0</v>
      </c>
      <c r="E20" s="1602">
        <f>E18*60*E19*(E12-E11)</f>
        <v>0</v>
      </c>
      <c r="F20" s="1603"/>
      <c r="G20" s="1428"/>
      <c r="J20" s="1593">
        <f t="shared" si="0"/>
        <v>200</v>
      </c>
      <c r="K20" s="1593"/>
      <c r="L20" s="1594" t="s">
        <v>1044</v>
      </c>
      <c r="M20" s="1595"/>
      <c r="N20" s="1590"/>
    </row>
    <row r="21" spans="1:14" ht="20.100000000000001" hidden="1" customHeight="1" thickBot="1">
      <c r="A21" s="1027"/>
      <c r="B21" s="1604"/>
      <c r="C21" s="1461"/>
      <c r="D21" s="1603"/>
      <c r="E21" s="1603"/>
      <c r="F21" s="1603"/>
      <c r="G21" s="1428"/>
      <c r="J21" s="1593">
        <f t="shared" si="0"/>
        <v>300</v>
      </c>
      <c r="K21" s="1593"/>
      <c r="L21" s="1594"/>
      <c r="M21" s="1595"/>
      <c r="N21" s="1590"/>
    </row>
    <row r="22" spans="1:14" ht="20.100000000000001" hidden="1" customHeight="1">
      <c r="A22" s="1027"/>
      <c r="B22" s="1580" t="s">
        <v>1102</v>
      </c>
      <c r="C22" s="1581"/>
      <c r="D22" s="1581"/>
      <c r="E22" s="1582"/>
      <c r="F22" s="1603"/>
      <c r="G22" s="1428"/>
      <c r="J22" s="1593">
        <f t="shared" si="0"/>
        <v>400</v>
      </c>
      <c r="K22" s="1593"/>
      <c r="L22" s="1594"/>
      <c r="M22" s="1595"/>
      <c r="N22" s="1590"/>
    </row>
    <row r="23" spans="1:14" ht="20.100000000000001" hidden="1" customHeight="1">
      <c r="A23" s="1027"/>
      <c r="B23" s="1586" t="s">
        <v>1038</v>
      </c>
      <c r="C23" s="1495" t="s">
        <v>1355</v>
      </c>
      <c r="D23" s="1495">
        <f>(D11+D12)/2</f>
        <v>0</v>
      </c>
      <c r="E23" s="1587">
        <f>(E11+E12)/2</f>
        <v>0</v>
      </c>
      <c r="F23" s="1603"/>
      <c r="G23" s="1428"/>
      <c r="J23" s="1593">
        <f t="shared" si="0"/>
        <v>500</v>
      </c>
      <c r="K23" s="1593"/>
      <c r="L23" s="1594"/>
      <c r="M23" s="1595"/>
      <c r="N23" s="1590"/>
    </row>
    <row r="24" spans="1:14" ht="20.100000000000001" hidden="1" customHeight="1">
      <c r="A24" s="1027"/>
      <c r="B24" s="1586" t="s">
        <v>1037</v>
      </c>
      <c r="C24" s="1605" t="s">
        <v>1346</v>
      </c>
      <c r="D24" s="1606">
        <f>$L$27+$L$28*D23+$L$29*D23^2-$L$30*D23^3</f>
        <v>0.23710000000000001</v>
      </c>
      <c r="E24" s="1607">
        <f>$L$27+$L$28*E23+$L$29*E23^2-$L$30*E23^3</f>
        <v>0.23710000000000001</v>
      </c>
      <c r="F24" s="1603"/>
      <c r="G24" s="1428"/>
      <c r="J24" s="1593">
        <f t="shared" si="0"/>
        <v>600</v>
      </c>
      <c r="K24" s="1593"/>
      <c r="L24" s="1594"/>
      <c r="M24" s="1595"/>
      <c r="N24" s="1590"/>
    </row>
    <row r="25" spans="1:14" ht="20.100000000000001" hidden="1" customHeight="1" thickBot="1">
      <c r="A25" s="1027"/>
      <c r="B25" s="1586" t="s">
        <v>1398</v>
      </c>
      <c r="C25" s="1605" t="s">
        <v>1360</v>
      </c>
      <c r="D25" s="1495">
        <v>7.6300000000000007E-2</v>
      </c>
      <c r="E25" s="1587">
        <v>7.6300000000000007E-2</v>
      </c>
      <c r="F25" s="1027"/>
      <c r="G25" s="1428"/>
      <c r="J25" s="1593">
        <f t="shared" si="0"/>
        <v>700</v>
      </c>
      <c r="K25" s="1593"/>
      <c r="L25" s="1608"/>
      <c r="M25" s="1609"/>
      <c r="N25" s="1610"/>
    </row>
    <row r="26" spans="1:14" ht="20.100000000000001" hidden="1" customHeight="1">
      <c r="A26" s="1027"/>
      <c r="B26" s="1586" t="s">
        <v>1036</v>
      </c>
      <c r="C26" s="1495" t="s">
        <v>1357</v>
      </c>
      <c r="D26" s="1495">
        <f>D10*$L$19*60</f>
        <v>0</v>
      </c>
      <c r="E26" s="1587">
        <f>E10*$L$19*60</f>
        <v>0</v>
      </c>
      <c r="F26" s="1027"/>
      <c r="G26" s="1428"/>
      <c r="J26" s="1611"/>
      <c r="K26" s="1612" t="s">
        <v>1043</v>
      </c>
      <c r="L26" s="1612"/>
      <c r="M26" s="1612"/>
      <c r="N26" s="1613"/>
    </row>
    <row r="27" spans="1:14" ht="20.100000000000001" hidden="1" customHeight="1" thickBot="1">
      <c r="A27" s="1027"/>
      <c r="B27" s="1599" t="s">
        <v>965</v>
      </c>
      <c r="C27" s="1614" t="s">
        <v>1173</v>
      </c>
      <c r="D27" s="1601">
        <f>D24*D26*(D12-D11)</f>
        <v>0</v>
      </c>
      <c r="E27" s="1602">
        <f>E24*E26*(E12-E11)</f>
        <v>0</v>
      </c>
      <c r="F27" s="1027"/>
      <c r="G27" s="1428"/>
      <c r="J27" s="1615"/>
      <c r="K27" s="1616" t="s">
        <v>1042</v>
      </c>
      <c r="L27" s="1616">
        <v>0.23710000000000001</v>
      </c>
      <c r="M27" s="1616"/>
      <c r="N27" s="1617"/>
    </row>
    <row r="28" spans="1:14" ht="20.100000000000001" hidden="1" customHeight="1" thickBot="1">
      <c r="A28" s="1027"/>
      <c r="B28" s="1045"/>
      <c r="C28" s="1461"/>
      <c r="D28" s="1603"/>
      <c r="E28" s="1603"/>
      <c r="F28" s="1027"/>
      <c r="G28" s="1428"/>
      <c r="J28" s="1615"/>
      <c r="K28" s="1616" t="s">
        <v>1041</v>
      </c>
      <c r="L28" s="1616">
        <f>-9*10^(-6)</f>
        <v>-9.0000000000000002E-6</v>
      </c>
      <c r="M28" s="1616"/>
      <c r="N28" s="1617"/>
    </row>
    <row r="29" spans="1:14" ht="20.100000000000001" hidden="1" customHeight="1">
      <c r="A29" s="1027"/>
      <c r="B29" s="1580" t="s">
        <v>740</v>
      </c>
      <c r="C29" s="1581"/>
      <c r="D29" s="1581"/>
      <c r="E29" s="1582"/>
      <c r="F29" s="1027"/>
      <c r="G29" s="1428"/>
      <c r="J29" s="1615"/>
      <c r="K29" s="1616" t="s">
        <v>1040</v>
      </c>
      <c r="L29" s="1616">
        <f>7*10^(-8)</f>
        <v>7.0000000000000005E-8</v>
      </c>
      <c r="M29" s="1616"/>
      <c r="N29" s="1617"/>
    </row>
    <row r="30" spans="1:14" ht="20.100000000000001" hidden="1" customHeight="1">
      <c r="A30" s="1027"/>
      <c r="B30" s="1586"/>
      <c r="C30" s="1495"/>
      <c r="D30" s="1495"/>
      <c r="E30" s="1587"/>
      <c r="F30" s="1027"/>
      <c r="G30" s="1428"/>
      <c r="J30" s="1615"/>
      <c r="K30" s="1616" t="s">
        <v>1039</v>
      </c>
      <c r="L30" s="1616">
        <f>3*10^(-11)</f>
        <v>3E-11</v>
      </c>
      <c r="M30" s="1616"/>
      <c r="N30" s="1617"/>
    </row>
    <row r="31" spans="1:14" ht="20.100000000000001" hidden="1" customHeight="1" thickBot="1">
      <c r="A31" s="1027"/>
      <c r="B31" s="1586" t="s">
        <v>737</v>
      </c>
      <c r="C31" s="1495" t="s">
        <v>1354</v>
      </c>
      <c r="D31" s="1618">
        <f>D8</f>
        <v>0</v>
      </c>
      <c r="E31" s="1618">
        <f>E8</f>
        <v>0</v>
      </c>
      <c r="F31" s="1027"/>
      <c r="G31" s="1428"/>
      <c r="J31" s="1619"/>
      <c r="K31" s="1620"/>
      <c r="L31" s="1620"/>
      <c r="M31" s="1620"/>
      <c r="N31" s="1621"/>
    </row>
    <row r="32" spans="1:14" ht="20.100000000000001" hidden="1" customHeight="1">
      <c r="A32" s="1027"/>
      <c r="B32" s="1586" t="s">
        <v>739</v>
      </c>
      <c r="C32" s="1605" t="s">
        <v>1361</v>
      </c>
      <c r="D32" s="1618">
        <f>D9</f>
        <v>0</v>
      </c>
      <c r="E32" s="1618">
        <f>E9</f>
        <v>0</v>
      </c>
      <c r="F32" s="1027"/>
      <c r="G32" s="1428"/>
      <c r="J32" s="1571"/>
      <c r="K32" s="1571"/>
      <c r="L32" s="1571"/>
      <c r="M32" s="1571"/>
      <c r="N32" s="1571"/>
    </row>
    <row r="33" spans="1:7" ht="20.100000000000001" hidden="1" customHeight="1">
      <c r="A33" s="1027"/>
      <c r="B33" s="1586" t="s">
        <v>738</v>
      </c>
      <c r="C33" s="1495" t="s">
        <v>1357</v>
      </c>
      <c r="D33" s="1591">
        <f>D10*D32*60</f>
        <v>0</v>
      </c>
      <c r="E33" s="1591">
        <f>E10*E32*60</f>
        <v>0</v>
      </c>
      <c r="F33" s="1027"/>
      <c r="G33" s="1428"/>
    </row>
    <row r="34" spans="1:7" ht="20.100000000000001" hidden="1" customHeight="1">
      <c r="A34" s="1027"/>
      <c r="B34" s="1586"/>
      <c r="C34" s="1495"/>
      <c r="D34" s="1495"/>
      <c r="E34" s="1495"/>
      <c r="F34" s="1027"/>
      <c r="G34" s="1428"/>
    </row>
    <row r="35" spans="1:7" ht="20.100000000000001" hidden="1" customHeight="1" thickBot="1">
      <c r="A35" s="1027"/>
      <c r="B35" s="1599" t="s">
        <v>965</v>
      </c>
      <c r="C35" s="1614" t="s">
        <v>1173</v>
      </c>
      <c r="D35" s="1601">
        <f>D31*D33*(D12-D11)</f>
        <v>0</v>
      </c>
      <c r="E35" s="1601">
        <f>E31*E33*(E12-E11)</f>
        <v>0</v>
      </c>
      <c r="F35" s="1027"/>
      <c r="G35" s="1428"/>
    </row>
    <row r="36" spans="1:7" ht="20.100000000000001" hidden="1" customHeight="1" thickBot="1">
      <c r="A36" s="1027"/>
      <c r="B36" s="1045"/>
      <c r="C36" s="1603"/>
      <c r="D36" s="1622"/>
      <c r="E36" s="1622"/>
      <c r="F36" s="1027"/>
      <c r="G36" s="1428"/>
    </row>
    <row r="37" spans="1:7" ht="20.100000000000001" hidden="1" customHeight="1">
      <c r="A37" s="1027"/>
      <c r="B37" s="1623" t="s">
        <v>741</v>
      </c>
      <c r="C37" s="1581"/>
      <c r="D37" s="1624" t="b">
        <f>OR((D7="Air"),(D7="Water"))</f>
        <v>1</v>
      </c>
      <c r="E37" s="1625" t="b">
        <f>OR((E7="Air"),(E7="Water"))</f>
        <v>1</v>
      </c>
      <c r="F37" s="1027"/>
      <c r="G37" s="1428"/>
    </row>
    <row r="38" spans="1:7" ht="20.100000000000001" hidden="1" customHeight="1">
      <c r="A38" s="1027"/>
      <c r="B38" s="1586" t="s">
        <v>741</v>
      </c>
      <c r="C38" s="1495"/>
      <c r="D38" s="1626">
        <f>IF(D7="Air",(D27*D37),(D20*D37))</f>
        <v>0</v>
      </c>
      <c r="E38" s="1627">
        <f>IF(E7="Air",(E27*E37),(E20*E37))</f>
        <v>0</v>
      </c>
      <c r="F38" s="1027"/>
      <c r="G38" s="1428"/>
    </row>
    <row r="39" spans="1:7" ht="20.100000000000001" hidden="1" customHeight="1">
      <c r="A39" s="1027"/>
      <c r="B39" s="1586" t="s">
        <v>742</v>
      </c>
      <c r="C39" s="1495"/>
      <c r="D39" s="1626" t="b">
        <f>OR((D7="Other Gas"),(D7="Other Liquid"))</f>
        <v>0</v>
      </c>
      <c r="E39" s="1627" t="b">
        <f>OR((E7="Other Gas"),(E7="Other Liquid"))</f>
        <v>0</v>
      </c>
      <c r="F39" s="1027"/>
      <c r="G39" s="1428"/>
    </row>
    <row r="40" spans="1:7" ht="20.100000000000001" hidden="1" customHeight="1" thickBot="1">
      <c r="A40" s="1027"/>
      <c r="B40" s="1599"/>
      <c r="C40" s="1628" t="s">
        <v>1172</v>
      </c>
      <c r="D40" s="1629">
        <f>IF(D39,D35,D38)</f>
        <v>0</v>
      </c>
      <c r="E40" s="1630">
        <f>IF(E39,E35,E38)</f>
        <v>0</v>
      </c>
      <c r="F40" s="1027"/>
      <c r="G40" s="1428"/>
    </row>
    <row r="41" spans="1:7" ht="20.100000000000001" customHeight="1" thickBot="1">
      <c r="A41" s="1027"/>
      <c r="B41" s="1429"/>
      <c r="C41" s="1428"/>
      <c r="D41" s="1428"/>
      <c r="E41" s="1428"/>
      <c r="F41" s="1428"/>
      <c r="G41" s="1428"/>
    </row>
    <row r="42" spans="1:7" ht="20.100000000000001" customHeight="1" thickBot="1">
      <c r="A42" s="1027"/>
      <c r="B42" s="1564" t="s">
        <v>1105</v>
      </c>
      <c r="C42" s="1565"/>
      <c r="D42" s="1565"/>
      <c r="E42" s="1566"/>
      <c r="F42" s="1027"/>
      <c r="G42" s="1428"/>
    </row>
    <row r="43" spans="1:7" ht="20.100000000000001" customHeight="1">
      <c r="A43" s="1027"/>
      <c r="B43" s="1567"/>
      <c r="C43" s="1568"/>
      <c r="D43" s="1569" t="s">
        <v>1171</v>
      </c>
      <c r="E43" s="1570" t="s">
        <v>1115</v>
      </c>
      <c r="F43" s="1027"/>
      <c r="G43" s="1428"/>
    </row>
    <row r="44" spans="1:7" ht="20.100000000000001" customHeight="1">
      <c r="A44" s="1027"/>
      <c r="B44" s="1572" t="s">
        <v>1101</v>
      </c>
      <c r="C44" s="1573"/>
      <c r="D44" s="980" t="s">
        <v>1349</v>
      </c>
      <c r="E44" s="975" t="s">
        <v>1349</v>
      </c>
      <c r="F44" s="1027"/>
      <c r="G44" s="1428"/>
    </row>
    <row r="45" spans="1:7" ht="20.100000000000001" customHeight="1">
      <c r="A45" s="1027"/>
      <c r="B45" s="1572" t="s">
        <v>1464</v>
      </c>
      <c r="C45" s="1573" t="s">
        <v>1351</v>
      </c>
      <c r="D45" s="981"/>
      <c r="E45" s="977"/>
      <c r="F45" s="1027"/>
      <c r="G45" s="1428"/>
    </row>
    <row r="46" spans="1:7" ht="20.100000000000001" customHeight="1">
      <c r="A46" s="1027"/>
      <c r="B46" s="1572" t="s">
        <v>733</v>
      </c>
      <c r="C46" s="1573" t="str">
        <f>IF(B47="Gas Flow","(lb/SCF)", "(lb/gal)")</f>
        <v>(lb/gal)</v>
      </c>
      <c r="D46" s="983"/>
      <c r="E46" s="978"/>
      <c r="F46" s="1027"/>
      <c r="G46" s="1428"/>
    </row>
    <row r="47" spans="1:7" ht="20.100000000000001" customHeight="1">
      <c r="A47" s="1027"/>
      <c r="B47" s="1572" t="str">
        <f>IF(OR(D44="Air",D44="OTHER GAS"),K$7,K$6)</f>
        <v>Liquid Flow</v>
      </c>
      <c r="C47" s="1574" t="str">
        <f>IF(B47="Gas Flow",L$7,L$6)</f>
        <v>gal/min</v>
      </c>
      <c r="D47" s="982"/>
      <c r="E47" s="976"/>
      <c r="F47" s="1027"/>
      <c r="G47" s="1428"/>
    </row>
    <row r="48" spans="1:7" ht="20.100000000000001" customHeight="1">
      <c r="A48" s="1027"/>
      <c r="B48" s="1572" t="s">
        <v>756</v>
      </c>
      <c r="C48" s="1574" t="s">
        <v>1175</v>
      </c>
      <c r="D48" s="2162"/>
      <c r="E48" s="2163"/>
      <c r="F48" s="1027"/>
      <c r="G48" s="1428"/>
    </row>
    <row r="49" spans="1:13" ht="20.100000000000001" customHeight="1">
      <c r="A49" s="1027"/>
      <c r="B49" s="1572" t="str">
        <f>IF(OR(D44="Water",E44="Water",D44="Other Liquid",E44="Other Liquid"), "Outlet Temperature (Below boiling point)","Outlet Temperature")</f>
        <v>Outlet Temperature (Below boiling point)</v>
      </c>
      <c r="C49" s="1574" t="s">
        <v>1175</v>
      </c>
      <c r="D49" s="2162"/>
      <c r="E49" s="2163"/>
      <c r="F49" s="1027"/>
      <c r="G49" s="1428"/>
    </row>
    <row r="50" spans="1:13" ht="20.100000000000001" customHeight="1">
      <c r="A50" s="1027"/>
      <c r="B50" s="1572" t="s">
        <v>507</v>
      </c>
      <c r="C50" s="1575" t="s">
        <v>1173</v>
      </c>
      <c r="D50" s="1576">
        <f>D77</f>
        <v>0</v>
      </c>
      <c r="E50" s="1577">
        <f>E77</f>
        <v>0</v>
      </c>
      <c r="F50" s="1603"/>
      <c r="G50" s="1428"/>
      <c r="L50" s="1561">
        <f>IF($C$3&gt;1,1,0)</f>
        <v>1</v>
      </c>
      <c r="M50" s="1561" t="s">
        <v>3</v>
      </c>
    </row>
    <row r="51" spans="1:13" ht="20.100000000000001" customHeight="1" thickBot="1">
      <c r="A51" s="1027"/>
      <c r="B51" s="1578" t="s">
        <v>1463</v>
      </c>
      <c r="C51" s="1579"/>
      <c r="D51" s="2202">
        <v>1</v>
      </c>
      <c r="E51" s="2203">
        <v>1</v>
      </c>
      <c r="F51" s="1603"/>
      <c r="G51" s="1428"/>
    </row>
    <row r="52" spans="1:13" ht="20.100000000000001" hidden="1" customHeight="1">
      <c r="A52" s="1027"/>
      <c r="B52" s="1580" t="s">
        <v>1104</v>
      </c>
      <c r="C52" s="1581"/>
      <c r="D52" s="1581"/>
      <c r="E52" s="1582"/>
      <c r="F52" s="1603"/>
      <c r="G52" s="1428"/>
    </row>
    <row r="53" spans="1:13" ht="20.100000000000001" hidden="1" customHeight="1">
      <c r="A53" s="1027"/>
      <c r="B53" s="1586"/>
      <c r="C53" s="1495"/>
      <c r="D53" s="1495"/>
      <c r="E53" s="1587"/>
      <c r="F53" s="1027"/>
      <c r="G53" s="1428"/>
    </row>
    <row r="54" spans="1:13" ht="20.100000000000001" hidden="1" customHeight="1">
      <c r="A54" s="1027"/>
      <c r="B54" s="1586" t="s">
        <v>1415</v>
      </c>
      <c r="C54" s="1495" t="s">
        <v>1350</v>
      </c>
      <c r="D54" s="1495">
        <f>D47</f>
        <v>0</v>
      </c>
      <c r="E54" s="1587">
        <f>E47</f>
        <v>0</v>
      </c>
      <c r="F54" s="1245"/>
      <c r="G54" s="1428"/>
    </row>
    <row r="55" spans="1:13" ht="20.100000000000001" hidden="1" customHeight="1">
      <c r="A55" s="1027"/>
      <c r="B55" s="1586" t="s">
        <v>1049</v>
      </c>
      <c r="C55" s="1495" t="s">
        <v>1353</v>
      </c>
      <c r="D55" s="1495">
        <f>D54*8.335</f>
        <v>0</v>
      </c>
      <c r="E55" s="1495">
        <f>E54*8.335</f>
        <v>0</v>
      </c>
      <c r="F55" s="1027"/>
      <c r="G55" s="1428"/>
    </row>
    <row r="56" spans="1:13" ht="20.100000000000001" hidden="1" customHeight="1">
      <c r="A56" s="1027"/>
      <c r="B56" s="1586" t="s">
        <v>1048</v>
      </c>
      <c r="C56" s="1495" t="s">
        <v>1354</v>
      </c>
      <c r="D56" s="1596">
        <v>1</v>
      </c>
      <c r="E56" s="1597">
        <v>1</v>
      </c>
      <c r="F56" s="1598" t="s">
        <v>964</v>
      </c>
      <c r="G56" s="1428"/>
    </row>
    <row r="57" spans="1:13" ht="20.100000000000001" hidden="1" customHeight="1" thickBot="1">
      <c r="A57" s="1027"/>
      <c r="B57" s="1599" t="s">
        <v>1047</v>
      </c>
      <c r="C57" s="1600" t="s">
        <v>1173</v>
      </c>
      <c r="D57" s="1631">
        <f>D55*60*D56*(D49-D48)</f>
        <v>0</v>
      </c>
      <c r="E57" s="1632">
        <f>E55*60*E56*(E49-E48)</f>
        <v>0</v>
      </c>
      <c r="F57" s="1027"/>
      <c r="G57" s="1428"/>
    </row>
    <row r="58" spans="1:13" ht="20.100000000000001" hidden="1" customHeight="1" thickBot="1">
      <c r="A58" s="1027"/>
      <c r="B58" s="1604"/>
      <c r="C58" s="1461"/>
      <c r="D58" s="1603"/>
      <c r="E58" s="1603"/>
      <c r="F58" s="1461"/>
      <c r="G58" s="1428"/>
    </row>
    <row r="59" spans="1:13" ht="20.100000000000001" hidden="1" customHeight="1">
      <c r="A59" s="1027"/>
      <c r="B59" s="1580" t="s">
        <v>1102</v>
      </c>
      <c r="C59" s="1581"/>
      <c r="D59" s="1581"/>
      <c r="E59" s="1582"/>
      <c r="F59" s="1027"/>
      <c r="G59" s="1428"/>
    </row>
    <row r="60" spans="1:13" ht="20.100000000000001" hidden="1" customHeight="1">
      <c r="A60" s="1027"/>
      <c r="B60" s="1586" t="s">
        <v>1038</v>
      </c>
      <c r="C60" s="1495" t="s">
        <v>1355</v>
      </c>
      <c r="D60" s="1495">
        <f>(D48+D49)/2</f>
        <v>0</v>
      </c>
      <c r="E60" s="1587">
        <f>(E48+E49)/2</f>
        <v>0</v>
      </c>
      <c r="F60" s="1027"/>
      <c r="G60" s="1428"/>
    </row>
    <row r="61" spans="1:13" ht="20.100000000000001" hidden="1" customHeight="1">
      <c r="A61" s="1027"/>
      <c r="B61" s="1586" t="s">
        <v>1037</v>
      </c>
      <c r="C61" s="1605" t="s">
        <v>1346</v>
      </c>
      <c r="D61" s="1495">
        <f>$L$27+$L$28*D60+$L$29*D60^2-$L$30*D60^3</f>
        <v>0.23710000000000001</v>
      </c>
      <c r="E61" s="1587">
        <f>$L$27+$L$28*E60+$L$29*E60^2-$L$30*E60^3</f>
        <v>0.23710000000000001</v>
      </c>
      <c r="F61" s="1027"/>
      <c r="G61" s="1428"/>
    </row>
    <row r="62" spans="1:13" ht="20.100000000000001" hidden="1" customHeight="1">
      <c r="A62" s="1027"/>
      <c r="B62" s="1586" t="s">
        <v>1414</v>
      </c>
      <c r="C62" s="1605" t="s">
        <v>1360</v>
      </c>
      <c r="D62" s="1606">
        <f>L19</f>
        <v>7.6300000000000007E-2</v>
      </c>
      <c r="E62" s="1607">
        <f>D62</f>
        <v>7.6300000000000007E-2</v>
      </c>
      <c r="F62" s="1027"/>
      <c r="G62" s="1428"/>
    </row>
    <row r="63" spans="1:13" ht="20.100000000000001" hidden="1" customHeight="1">
      <c r="A63" s="1027"/>
      <c r="B63" s="1586" t="s">
        <v>1036</v>
      </c>
      <c r="C63" s="1495" t="s">
        <v>1357</v>
      </c>
      <c r="D63" s="1495">
        <f>D47*$L$19*60</f>
        <v>0</v>
      </c>
      <c r="E63" s="1587">
        <f>E47*$L$19*60</f>
        <v>0</v>
      </c>
      <c r="F63" s="1027"/>
      <c r="G63" s="1428"/>
    </row>
    <row r="64" spans="1:13" ht="20.100000000000001" hidden="1" customHeight="1" thickBot="1">
      <c r="A64" s="1027"/>
      <c r="B64" s="1599" t="s">
        <v>965</v>
      </c>
      <c r="C64" s="1614" t="s">
        <v>1173</v>
      </c>
      <c r="D64" s="1600">
        <f>D61*D63*(D49-D48)</f>
        <v>0</v>
      </c>
      <c r="E64" s="1633">
        <f>E61*E63*(E49-E48)</f>
        <v>0</v>
      </c>
      <c r="F64" s="1634"/>
      <c r="G64" s="1428"/>
    </row>
    <row r="65" spans="1:7" ht="20.100000000000001" hidden="1" customHeight="1" thickBot="1">
      <c r="A65" s="1027"/>
      <c r="B65" s="1635"/>
      <c r="C65" s="1027"/>
      <c r="D65" s="1027"/>
      <c r="E65" s="1027"/>
      <c r="F65" s="1603"/>
      <c r="G65" s="1428"/>
    </row>
    <row r="66" spans="1:7" ht="20.100000000000001" hidden="1" customHeight="1">
      <c r="A66" s="1027"/>
      <c r="B66" s="1580" t="s">
        <v>740</v>
      </c>
      <c r="C66" s="1581"/>
      <c r="D66" s="1581"/>
      <c r="E66" s="1582"/>
      <c r="F66" s="1603"/>
      <c r="G66" s="1428"/>
    </row>
    <row r="67" spans="1:7" ht="20.100000000000001" hidden="1" customHeight="1">
      <c r="A67" s="1027"/>
      <c r="B67" s="1586"/>
      <c r="C67" s="1495"/>
      <c r="D67" s="1495"/>
      <c r="E67" s="1587"/>
      <c r="F67" s="1603"/>
      <c r="G67" s="1428"/>
    </row>
    <row r="68" spans="1:7" ht="20.100000000000001" hidden="1" customHeight="1">
      <c r="A68" s="1027"/>
      <c r="B68" s="1586" t="s">
        <v>737</v>
      </c>
      <c r="C68" s="1605" t="s">
        <v>1354</v>
      </c>
      <c r="D68" s="1636">
        <f>D45</f>
        <v>0</v>
      </c>
      <c r="E68" s="1636">
        <f>E45</f>
        <v>0</v>
      </c>
      <c r="F68" s="1603"/>
      <c r="G68" s="1428"/>
    </row>
    <row r="69" spans="1:7" ht="20.100000000000001" hidden="1" customHeight="1">
      <c r="A69" s="1027"/>
      <c r="B69" s="1586" t="s">
        <v>1416</v>
      </c>
      <c r="C69" s="1605" t="s">
        <v>1361</v>
      </c>
      <c r="D69" s="1606">
        <f>D46</f>
        <v>0</v>
      </c>
      <c r="E69" s="1606">
        <f>E46</f>
        <v>0</v>
      </c>
      <c r="F69" s="1603"/>
      <c r="G69" s="1428"/>
    </row>
    <row r="70" spans="1:7" ht="20.100000000000001" hidden="1" customHeight="1">
      <c r="A70" s="1027"/>
      <c r="B70" s="1586" t="s">
        <v>738</v>
      </c>
      <c r="C70" s="1495" t="s">
        <v>1357</v>
      </c>
      <c r="D70" s="1591">
        <f>D47*D69*60</f>
        <v>0</v>
      </c>
      <c r="E70" s="1591">
        <f>E47*E69*60</f>
        <v>0</v>
      </c>
      <c r="F70" s="1603"/>
      <c r="G70" s="1428"/>
    </row>
    <row r="71" spans="1:7" ht="20.100000000000001" hidden="1" customHeight="1">
      <c r="A71" s="1027"/>
      <c r="B71" s="1586"/>
      <c r="C71" s="1495"/>
      <c r="D71" s="1495"/>
      <c r="E71" s="1495"/>
      <c r="F71" s="1603"/>
      <c r="G71" s="1428"/>
    </row>
    <row r="72" spans="1:7" ht="20.100000000000001" hidden="1" customHeight="1" thickBot="1">
      <c r="A72" s="1027"/>
      <c r="B72" s="1599" t="s">
        <v>965</v>
      </c>
      <c r="C72" s="1614" t="s">
        <v>1173</v>
      </c>
      <c r="D72" s="1601">
        <f>D68*D70*(D49-D48)</f>
        <v>0</v>
      </c>
      <c r="E72" s="1601">
        <f>E68*E70*(E49-E48)</f>
        <v>0</v>
      </c>
      <c r="F72" s="1603"/>
      <c r="G72" s="1428"/>
    </row>
    <row r="73" spans="1:7" ht="20.100000000000001" hidden="1" customHeight="1" thickBot="1">
      <c r="A73" s="1027"/>
      <c r="B73" s="1045"/>
      <c r="C73" s="1027"/>
      <c r="D73" s="1027"/>
      <c r="E73" s="1027"/>
      <c r="F73" s="1603"/>
      <c r="G73" s="1428"/>
    </row>
    <row r="74" spans="1:7" ht="20.100000000000001" hidden="1" customHeight="1">
      <c r="A74" s="1027"/>
      <c r="B74" s="1623" t="s">
        <v>741</v>
      </c>
      <c r="C74" s="1581"/>
      <c r="D74" s="1624" t="b">
        <f>OR((D44="Air"),(D44="Water"))</f>
        <v>0</v>
      </c>
      <c r="E74" s="1625" t="b">
        <f>OR((E44="Air"),(E44="Water"))</f>
        <v>0</v>
      </c>
      <c r="F74" s="1603"/>
      <c r="G74" s="1428"/>
    </row>
    <row r="75" spans="1:7" ht="20.100000000000001" hidden="1" customHeight="1">
      <c r="A75" s="1027"/>
      <c r="B75" s="1586" t="s">
        <v>741</v>
      </c>
      <c r="C75" s="1495"/>
      <c r="D75" s="1626">
        <f>IF(D44="Air",(D64*D74),(D57*D74))</f>
        <v>0</v>
      </c>
      <c r="E75" s="1627">
        <f>IF(E44="Air",(E64*E74),(E57*E74))</f>
        <v>0</v>
      </c>
      <c r="F75" s="1027"/>
      <c r="G75" s="1428"/>
    </row>
    <row r="76" spans="1:7" ht="20.100000000000001" hidden="1" customHeight="1">
      <c r="A76" s="1027"/>
      <c r="B76" s="1586" t="s">
        <v>742</v>
      </c>
      <c r="C76" s="1495"/>
      <c r="D76" s="1626" t="b">
        <f>OR((D44="Other Gas"),(D44="Other Liquid"))</f>
        <v>1</v>
      </c>
      <c r="E76" s="1627" t="b">
        <f>OR((E44="Other Gas"),(E44="Other Liquid"))</f>
        <v>1</v>
      </c>
      <c r="F76" s="1027"/>
      <c r="G76" s="1428"/>
    </row>
    <row r="77" spans="1:7" ht="20.100000000000001" hidden="1" customHeight="1" thickBot="1">
      <c r="A77" s="1027"/>
      <c r="B77" s="1599"/>
      <c r="C77" s="1628" t="s">
        <v>1172</v>
      </c>
      <c r="D77" s="1629">
        <f>IF(D76,D72,D75)</f>
        <v>0</v>
      </c>
      <c r="E77" s="1630">
        <f>IF(E76,E72,E75)</f>
        <v>0</v>
      </c>
      <c r="F77" s="1027"/>
      <c r="G77" s="1428"/>
    </row>
    <row r="78" spans="1:7" ht="20.100000000000001" customHeight="1">
      <c r="A78" s="1027"/>
      <c r="B78" s="1045"/>
      <c r="C78" s="1245"/>
      <c r="D78" s="1455"/>
      <c r="E78" s="1455"/>
      <c r="F78" s="1027"/>
      <c r="G78" s="1428"/>
    </row>
    <row r="79" spans="1:7" ht="20.100000000000001" customHeight="1" thickBot="1">
      <c r="A79" s="1027"/>
      <c r="B79" s="1045"/>
      <c r="C79" s="1027"/>
      <c r="D79" s="1027"/>
      <c r="E79" s="1027"/>
      <c r="F79" s="1027"/>
      <c r="G79" s="1428"/>
    </row>
    <row r="80" spans="1:7" ht="20.100000000000001" customHeight="1" thickBot="1">
      <c r="A80" s="1027"/>
      <c r="B80" s="1564" t="s">
        <v>1106</v>
      </c>
      <c r="C80" s="1565"/>
      <c r="D80" s="1565"/>
      <c r="E80" s="1566"/>
      <c r="F80" s="1027"/>
      <c r="G80" s="1428"/>
    </row>
    <row r="81" spans="1:13" ht="20.100000000000001" customHeight="1">
      <c r="A81" s="1027"/>
      <c r="B81" s="1567"/>
      <c r="C81" s="1568"/>
      <c r="D81" s="1637" t="s">
        <v>1171</v>
      </c>
      <c r="E81" s="1638" t="s">
        <v>1115</v>
      </c>
      <c r="F81" s="1027"/>
      <c r="G81" s="1428"/>
    </row>
    <row r="82" spans="1:13" ht="20.100000000000001" customHeight="1">
      <c r="A82" s="1027"/>
      <c r="B82" s="1572" t="s">
        <v>1101</v>
      </c>
      <c r="C82" s="1573"/>
      <c r="D82" s="980" t="s">
        <v>736</v>
      </c>
      <c r="E82" s="975" t="s">
        <v>736</v>
      </c>
      <c r="F82" s="1027"/>
      <c r="G82" s="1428"/>
    </row>
    <row r="83" spans="1:13" ht="20.100000000000001" customHeight="1">
      <c r="A83" s="1027"/>
      <c r="B83" s="1572" t="s">
        <v>1464</v>
      </c>
      <c r="C83" s="1574" t="s">
        <v>1351</v>
      </c>
      <c r="D83" s="981"/>
      <c r="E83" s="977"/>
      <c r="F83" s="1027"/>
      <c r="G83" s="1428"/>
    </row>
    <row r="84" spans="1:13" ht="20.100000000000001" customHeight="1">
      <c r="A84" s="1027"/>
      <c r="B84" s="1572" t="s">
        <v>733</v>
      </c>
      <c r="C84" s="1574" t="str">
        <f>IF(B85="Gas Flow","(lb/SCF)", "(lb/gal)")</f>
        <v>(lb/SCF)</v>
      </c>
      <c r="D84" s="983"/>
      <c r="E84" s="978"/>
      <c r="F84" s="1603"/>
      <c r="G84" s="1428"/>
      <c r="L84" s="1561">
        <f>IF($C$3&gt;2,1,0)</f>
        <v>1</v>
      </c>
      <c r="M84" s="1561" t="s">
        <v>3</v>
      </c>
    </row>
    <row r="85" spans="1:13" ht="20.100000000000001" customHeight="1">
      <c r="A85" s="1027"/>
      <c r="B85" s="1572" t="str">
        <f>IF(OR(D82="Air",D82="OTHER GAS"),K$7,K$6)</f>
        <v>Gas Flow</v>
      </c>
      <c r="C85" s="1574" t="str">
        <f>IF(B85="Gas Flow",L$7,L$6)</f>
        <v>SCFM</v>
      </c>
      <c r="D85" s="982"/>
      <c r="E85" s="976"/>
      <c r="F85" s="1603"/>
      <c r="G85" s="1428"/>
    </row>
    <row r="86" spans="1:13" ht="20.100000000000001" customHeight="1">
      <c r="A86" s="1027"/>
      <c r="B86" s="1572" t="s">
        <v>756</v>
      </c>
      <c r="C86" s="1574" t="s">
        <v>1175</v>
      </c>
      <c r="D86" s="2162"/>
      <c r="E86" s="2163"/>
      <c r="F86" s="1603"/>
      <c r="G86" s="1428"/>
    </row>
    <row r="87" spans="1:13" ht="20.100000000000001" customHeight="1">
      <c r="A87" s="1027"/>
      <c r="B87" s="1572" t="str">
        <f>IF(OR(D82="Water",E82="Water",D82="Other Liquid",E82="Other Liquid"), "Outlet Temperature (Below boiling point)","Outlet Temperature")</f>
        <v>Outlet Temperature</v>
      </c>
      <c r="C87" s="1574" t="s">
        <v>1175</v>
      </c>
      <c r="D87" s="2162"/>
      <c r="E87" s="2163"/>
      <c r="F87" s="1027"/>
      <c r="G87" s="1428"/>
    </row>
    <row r="88" spans="1:13" ht="20.100000000000001" customHeight="1">
      <c r="A88" s="1027"/>
      <c r="B88" s="1572" t="s">
        <v>507</v>
      </c>
      <c r="C88" s="1575" t="s">
        <v>1173</v>
      </c>
      <c r="D88" s="1576">
        <f>D115</f>
        <v>0</v>
      </c>
      <c r="E88" s="1577">
        <f>E115</f>
        <v>0</v>
      </c>
      <c r="F88" s="1245"/>
      <c r="G88" s="1428"/>
    </row>
    <row r="89" spans="1:13" ht="20.100000000000001" customHeight="1" thickBot="1">
      <c r="A89" s="1027"/>
      <c r="B89" s="1578" t="s">
        <v>1463</v>
      </c>
      <c r="C89" s="1579"/>
      <c r="D89" s="2202">
        <v>1</v>
      </c>
      <c r="E89" s="2203">
        <v>1</v>
      </c>
      <c r="F89" s="1027"/>
      <c r="G89" s="1428"/>
    </row>
    <row r="90" spans="1:13" ht="20.100000000000001" hidden="1" customHeight="1">
      <c r="A90" s="1027"/>
      <c r="B90" s="1580" t="s">
        <v>1104</v>
      </c>
      <c r="C90" s="1581"/>
      <c r="D90" s="1581"/>
      <c r="E90" s="1582"/>
      <c r="F90" s="1598" t="s">
        <v>964</v>
      </c>
      <c r="G90" s="1428"/>
    </row>
    <row r="91" spans="1:13" ht="20.100000000000001" hidden="1" customHeight="1">
      <c r="A91" s="1027"/>
      <c r="B91" s="1586"/>
      <c r="C91" s="1495"/>
      <c r="D91" s="1495"/>
      <c r="E91" s="1587"/>
      <c r="F91" s="1027"/>
      <c r="G91" s="1428"/>
    </row>
    <row r="92" spans="1:13" ht="20.100000000000001" hidden="1" customHeight="1">
      <c r="A92" s="1027"/>
      <c r="B92" s="1586" t="s">
        <v>1050</v>
      </c>
      <c r="C92" s="1495" t="s">
        <v>1350</v>
      </c>
      <c r="D92" s="1639">
        <f>D85</f>
        <v>0</v>
      </c>
      <c r="E92" s="1048">
        <f>E85</f>
        <v>0</v>
      </c>
      <c r="F92" s="1461"/>
      <c r="G92" s="1428"/>
    </row>
    <row r="93" spans="1:13" ht="20.100000000000001" hidden="1" customHeight="1">
      <c r="A93" s="1027"/>
      <c r="B93" s="1586" t="s">
        <v>1049</v>
      </c>
      <c r="C93" s="1495" t="s">
        <v>1353</v>
      </c>
      <c r="D93" s="1639">
        <f>D92*8.335</f>
        <v>0</v>
      </c>
      <c r="E93" s="1639">
        <f>E92*8.335</f>
        <v>0</v>
      </c>
      <c r="F93" s="1027"/>
      <c r="G93" s="1428"/>
    </row>
    <row r="94" spans="1:13" ht="20.100000000000001" hidden="1" customHeight="1">
      <c r="A94" s="1027"/>
      <c r="B94" s="1586" t="s">
        <v>1048</v>
      </c>
      <c r="C94" s="1495" t="s">
        <v>1354</v>
      </c>
      <c r="D94" s="1639">
        <v>1</v>
      </c>
      <c r="E94" s="1048">
        <f>D94</f>
        <v>1</v>
      </c>
      <c r="F94" s="1027"/>
      <c r="G94" s="1428"/>
    </row>
    <row r="95" spans="1:13" ht="20.100000000000001" hidden="1" customHeight="1" thickBot="1">
      <c r="A95" s="1027"/>
      <c r="B95" s="1599" t="s">
        <v>1047</v>
      </c>
      <c r="C95" s="1600" t="s">
        <v>1173</v>
      </c>
      <c r="D95" s="1631">
        <f>D93*60*D94*(D87-D86)</f>
        <v>0</v>
      </c>
      <c r="E95" s="1632">
        <f>E93*60*E94*(E87-E86)</f>
        <v>0</v>
      </c>
      <c r="F95" s="1027"/>
      <c r="G95" s="1027"/>
      <c r="H95" s="1640"/>
      <c r="I95" s="1641"/>
      <c r="J95" s="1642"/>
      <c r="K95" s="1643"/>
    </row>
    <row r="96" spans="1:13" ht="20.100000000000001" hidden="1" customHeight="1" thickBot="1">
      <c r="A96" s="1027"/>
      <c r="B96" s="1604"/>
      <c r="C96" s="1461"/>
      <c r="D96" s="1603"/>
      <c r="E96" s="1603"/>
      <c r="F96" s="1027"/>
      <c r="G96" s="1027"/>
      <c r="H96" s="1644"/>
      <c r="I96" s="1645"/>
      <c r="J96" s="1646"/>
      <c r="K96" s="1643"/>
    </row>
    <row r="97" spans="1:13" ht="20.100000000000001" hidden="1" customHeight="1">
      <c r="A97" s="1027"/>
      <c r="B97" s="1580" t="s">
        <v>1102</v>
      </c>
      <c r="C97" s="1581"/>
      <c r="D97" s="1581"/>
      <c r="E97" s="1582"/>
      <c r="F97" s="1027"/>
      <c r="G97" s="1027"/>
      <c r="H97" s="1644"/>
      <c r="I97" s="1645"/>
      <c r="J97" s="1646"/>
      <c r="K97" s="1643"/>
    </row>
    <row r="98" spans="1:13" ht="20.100000000000001" hidden="1" customHeight="1">
      <c r="A98" s="1027"/>
      <c r="B98" s="1586" t="s">
        <v>1038</v>
      </c>
      <c r="C98" s="1495" t="s">
        <v>1355</v>
      </c>
      <c r="D98" s="1495">
        <f>(D86+D87)/2</f>
        <v>0</v>
      </c>
      <c r="E98" s="1587">
        <f>(E86+E87)/2</f>
        <v>0</v>
      </c>
      <c r="F98" s="1634"/>
      <c r="G98" s="1027"/>
      <c r="H98" s="1644"/>
      <c r="I98" s="1645"/>
      <c r="J98" s="1646"/>
      <c r="K98" s="1643"/>
    </row>
    <row r="99" spans="1:13" ht="20.100000000000001" hidden="1" customHeight="1">
      <c r="A99" s="1027"/>
      <c r="B99" s="1586" t="s">
        <v>1037</v>
      </c>
      <c r="C99" s="1605" t="s">
        <v>1346</v>
      </c>
      <c r="D99" s="1495">
        <f>$L$27+$L$28*D98+$L$29*D98^2-$L$30*D98^3</f>
        <v>0.23710000000000001</v>
      </c>
      <c r="E99" s="1587">
        <f>$L$27+$L$28*E98+$L$29*E98^2-$L$30*E98^3</f>
        <v>0.23710000000000001</v>
      </c>
      <c r="F99" s="1027"/>
      <c r="G99" s="1027"/>
      <c r="H99" s="1643"/>
      <c r="I99" s="1643"/>
      <c r="J99" s="1643"/>
      <c r="K99" s="1643"/>
    </row>
    <row r="100" spans="1:13" ht="20.100000000000001" hidden="1" customHeight="1">
      <c r="A100" s="1027"/>
      <c r="B100" s="1586" t="s">
        <v>1417</v>
      </c>
      <c r="C100" s="1605" t="s">
        <v>1360</v>
      </c>
      <c r="D100" s="1636">
        <f>L19</f>
        <v>7.6300000000000007E-2</v>
      </c>
      <c r="E100" s="1647">
        <f>D100</f>
        <v>7.6300000000000007E-2</v>
      </c>
      <c r="F100" s="1027"/>
      <c r="G100" s="1027"/>
      <c r="H100" s="1643"/>
      <c r="I100" s="1643"/>
      <c r="J100" s="1643"/>
      <c r="K100" s="1643"/>
    </row>
    <row r="101" spans="1:13" ht="20.100000000000001" hidden="1" customHeight="1">
      <c r="A101" s="1027"/>
      <c r="B101" s="1586" t="s">
        <v>1036</v>
      </c>
      <c r="C101" s="1495" t="s">
        <v>1357</v>
      </c>
      <c r="D101" s="1495">
        <f>D85*$L$19*60</f>
        <v>0</v>
      </c>
      <c r="E101" s="1587">
        <f>E85*$L$19*60</f>
        <v>0</v>
      </c>
      <c r="F101" s="1027"/>
      <c r="G101" s="1428"/>
      <c r="K101" s="1643"/>
    </row>
    <row r="102" spans="1:13" ht="20.100000000000001" hidden="1" customHeight="1" thickBot="1">
      <c r="A102" s="1027"/>
      <c r="B102" s="1599" t="s">
        <v>965</v>
      </c>
      <c r="C102" s="1614" t="s">
        <v>1173</v>
      </c>
      <c r="D102" s="1600">
        <f>D99*D101*(D87-D86)</f>
        <v>0</v>
      </c>
      <c r="E102" s="1633">
        <f>E99*E101*(E87-E86)</f>
        <v>0</v>
      </c>
      <c r="F102" s="1027"/>
      <c r="G102" s="1428"/>
      <c r="K102" s="1643"/>
    </row>
    <row r="103" spans="1:13" ht="20.100000000000001" hidden="1" customHeight="1" thickBot="1">
      <c r="A103" s="1027"/>
      <c r="B103" s="1045"/>
      <c r="C103" s="1027"/>
      <c r="D103" s="1027"/>
      <c r="E103" s="1027"/>
      <c r="F103" s="1027"/>
      <c r="G103" s="1428"/>
      <c r="K103" s="1643"/>
    </row>
    <row r="104" spans="1:13" ht="20.100000000000001" hidden="1" customHeight="1" thickBot="1">
      <c r="A104" s="1027"/>
      <c r="B104" s="1648" t="s">
        <v>740</v>
      </c>
      <c r="C104" s="1649"/>
      <c r="D104" s="1649"/>
      <c r="E104" s="1649"/>
      <c r="F104" s="1027"/>
      <c r="G104" s="1428"/>
      <c r="K104" s="1643"/>
    </row>
    <row r="105" spans="1:13" ht="20.100000000000001" hidden="1" customHeight="1" thickBot="1">
      <c r="A105" s="1027"/>
      <c r="B105" s="1650"/>
      <c r="C105" s="1649"/>
      <c r="D105" s="1649"/>
      <c r="E105" s="1649"/>
      <c r="F105" s="1027"/>
      <c r="G105" s="1428"/>
      <c r="K105" s="1643"/>
    </row>
    <row r="106" spans="1:13" ht="20.100000000000001" hidden="1" customHeight="1" thickBot="1">
      <c r="A106" s="1027"/>
      <c r="B106" s="1650" t="s">
        <v>737</v>
      </c>
      <c r="C106" s="1651" t="s">
        <v>1354</v>
      </c>
      <c r="D106" s="1652">
        <f>D83</f>
        <v>0</v>
      </c>
      <c r="E106" s="1652">
        <f>E83</f>
        <v>0</v>
      </c>
      <c r="F106" s="1027"/>
      <c r="G106" s="1428"/>
      <c r="K106" s="1643"/>
    </row>
    <row r="107" spans="1:13" ht="20.100000000000001" hidden="1" customHeight="1" thickBot="1">
      <c r="A107" s="1027"/>
      <c r="B107" s="1650" t="s">
        <v>1418</v>
      </c>
      <c r="C107" s="1651" t="s">
        <v>1361</v>
      </c>
      <c r="D107" s="1653">
        <f>D84</f>
        <v>0</v>
      </c>
      <c r="E107" s="1653">
        <f>E84</f>
        <v>0</v>
      </c>
      <c r="F107" s="1027"/>
      <c r="G107" s="1428"/>
      <c r="K107" s="1643"/>
    </row>
    <row r="108" spans="1:13" ht="20.100000000000001" hidden="1" customHeight="1" thickBot="1">
      <c r="A108" s="1027"/>
      <c r="B108" s="1650" t="s">
        <v>738</v>
      </c>
      <c r="C108" s="1649" t="s">
        <v>1357</v>
      </c>
      <c r="D108" s="1654">
        <f>D85*D107*60</f>
        <v>0</v>
      </c>
      <c r="E108" s="1654">
        <f>E85*E107*60</f>
        <v>0</v>
      </c>
      <c r="F108" s="1603"/>
      <c r="G108" s="1027"/>
      <c r="H108" s="1643"/>
      <c r="I108" s="1643"/>
      <c r="J108" s="1643"/>
      <c r="K108" s="1643"/>
      <c r="L108" s="1561">
        <f>IF($C$3&gt;3,1,0)</f>
        <v>1</v>
      </c>
      <c r="M108" s="1561" t="s">
        <v>3</v>
      </c>
    </row>
    <row r="109" spans="1:13" ht="20.100000000000001" hidden="1" customHeight="1" thickBot="1">
      <c r="A109" s="1027"/>
      <c r="B109" s="1650"/>
      <c r="C109" s="1649"/>
      <c r="D109" s="1649"/>
      <c r="E109" s="1649"/>
      <c r="F109" s="1603"/>
      <c r="G109" s="1027"/>
      <c r="H109" s="1643"/>
      <c r="I109" s="1643"/>
      <c r="J109" s="1643"/>
      <c r="K109" s="1643"/>
    </row>
    <row r="110" spans="1:13" ht="20.100000000000001" hidden="1" customHeight="1" thickBot="1">
      <c r="A110" s="1027"/>
      <c r="B110" s="1650" t="s">
        <v>965</v>
      </c>
      <c r="C110" s="1655" t="s">
        <v>1173</v>
      </c>
      <c r="D110" s="1656">
        <f>D106*D108*(D87-D86)</f>
        <v>0</v>
      </c>
      <c r="E110" s="1656">
        <f>E106*E108*(E87-E86)</f>
        <v>0</v>
      </c>
      <c r="F110" s="1603"/>
      <c r="G110" s="1027"/>
      <c r="H110" s="1643"/>
      <c r="I110" s="1643"/>
      <c r="J110" s="1643"/>
      <c r="K110" s="1643"/>
    </row>
    <row r="111" spans="1:13" ht="20.100000000000001" hidden="1" customHeight="1" thickBot="1">
      <c r="A111" s="1027"/>
      <c r="B111" s="1657"/>
      <c r="C111" s="1658"/>
      <c r="D111" s="1659"/>
      <c r="E111" s="1660"/>
      <c r="F111" s="1603"/>
      <c r="G111" s="1027"/>
      <c r="H111" s="1643"/>
      <c r="I111" s="1643"/>
      <c r="J111" s="1643"/>
      <c r="K111" s="1643"/>
    </row>
    <row r="112" spans="1:13" ht="20.100000000000001" hidden="1" customHeight="1">
      <c r="A112" s="1027"/>
      <c r="B112" s="1623" t="s">
        <v>741</v>
      </c>
      <c r="C112" s="1581"/>
      <c r="D112" s="1624" t="b">
        <f>OR((D82="Air"),(D82="Water"))</f>
        <v>0</v>
      </c>
      <c r="E112" s="1625" t="b">
        <f>OR((E82="Air"),(E82="Water"))</f>
        <v>0</v>
      </c>
      <c r="F112" s="1027"/>
      <c r="G112" s="1027"/>
      <c r="H112" s="1643"/>
      <c r="I112" s="1643"/>
      <c r="J112" s="1643"/>
      <c r="K112" s="1643"/>
    </row>
    <row r="113" spans="1:11" ht="20.100000000000001" hidden="1" customHeight="1">
      <c r="A113" s="1027"/>
      <c r="B113" s="1586" t="s">
        <v>741</v>
      </c>
      <c r="C113" s="1495"/>
      <c r="D113" s="1626">
        <f>IF(D82="Air",(D102*D112),(D95*D112))</f>
        <v>0</v>
      </c>
      <c r="E113" s="1627">
        <f>IF(E82="Air",(E102*E112),(E95*E112))</f>
        <v>0</v>
      </c>
      <c r="F113" s="1027"/>
      <c r="G113" s="1027"/>
      <c r="H113" s="1643"/>
      <c r="I113" s="1643"/>
      <c r="J113" s="1643"/>
      <c r="K113" s="1643"/>
    </row>
    <row r="114" spans="1:11" ht="20.100000000000001" hidden="1" customHeight="1">
      <c r="A114" s="1027"/>
      <c r="B114" s="1586" t="s">
        <v>742</v>
      </c>
      <c r="C114" s="1495"/>
      <c r="D114" s="1626" t="b">
        <f>OR((D82="Other Gas"),(D82="Other Liquid"))</f>
        <v>1</v>
      </c>
      <c r="E114" s="1627" t="b">
        <f>OR((E82="Other Gas"),(E82="Other Liquid"))</f>
        <v>1</v>
      </c>
      <c r="F114" s="1027"/>
      <c r="G114" s="1027"/>
      <c r="H114" s="1643"/>
      <c r="I114" s="1643"/>
      <c r="J114" s="1643"/>
      <c r="K114" s="1643"/>
    </row>
    <row r="115" spans="1:11" ht="20.100000000000001" hidden="1" customHeight="1" thickBot="1">
      <c r="A115" s="1027"/>
      <c r="B115" s="1599"/>
      <c r="C115" s="1628" t="s">
        <v>1172</v>
      </c>
      <c r="D115" s="1629">
        <f>IF(D114,D110,D113)</f>
        <v>0</v>
      </c>
      <c r="E115" s="1630">
        <f>IF(E114,E110,E113)</f>
        <v>0</v>
      </c>
      <c r="F115" s="1245"/>
      <c r="G115" s="1428"/>
    </row>
    <row r="116" spans="1:11" ht="20.100000000000001" customHeight="1">
      <c r="A116" s="1027"/>
      <c r="B116" s="1045"/>
      <c r="C116" s="1603"/>
      <c r="D116" s="1622"/>
      <c r="E116" s="1622"/>
      <c r="F116" s="1027"/>
      <c r="G116" s="1428"/>
    </row>
    <row r="117" spans="1:11" ht="20.100000000000001" customHeight="1" thickBot="1">
      <c r="A117" s="1027"/>
      <c r="B117" s="1045"/>
      <c r="C117" s="1661"/>
      <c r="D117" s="1027"/>
      <c r="E117" s="1027"/>
      <c r="F117" s="1027"/>
      <c r="G117" s="1428"/>
    </row>
    <row r="118" spans="1:11" ht="20.100000000000001" customHeight="1" thickBot="1">
      <c r="A118" s="1027"/>
      <c r="B118" s="1564" t="s">
        <v>1107</v>
      </c>
      <c r="C118" s="1565"/>
      <c r="D118" s="1565"/>
      <c r="E118" s="1566"/>
      <c r="F118" s="1027"/>
      <c r="G118" s="1428"/>
    </row>
    <row r="119" spans="1:11" ht="20.100000000000001" customHeight="1">
      <c r="A119" s="1027"/>
      <c r="B119" s="1567"/>
      <c r="C119" s="1568"/>
      <c r="D119" s="1637" t="s">
        <v>1171</v>
      </c>
      <c r="E119" s="1638" t="s">
        <v>1115</v>
      </c>
      <c r="F119" s="1461"/>
      <c r="G119" s="1428"/>
    </row>
    <row r="120" spans="1:11" ht="20.100000000000001" customHeight="1">
      <c r="A120" s="1027"/>
      <c r="B120" s="1572" t="s">
        <v>1101</v>
      </c>
      <c r="C120" s="1573"/>
      <c r="D120" s="980" t="s">
        <v>736</v>
      </c>
      <c r="E120" s="975" t="s">
        <v>736</v>
      </c>
      <c r="F120" s="1027"/>
      <c r="G120" s="1428"/>
    </row>
    <row r="121" spans="1:11" ht="20.100000000000001" customHeight="1">
      <c r="A121" s="1027"/>
      <c r="B121" s="1572" t="s">
        <v>1464</v>
      </c>
      <c r="C121" s="1574" t="s">
        <v>1351</v>
      </c>
      <c r="D121" s="981"/>
      <c r="E121" s="977"/>
      <c r="F121" s="1027"/>
      <c r="G121" s="1428"/>
    </row>
    <row r="122" spans="1:11" ht="20.100000000000001" customHeight="1">
      <c r="A122" s="1027"/>
      <c r="B122" s="1572" t="s">
        <v>733</v>
      </c>
      <c r="C122" s="1574" t="str">
        <f>IF(B123="Gas Flow","(lb/SCF)", "(lb/gal)")</f>
        <v>(lb/SCF)</v>
      </c>
      <c r="D122" s="984"/>
      <c r="E122" s="979"/>
      <c r="F122" s="1027"/>
      <c r="G122" s="1428"/>
    </row>
    <row r="123" spans="1:11" ht="20.100000000000001" customHeight="1">
      <c r="A123" s="1027"/>
      <c r="B123" s="1572" t="str">
        <f>IF(OR(D120="Air",D120="OTHER GAS"),K$7,K$6)</f>
        <v>Gas Flow</v>
      </c>
      <c r="C123" s="1574" t="str">
        <f>IF(B123="Gas Flow",L$7,L$6)</f>
        <v>SCFM</v>
      </c>
      <c r="D123" s="982"/>
      <c r="E123" s="976"/>
      <c r="F123" s="1027"/>
      <c r="G123" s="1428"/>
    </row>
    <row r="124" spans="1:11" ht="20.100000000000001" customHeight="1">
      <c r="A124" s="1027"/>
      <c r="B124" s="1572" t="s">
        <v>756</v>
      </c>
      <c r="C124" s="1574" t="s">
        <v>1175</v>
      </c>
      <c r="D124" s="2162"/>
      <c r="E124" s="2163"/>
      <c r="F124" s="1027"/>
      <c r="G124" s="1428"/>
    </row>
    <row r="125" spans="1:11" ht="20.100000000000001" customHeight="1">
      <c r="A125" s="1027"/>
      <c r="B125" s="1572" t="str">
        <f>IF(OR(D120="Water",E120="Water",D120="Other Liquid",E120="Other Liquid"), "Outlet Temperature (Below boiling point)","Outlet Temperature")</f>
        <v>Outlet Temperature</v>
      </c>
      <c r="C125" s="1574" t="s">
        <v>1175</v>
      </c>
      <c r="D125" s="2162"/>
      <c r="E125" s="2163"/>
      <c r="F125" s="1027"/>
      <c r="G125" s="1428"/>
    </row>
    <row r="126" spans="1:11" ht="20.100000000000001" customHeight="1">
      <c r="A126" s="1027"/>
      <c r="B126" s="1572" t="s">
        <v>507</v>
      </c>
      <c r="C126" s="1575" t="s">
        <v>1173</v>
      </c>
      <c r="D126" s="1576">
        <f>D153</f>
        <v>0</v>
      </c>
      <c r="E126" s="1577">
        <f>E153</f>
        <v>0</v>
      </c>
      <c r="F126" s="1027"/>
      <c r="G126" s="1428"/>
    </row>
    <row r="127" spans="1:11" ht="20.100000000000001" customHeight="1" thickBot="1">
      <c r="A127" s="1027"/>
      <c r="B127" s="1578" t="s">
        <v>1463</v>
      </c>
      <c r="C127" s="1579"/>
      <c r="D127" s="2202">
        <v>1</v>
      </c>
      <c r="E127" s="2203">
        <v>1</v>
      </c>
      <c r="F127" s="1027"/>
      <c r="G127" s="1428"/>
    </row>
    <row r="128" spans="1:11" ht="20.100000000000001" hidden="1" customHeight="1">
      <c r="A128" s="1027"/>
      <c r="B128" s="1580" t="s">
        <v>1104</v>
      </c>
      <c r="C128" s="1581"/>
      <c r="D128" s="1581"/>
      <c r="E128" s="1582"/>
      <c r="F128" s="1027"/>
      <c r="G128" s="1428"/>
    </row>
    <row r="129" spans="1:13" ht="20.100000000000001" hidden="1" customHeight="1">
      <c r="A129" s="1027"/>
      <c r="B129" s="1586"/>
      <c r="C129" s="1495"/>
      <c r="D129" s="1495"/>
      <c r="E129" s="1587"/>
      <c r="F129" s="1027"/>
      <c r="G129" s="1428"/>
    </row>
    <row r="130" spans="1:13" ht="20.100000000000001" hidden="1" customHeight="1">
      <c r="A130" s="1027"/>
      <c r="B130" s="1586" t="s">
        <v>1419</v>
      </c>
      <c r="C130" s="1495" t="s">
        <v>1350</v>
      </c>
      <c r="D130" s="1495">
        <f>D123</f>
        <v>0</v>
      </c>
      <c r="E130" s="1495">
        <f>E123</f>
        <v>0</v>
      </c>
      <c r="F130" s="1027"/>
      <c r="G130" s="1428"/>
    </row>
    <row r="131" spans="1:13" ht="20.100000000000001" hidden="1" customHeight="1">
      <c r="A131" s="1027"/>
      <c r="B131" s="1586" t="s">
        <v>1049</v>
      </c>
      <c r="C131" s="1495" t="s">
        <v>1353</v>
      </c>
      <c r="D131" s="1495">
        <f>D130*8.335</f>
        <v>0</v>
      </c>
      <c r="E131" s="1495">
        <f>E130*8.335</f>
        <v>0</v>
      </c>
      <c r="F131" s="1027"/>
      <c r="G131" s="1428"/>
    </row>
    <row r="132" spans="1:13" ht="20.100000000000001" hidden="1" customHeight="1">
      <c r="A132" s="1027"/>
      <c r="B132" s="1586" t="s">
        <v>1048</v>
      </c>
      <c r="C132" s="1495" t="s">
        <v>1354</v>
      </c>
      <c r="D132" s="1495">
        <v>1</v>
      </c>
      <c r="E132" s="1495">
        <v>1</v>
      </c>
      <c r="F132" s="1027"/>
      <c r="G132" s="1428"/>
    </row>
    <row r="133" spans="1:13" ht="20.100000000000001" hidden="1" customHeight="1" thickBot="1">
      <c r="A133" s="1027"/>
      <c r="B133" s="1599" t="s">
        <v>1047</v>
      </c>
      <c r="C133" s="1600" t="s">
        <v>1173</v>
      </c>
      <c r="D133" s="1631">
        <f>D131*60*D132*(D125-D124)</f>
        <v>0</v>
      </c>
      <c r="E133" s="1631">
        <f>E131*60*E132*(E125-E124)</f>
        <v>0</v>
      </c>
      <c r="F133" s="1027"/>
      <c r="G133" s="1428"/>
    </row>
    <row r="134" spans="1:13" ht="20.100000000000001" hidden="1" customHeight="1" thickBot="1">
      <c r="A134" s="1027"/>
      <c r="B134" s="1604"/>
      <c r="C134" s="1461"/>
      <c r="D134" s="1603"/>
      <c r="E134" s="1603"/>
      <c r="F134" s="1603"/>
      <c r="G134" s="1428"/>
      <c r="L134" s="1561">
        <f>IF($C$3&gt;4,1,0)</f>
        <v>1</v>
      </c>
      <c r="M134" s="1561" t="s">
        <v>3</v>
      </c>
    </row>
    <row r="135" spans="1:13" ht="20.100000000000001" hidden="1" customHeight="1">
      <c r="A135" s="1027"/>
      <c r="B135" s="1580" t="s">
        <v>1102</v>
      </c>
      <c r="C135" s="1581"/>
      <c r="D135" s="1581"/>
      <c r="E135" s="1582"/>
      <c r="F135" s="1603"/>
      <c r="G135" s="1428"/>
    </row>
    <row r="136" spans="1:13" ht="20.100000000000001" hidden="1" customHeight="1">
      <c r="A136" s="1027"/>
      <c r="B136" s="1586" t="s">
        <v>1038</v>
      </c>
      <c r="C136" s="1495" t="s">
        <v>1355</v>
      </c>
      <c r="D136" s="1495">
        <f>(D124+D125)/2</f>
        <v>0</v>
      </c>
      <c r="E136" s="1587">
        <f>(E124+E125)/2</f>
        <v>0</v>
      </c>
      <c r="F136" s="1603"/>
      <c r="G136" s="1428"/>
    </row>
    <row r="137" spans="1:13" ht="20.100000000000001" hidden="1" customHeight="1">
      <c r="A137" s="1027"/>
      <c r="B137" s="1586" t="s">
        <v>1037</v>
      </c>
      <c r="C137" s="1605" t="s">
        <v>1346</v>
      </c>
      <c r="D137" s="1495">
        <f>$L$27+$L$28*D136+$L$29*D136^2-$L$30*D136^3</f>
        <v>0.23710000000000001</v>
      </c>
      <c r="E137" s="1587">
        <f>$L$27+$L$28*E136+$L$29*E136^2-$L$30*E136^3</f>
        <v>0.23710000000000001</v>
      </c>
      <c r="F137" s="1027"/>
      <c r="G137" s="1428"/>
    </row>
    <row r="138" spans="1:13" ht="20.100000000000001" hidden="1" customHeight="1">
      <c r="A138" s="1027"/>
      <c r="B138" s="1586" t="s">
        <v>1420</v>
      </c>
      <c r="C138" s="1605" t="s">
        <v>1360</v>
      </c>
      <c r="D138" s="1495">
        <v>7.6300000000000007E-2</v>
      </c>
      <c r="E138" s="1587">
        <v>7.6300000000000007E-2</v>
      </c>
      <c r="F138" s="1245"/>
      <c r="G138" s="1428"/>
    </row>
    <row r="139" spans="1:13" ht="20.100000000000001" hidden="1" customHeight="1">
      <c r="A139" s="1027"/>
      <c r="B139" s="1586" t="s">
        <v>1036</v>
      </c>
      <c r="C139" s="1495" t="s">
        <v>1357</v>
      </c>
      <c r="D139" s="1495">
        <f>D123*$L$19*60</f>
        <v>0</v>
      </c>
      <c r="E139" s="1587">
        <f>E123*$L$19*60</f>
        <v>0</v>
      </c>
      <c r="F139" s="1027"/>
      <c r="G139" s="1428"/>
    </row>
    <row r="140" spans="1:13" ht="20.100000000000001" hidden="1" customHeight="1" thickBot="1">
      <c r="A140" s="1027"/>
      <c r="B140" s="1599" t="s">
        <v>965</v>
      </c>
      <c r="C140" s="1614" t="s">
        <v>1173</v>
      </c>
      <c r="D140" s="1600">
        <f>D137*D139*(D125-D124)</f>
        <v>0</v>
      </c>
      <c r="E140" s="1633">
        <f>E137*E139*(E125-E124)</f>
        <v>0</v>
      </c>
      <c r="F140" s="1634"/>
      <c r="G140" s="1428"/>
    </row>
    <row r="141" spans="1:13" ht="20.100000000000001" hidden="1" customHeight="1" thickBot="1">
      <c r="A141" s="1027"/>
      <c r="B141" s="1045"/>
      <c r="C141" s="1027"/>
      <c r="D141" s="1027"/>
      <c r="E141" s="1027"/>
      <c r="F141" s="1027"/>
      <c r="G141" s="1428"/>
    </row>
    <row r="142" spans="1:13" ht="20.100000000000001" hidden="1" customHeight="1">
      <c r="A142" s="1027"/>
      <c r="B142" s="1580" t="s">
        <v>740</v>
      </c>
      <c r="C142" s="1581"/>
      <c r="D142" s="1581"/>
      <c r="E142" s="1582"/>
      <c r="F142" s="1461"/>
      <c r="G142" s="1428"/>
    </row>
    <row r="143" spans="1:13" ht="20.100000000000001" hidden="1" customHeight="1">
      <c r="A143" s="1027"/>
      <c r="B143" s="1586"/>
      <c r="C143" s="1495"/>
      <c r="D143" s="1495"/>
      <c r="E143" s="1587"/>
      <c r="F143" s="1027"/>
      <c r="G143" s="1428"/>
    </row>
    <row r="144" spans="1:13" ht="20.100000000000001" hidden="1" customHeight="1">
      <c r="A144" s="1027"/>
      <c r="B144" s="1586" t="s">
        <v>737</v>
      </c>
      <c r="C144" s="1605" t="s">
        <v>1354</v>
      </c>
      <c r="D144" s="1636">
        <f>D121</f>
        <v>0</v>
      </c>
      <c r="E144" s="1636">
        <f>E121</f>
        <v>0</v>
      </c>
      <c r="F144" s="1027"/>
      <c r="G144" s="1428"/>
    </row>
    <row r="145" spans="1:7" ht="20.100000000000001" hidden="1" customHeight="1">
      <c r="A145" s="1027"/>
      <c r="B145" s="1586" t="s">
        <v>739</v>
      </c>
      <c r="C145" s="1605" t="s">
        <v>1361</v>
      </c>
      <c r="D145" s="1636">
        <f>D122</f>
        <v>0</v>
      </c>
      <c r="E145" s="1636">
        <f>E122</f>
        <v>0</v>
      </c>
      <c r="F145" s="1027"/>
      <c r="G145" s="1428"/>
    </row>
    <row r="146" spans="1:7" ht="20.100000000000001" hidden="1" customHeight="1">
      <c r="A146" s="1027"/>
      <c r="B146" s="1586" t="s">
        <v>738</v>
      </c>
      <c r="C146" s="1495" t="s">
        <v>1357</v>
      </c>
      <c r="D146" s="1591">
        <f>D123*D145*60</f>
        <v>0</v>
      </c>
      <c r="E146" s="1591">
        <f>E123*E145*60</f>
        <v>0</v>
      </c>
      <c r="F146" s="1027"/>
      <c r="G146" s="1428"/>
    </row>
    <row r="147" spans="1:7" ht="20.100000000000001" hidden="1" customHeight="1">
      <c r="A147" s="1027"/>
      <c r="B147" s="1586"/>
      <c r="C147" s="1495"/>
      <c r="D147" s="1495"/>
      <c r="E147" s="1495"/>
      <c r="F147" s="1027"/>
      <c r="G147" s="1428"/>
    </row>
    <row r="148" spans="1:7" ht="20.100000000000001" hidden="1" customHeight="1" thickBot="1">
      <c r="A148" s="1027"/>
      <c r="B148" s="1599" t="s">
        <v>965</v>
      </c>
      <c r="C148" s="1614" t="s">
        <v>1173</v>
      </c>
      <c r="D148" s="1601">
        <f>D144*D146*(D125-D124)</f>
        <v>0</v>
      </c>
      <c r="E148" s="1601">
        <f>E144*E146*(E125-E124)</f>
        <v>0</v>
      </c>
      <c r="F148" s="1027"/>
      <c r="G148" s="1428"/>
    </row>
    <row r="149" spans="1:7" ht="20.100000000000001" hidden="1" customHeight="1" thickBot="1">
      <c r="A149" s="1027"/>
      <c r="B149" s="1045"/>
      <c r="C149" s="1603"/>
      <c r="D149" s="1622"/>
      <c r="E149" s="1622"/>
      <c r="F149" s="1027"/>
      <c r="G149" s="1428"/>
    </row>
    <row r="150" spans="1:7" ht="20.100000000000001" hidden="1" customHeight="1">
      <c r="A150" s="1027"/>
      <c r="B150" s="1623" t="s">
        <v>741</v>
      </c>
      <c r="C150" s="1581"/>
      <c r="D150" s="1624" t="b">
        <f>OR((D120="Air"),(D120="Water"))</f>
        <v>0</v>
      </c>
      <c r="E150" s="1625" t="b">
        <f>OR((E120="Air"),(E120="Water"))</f>
        <v>0</v>
      </c>
      <c r="F150" s="1027"/>
      <c r="G150" s="1428"/>
    </row>
    <row r="151" spans="1:7" ht="20.100000000000001" hidden="1" customHeight="1">
      <c r="A151" s="1027"/>
      <c r="B151" s="1586" t="s">
        <v>741</v>
      </c>
      <c r="C151" s="1495"/>
      <c r="D151" s="1626">
        <f>IF(D120="Air",(D140*D150),(D133*D150))</f>
        <v>0</v>
      </c>
      <c r="E151" s="1627">
        <f>IF(E120="Air",(E140*E150),(E133*E150))</f>
        <v>0</v>
      </c>
      <c r="F151" s="1027"/>
      <c r="G151" s="1428"/>
    </row>
    <row r="152" spans="1:7" ht="20.100000000000001" hidden="1" customHeight="1">
      <c r="A152" s="1027"/>
      <c r="B152" s="1586" t="s">
        <v>742</v>
      </c>
      <c r="C152" s="1495"/>
      <c r="D152" s="1626" t="b">
        <f>OR((D120="Other Gas"),(D120="Other Liquid"))</f>
        <v>1</v>
      </c>
      <c r="E152" s="1627" t="b">
        <f>OR((E120="Other Gas"),(E120="Other Liquid"))</f>
        <v>1</v>
      </c>
      <c r="F152" s="1027"/>
      <c r="G152" s="1428"/>
    </row>
    <row r="153" spans="1:7" ht="20.100000000000001" hidden="1" customHeight="1" thickBot="1">
      <c r="A153" s="1027"/>
      <c r="B153" s="1599"/>
      <c r="C153" s="1628" t="s">
        <v>1172</v>
      </c>
      <c r="D153" s="1629">
        <f>IF(D152,D148,D151)</f>
        <v>0</v>
      </c>
      <c r="E153" s="1630">
        <f>IF(E152,E148,E151)</f>
        <v>0</v>
      </c>
      <c r="F153" s="1634"/>
      <c r="G153" s="1428"/>
    </row>
    <row r="154" spans="1:7" ht="20.100000000000001" customHeight="1">
      <c r="A154" s="1027"/>
      <c r="B154" s="1045"/>
      <c r="C154" s="1603"/>
      <c r="D154" s="1622"/>
      <c r="E154" s="1622"/>
      <c r="F154" s="1027"/>
      <c r="G154" s="1428"/>
    </row>
    <row r="155" spans="1:7" ht="20.100000000000001" customHeight="1" thickBot="1">
      <c r="A155" s="1027"/>
      <c r="B155" s="1045"/>
      <c r="C155" s="1027"/>
      <c r="D155" s="1027"/>
      <c r="E155" s="1027"/>
      <c r="F155" s="1027"/>
      <c r="G155" s="1428"/>
    </row>
    <row r="156" spans="1:7" ht="20.100000000000001" customHeight="1" thickBot="1">
      <c r="A156" s="1027"/>
      <c r="B156" s="1564" t="s">
        <v>1108</v>
      </c>
      <c r="C156" s="1565"/>
      <c r="D156" s="1565"/>
      <c r="E156" s="1566"/>
      <c r="F156" s="1027"/>
      <c r="G156" s="1428"/>
    </row>
    <row r="157" spans="1:7" ht="20.100000000000001" customHeight="1">
      <c r="A157" s="1027"/>
      <c r="B157" s="1567"/>
      <c r="C157" s="1568"/>
      <c r="D157" s="1637" t="s">
        <v>1171</v>
      </c>
      <c r="E157" s="1638" t="s">
        <v>1115</v>
      </c>
      <c r="F157" s="1027"/>
      <c r="G157" s="1428"/>
    </row>
    <row r="158" spans="1:7" ht="20.100000000000001" customHeight="1">
      <c r="A158" s="1027"/>
      <c r="B158" s="1572" t="s">
        <v>1101</v>
      </c>
      <c r="C158" s="1573"/>
      <c r="D158" s="980" t="s">
        <v>1349</v>
      </c>
      <c r="E158" s="975" t="s">
        <v>1349</v>
      </c>
      <c r="F158" s="1027"/>
      <c r="G158" s="1428"/>
    </row>
    <row r="159" spans="1:7" ht="20.100000000000001" customHeight="1">
      <c r="A159" s="1027"/>
      <c r="B159" s="1572" t="s">
        <v>1464</v>
      </c>
      <c r="C159" s="1574" t="s">
        <v>1351</v>
      </c>
      <c r="D159" s="981"/>
      <c r="E159" s="977"/>
      <c r="F159" s="1027"/>
      <c r="G159" s="1428"/>
    </row>
    <row r="160" spans="1:7" ht="20.100000000000001" customHeight="1">
      <c r="A160" s="1027"/>
      <c r="B160" s="1572" t="s">
        <v>733</v>
      </c>
      <c r="C160" s="1574" t="str">
        <f>IF(B161="Gas Flow","(lb/SCF)", "(lb/gal)")</f>
        <v>(lb/gal)</v>
      </c>
      <c r="D160" s="984"/>
      <c r="E160" s="979"/>
      <c r="F160" s="1027"/>
      <c r="G160" s="1428"/>
    </row>
    <row r="161" spans="1:13" ht="20.100000000000001" customHeight="1">
      <c r="A161" s="1027"/>
      <c r="B161" s="1572" t="str">
        <f>IF(OR(D158="Air",D158="OTHER GAS"),K$7,K$6)</f>
        <v>Liquid Flow</v>
      </c>
      <c r="C161" s="1574" t="str">
        <f>IF(B161="Gas Flow",L$7,L$6)</f>
        <v>gal/min</v>
      </c>
      <c r="D161" s="982"/>
      <c r="E161" s="976"/>
      <c r="F161" s="1603"/>
      <c r="G161" s="1428"/>
      <c r="L161" s="1561">
        <f>IF($C$3&gt;5,1,0)</f>
        <v>1</v>
      </c>
      <c r="M161" s="1561" t="s">
        <v>3</v>
      </c>
    </row>
    <row r="162" spans="1:13" ht="20.100000000000001" customHeight="1">
      <c r="A162" s="1027"/>
      <c r="B162" s="1572" t="s">
        <v>756</v>
      </c>
      <c r="C162" s="1574" t="s">
        <v>1175</v>
      </c>
      <c r="D162" s="2162"/>
      <c r="E162" s="2163"/>
      <c r="F162" s="1603"/>
      <c r="G162" s="1428"/>
    </row>
    <row r="163" spans="1:13" ht="20.100000000000001" customHeight="1">
      <c r="A163" s="1027"/>
      <c r="B163" s="1572" t="str">
        <f>IF(OR(D158="Water",E158="Water",D158="Other Liquid",E158="Other Liquid"), "Outlet Temperature (Below boiling point)","Outlet Temperature")</f>
        <v>Outlet Temperature (Below boiling point)</v>
      </c>
      <c r="C163" s="1574" t="s">
        <v>1175</v>
      </c>
      <c r="D163" s="2162"/>
      <c r="E163" s="2163"/>
      <c r="F163" s="1603"/>
      <c r="G163" s="1428"/>
    </row>
    <row r="164" spans="1:13" ht="20.100000000000001" customHeight="1">
      <c r="A164" s="1027"/>
      <c r="B164" s="1572" t="s">
        <v>507</v>
      </c>
      <c r="C164" s="1575" t="s">
        <v>1173</v>
      </c>
      <c r="D164" s="1576">
        <f>D191</f>
        <v>0</v>
      </c>
      <c r="E164" s="1577">
        <f>E191</f>
        <v>0</v>
      </c>
      <c r="F164" s="1027"/>
      <c r="G164" s="1428"/>
    </row>
    <row r="165" spans="1:13" ht="20.100000000000001" customHeight="1" thickBot="1">
      <c r="A165" s="1027"/>
      <c r="B165" s="1578" t="s">
        <v>1463</v>
      </c>
      <c r="C165" s="1579"/>
      <c r="D165" s="2202">
        <v>1</v>
      </c>
      <c r="E165" s="2203">
        <v>1</v>
      </c>
      <c r="F165" s="1245"/>
      <c r="G165" s="1428"/>
    </row>
    <row r="166" spans="1:13" ht="20.100000000000001" hidden="1" customHeight="1">
      <c r="A166" s="1027"/>
      <c r="B166" s="1580" t="s">
        <v>1104</v>
      </c>
      <c r="C166" s="1581"/>
      <c r="D166" s="1581"/>
      <c r="E166" s="1582"/>
      <c r="F166" s="1027"/>
      <c r="G166" s="1428"/>
    </row>
    <row r="167" spans="1:13" ht="20.100000000000001" hidden="1" customHeight="1">
      <c r="A167" s="1027"/>
      <c r="B167" s="1586"/>
      <c r="C167" s="1495"/>
      <c r="D167" s="1495"/>
      <c r="E167" s="1587"/>
      <c r="F167" s="1027"/>
      <c r="G167" s="1428"/>
    </row>
    <row r="168" spans="1:13" ht="20.100000000000001" hidden="1" customHeight="1">
      <c r="A168" s="1027"/>
      <c r="B168" s="1586" t="s">
        <v>1050</v>
      </c>
      <c r="C168" s="1495" t="s">
        <v>1350</v>
      </c>
      <c r="D168" s="1495">
        <f>D161</f>
        <v>0</v>
      </c>
      <c r="E168" s="1495">
        <f>E161</f>
        <v>0</v>
      </c>
      <c r="F168" s="1634"/>
      <c r="G168" s="1428"/>
    </row>
    <row r="169" spans="1:13" ht="20.100000000000001" hidden="1" customHeight="1">
      <c r="A169" s="1027"/>
      <c r="B169" s="1586" t="s">
        <v>1049</v>
      </c>
      <c r="C169" s="1495" t="s">
        <v>1353</v>
      </c>
      <c r="D169" s="1495">
        <f>D168*8.335</f>
        <v>0</v>
      </c>
      <c r="E169" s="1495">
        <f>E168*8.335</f>
        <v>0</v>
      </c>
      <c r="F169" s="1027"/>
      <c r="G169" s="1428"/>
    </row>
    <row r="170" spans="1:13" ht="20.100000000000001" hidden="1" customHeight="1">
      <c r="A170" s="1027"/>
      <c r="B170" s="1586" t="s">
        <v>1048</v>
      </c>
      <c r="C170" s="1495" t="s">
        <v>1354</v>
      </c>
      <c r="D170" s="1495">
        <v>1</v>
      </c>
      <c r="E170" s="1495">
        <v>1</v>
      </c>
      <c r="F170" s="1027"/>
      <c r="G170" s="1428"/>
    </row>
    <row r="171" spans="1:13" ht="20.100000000000001" hidden="1" customHeight="1" thickBot="1">
      <c r="A171" s="1027"/>
      <c r="B171" s="1599" t="s">
        <v>1047</v>
      </c>
      <c r="C171" s="1600" t="s">
        <v>1173</v>
      </c>
      <c r="D171" s="1631">
        <f>D169*60*D170*(D163-D162)</f>
        <v>0</v>
      </c>
      <c r="E171" s="1631">
        <f>E169*60*E170*(E163-E162)</f>
        <v>0</v>
      </c>
      <c r="F171" s="1027"/>
      <c r="G171" s="1428"/>
    </row>
    <row r="172" spans="1:13" ht="20.100000000000001" hidden="1" customHeight="1" thickBot="1">
      <c r="A172" s="1027"/>
      <c r="B172" s="1604"/>
      <c r="C172" s="1461"/>
      <c r="D172" s="1603"/>
      <c r="E172" s="1603"/>
      <c r="F172" s="1461"/>
      <c r="G172" s="1428"/>
    </row>
    <row r="173" spans="1:13" ht="20.100000000000001" hidden="1" customHeight="1">
      <c r="A173" s="1027"/>
      <c r="B173" s="1580" t="s">
        <v>1102</v>
      </c>
      <c r="C173" s="1581"/>
      <c r="D173" s="1581"/>
      <c r="E173" s="1582"/>
      <c r="F173" s="1027"/>
      <c r="G173" s="1428"/>
    </row>
    <row r="174" spans="1:13" ht="20.100000000000001" hidden="1" customHeight="1">
      <c r="A174" s="1027"/>
      <c r="B174" s="1586" t="s">
        <v>1038</v>
      </c>
      <c r="C174" s="1495" t="s">
        <v>1355</v>
      </c>
      <c r="D174" s="1495">
        <f>(D162+D163)/2</f>
        <v>0</v>
      </c>
      <c r="E174" s="1587">
        <f>(E162+E163)/2</f>
        <v>0</v>
      </c>
      <c r="F174" s="1027"/>
      <c r="G174" s="1428"/>
    </row>
    <row r="175" spans="1:13" ht="20.100000000000001" hidden="1" customHeight="1">
      <c r="A175" s="1027"/>
      <c r="B175" s="1586" t="s">
        <v>1037</v>
      </c>
      <c r="C175" s="1605" t="s">
        <v>1346</v>
      </c>
      <c r="D175" s="1495">
        <f>$L$27+$L$28*D174+$L$29*D174^2-$L$30*D174^3</f>
        <v>0.23710000000000001</v>
      </c>
      <c r="E175" s="1587">
        <f>$L$27+$L$28*E174+$L$29*E174^2-$L$30*E174^3</f>
        <v>0.23710000000000001</v>
      </c>
      <c r="F175" s="1027"/>
      <c r="G175" s="1428"/>
    </row>
    <row r="176" spans="1:13" ht="20.100000000000001" hidden="1" customHeight="1">
      <c r="A176" s="1027"/>
      <c r="B176" s="1586" t="s">
        <v>1417</v>
      </c>
      <c r="C176" s="1605" t="s">
        <v>1360</v>
      </c>
      <c r="D176" s="1495">
        <v>7.6300000000000007E-2</v>
      </c>
      <c r="E176" s="1587">
        <v>7.6300000000000007E-2</v>
      </c>
      <c r="F176" s="1634"/>
      <c r="G176" s="1428"/>
    </row>
    <row r="177" spans="1:7" ht="20.100000000000001" hidden="1" customHeight="1">
      <c r="A177" s="1027"/>
      <c r="B177" s="1586" t="s">
        <v>1036</v>
      </c>
      <c r="C177" s="1495" t="s">
        <v>1357</v>
      </c>
      <c r="D177" s="1495">
        <f>D161*$L$19*60</f>
        <v>0</v>
      </c>
      <c r="E177" s="1587">
        <f>E161*$L$19*60</f>
        <v>0</v>
      </c>
      <c r="F177" s="1027"/>
      <c r="G177" s="1428"/>
    </row>
    <row r="178" spans="1:7" ht="20.100000000000001" hidden="1" customHeight="1" thickBot="1">
      <c r="A178" s="1428"/>
      <c r="B178" s="1599" t="s">
        <v>965</v>
      </c>
      <c r="C178" s="1614" t="s">
        <v>1173</v>
      </c>
      <c r="D178" s="1600">
        <f>D175*D177*(D163-D162)</f>
        <v>0</v>
      </c>
      <c r="E178" s="1633">
        <f>E175*E177*(E163-E162)</f>
        <v>0</v>
      </c>
      <c r="F178" s="1428"/>
      <c r="G178" s="1428"/>
    </row>
    <row r="179" spans="1:7" ht="20.100000000000001" hidden="1" customHeight="1" thickBot="1">
      <c r="A179" s="1428"/>
      <c r="B179" s="1045"/>
      <c r="C179" s="1603"/>
      <c r="D179" s="1461"/>
      <c r="E179" s="1461"/>
      <c r="F179" s="1428"/>
      <c r="G179" s="1428"/>
    </row>
    <row r="180" spans="1:7" ht="20.100000000000001" hidden="1" customHeight="1">
      <c r="A180" s="1428"/>
      <c r="B180" s="1580" t="s">
        <v>740</v>
      </c>
      <c r="C180" s="1581"/>
      <c r="D180" s="1581"/>
      <c r="E180" s="1582"/>
      <c r="F180" s="1428"/>
      <c r="G180" s="1428"/>
    </row>
    <row r="181" spans="1:7" ht="20.100000000000001" hidden="1" customHeight="1">
      <c r="A181" s="1428"/>
      <c r="B181" s="1586"/>
      <c r="C181" s="1495"/>
      <c r="D181" s="1495"/>
      <c r="E181" s="1587"/>
      <c r="F181" s="1428"/>
      <c r="G181" s="1428"/>
    </row>
    <row r="182" spans="1:7" ht="20.100000000000001" hidden="1" customHeight="1">
      <c r="A182" s="1428"/>
      <c r="B182" s="1586" t="s">
        <v>737</v>
      </c>
      <c r="C182" s="1605" t="s">
        <v>1354</v>
      </c>
      <c r="D182" s="1636">
        <f>D159</f>
        <v>0</v>
      </c>
      <c r="E182" s="1636">
        <f>E159</f>
        <v>0</v>
      </c>
      <c r="F182" s="1428"/>
      <c r="G182" s="1428"/>
    </row>
    <row r="183" spans="1:7" ht="20.100000000000001" hidden="1" customHeight="1">
      <c r="A183" s="1428"/>
      <c r="B183" s="1586" t="s">
        <v>1416</v>
      </c>
      <c r="C183" s="1605" t="s">
        <v>1361</v>
      </c>
      <c r="D183" s="1636">
        <f>D160</f>
        <v>0</v>
      </c>
      <c r="E183" s="1636">
        <f>E160</f>
        <v>0</v>
      </c>
      <c r="F183" s="1428"/>
      <c r="G183" s="1428"/>
    </row>
    <row r="184" spans="1:7" ht="20.100000000000001" hidden="1" customHeight="1">
      <c r="A184" s="1428"/>
      <c r="B184" s="1586" t="s">
        <v>738</v>
      </c>
      <c r="C184" s="1495" t="s">
        <v>1357</v>
      </c>
      <c r="D184" s="1591">
        <f>D161*D183*60</f>
        <v>0</v>
      </c>
      <c r="E184" s="1591">
        <f>E161*E183*60</f>
        <v>0</v>
      </c>
      <c r="F184" s="1428"/>
      <c r="G184" s="1428"/>
    </row>
    <row r="185" spans="1:7" ht="20.100000000000001" hidden="1" customHeight="1">
      <c r="A185" s="1428"/>
      <c r="B185" s="1586"/>
      <c r="C185" s="1495"/>
      <c r="D185" s="1495"/>
      <c r="E185" s="1495"/>
      <c r="F185" s="1428"/>
      <c r="G185" s="1428"/>
    </row>
    <row r="186" spans="1:7" ht="20.100000000000001" hidden="1" customHeight="1" thickBot="1">
      <c r="A186" s="1428"/>
      <c r="B186" s="1599" t="s">
        <v>965</v>
      </c>
      <c r="C186" s="1614" t="s">
        <v>1173</v>
      </c>
      <c r="D186" s="1601">
        <f>D182*D184*(D163-D162)</f>
        <v>0</v>
      </c>
      <c r="E186" s="1601">
        <f>E182*E184*(E163-E162)</f>
        <v>0</v>
      </c>
      <c r="F186" s="1428"/>
      <c r="G186" s="1428"/>
    </row>
    <row r="187" spans="1:7" ht="20.100000000000001" hidden="1" customHeight="1" thickBot="1">
      <c r="A187" s="1428"/>
      <c r="B187" s="1045"/>
      <c r="C187" s="1603"/>
      <c r="D187" s="1622"/>
      <c r="E187" s="1622"/>
      <c r="F187" s="1428"/>
      <c r="G187" s="1428"/>
    </row>
    <row r="188" spans="1:7" ht="20.100000000000001" hidden="1" customHeight="1">
      <c r="A188" s="1428"/>
      <c r="B188" s="1623" t="s">
        <v>741</v>
      </c>
      <c r="C188" s="1581"/>
      <c r="D188" s="1624" t="b">
        <f>OR((D158="Air"),(D158="Water"))</f>
        <v>0</v>
      </c>
      <c r="E188" s="1625" t="b">
        <f>OR((E158="Air"),(E158="Water"))</f>
        <v>0</v>
      </c>
      <c r="F188" s="1428"/>
      <c r="G188" s="1428"/>
    </row>
    <row r="189" spans="1:7" ht="20.100000000000001" hidden="1" customHeight="1">
      <c r="A189" s="1428"/>
      <c r="B189" s="1586" t="s">
        <v>741</v>
      </c>
      <c r="C189" s="1495"/>
      <c r="D189" s="1626">
        <f>IF(D158="Air",(D178*D188),(D171*D188))</f>
        <v>0</v>
      </c>
      <c r="E189" s="1627">
        <f>IF(E158="Air",(E178*E188),(E171*E188))</f>
        <v>0</v>
      </c>
      <c r="F189" s="1428"/>
      <c r="G189" s="1428"/>
    </row>
    <row r="190" spans="1:7" ht="20.100000000000001" hidden="1" customHeight="1">
      <c r="A190" s="1428"/>
      <c r="B190" s="1586" t="s">
        <v>742</v>
      </c>
      <c r="C190" s="1495"/>
      <c r="D190" s="1626" t="b">
        <f>OR((D158="Other Gas"),(D158="Other Liquid"))</f>
        <v>1</v>
      </c>
      <c r="E190" s="1627" t="b">
        <f>OR((E158="Other Gas"),(E158="Other Liquid"))</f>
        <v>1</v>
      </c>
      <c r="F190" s="1428"/>
      <c r="G190" s="1428"/>
    </row>
    <row r="191" spans="1:7" ht="20.100000000000001" hidden="1" customHeight="1" thickBot="1">
      <c r="A191" s="1428"/>
      <c r="B191" s="1599"/>
      <c r="C191" s="1628" t="s">
        <v>1172</v>
      </c>
      <c r="D191" s="1629">
        <f>IF(D190,D186,D189)</f>
        <v>0</v>
      </c>
      <c r="E191" s="1630">
        <f>IF(E190,E186,E189)</f>
        <v>0</v>
      </c>
      <c r="F191" s="1428"/>
      <c r="G191" s="1428"/>
    </row>
    <row r="192" spans="1:7" ht="20.100000000000001" customHeight="1">
      <c r="A192" s="1428"/>
      <c r="B192" s="1045"/>
      <c r="C192" s="1603"/>
      <c r="D192" s="1622"/>
      <c r="E192" s="1622"/>
      <c r="F192" s="1428"/>
      <c r="G192" s="1428"/>
    </row>
    <row r="193" spans="1:7" ht="20.100000000000001" customHeight="1" thickBot="1">
      <c r="A193" s="1428"/>
      <c r="B193" s="1045"/>
      <c r="C193" s="1027"/>
      <c r="D193" s="1027"/>
      <c r="E193" s="1027"/>
      <c r="F193" s="1428"/>
      <c r="G193" s="1428"/>
    </row>
    <row r="194" spans="1:7" ht="20.100000000000001" customHeight="1" thickBot="1">
      <c r="A194" s="1428"/>
      <c r="B194" s="1564" t="s">
        <v>1109</v>
      </c>
      <c r="C194" s="1565"/>
      <c r="D194" s="1565"/>
      <c r="E194" s="1566"/>
      <c r="F194" s="1428"/>
      <c r="G194" s="1428"/>
    </row>
    <row r="195" spans="1:7" ht="20.100000000000001" customHeight="1">
      <c r="A195" s="1428"/>
      <c r="B195" s="1567"/>
      <c r="C195" s="1568"/>
      <c r="D195" s="1637" t="s">
        <v>1171</v>
      </c>
      <c r="E195" s="1638" t="s">
        <v>1115</v>
      </c>
      <c r="F195" s="1428"/>
      <c r="G195" s="1428"/>
    </row>
    <row r="196" spans="1:7" ht="20.100000000000001" customHeight="1">
      <c r="A196" s="1428"/>
      <c r="B196" s="1572" t="s">
        <v>1101</v>
      </c>
      <c r="C196" s="1573"/>
      <c r="D196" s="980" t="s">
        <v>1606</v>
      </c>
      <c r="E196" s="975" t="s">
        <v>1606</v>
      </c>
      <c r="F196" s="1428"/>
      <c r="G196" s="1428"/>
    </row>
    <row r="197" spans="1:7" ht="20.100000000000001" customHeight="1">
      <c r="A197" s="1428"/>
      <c r="B197" s="1572" t="s">
        <v>1464</v>
      </c>
      <c r="C197" s="1573" t="s">
        <v>1351</v>
      </c>
      <c r="D197" s="981">
        <v>0.25</v>
      </c>
      <c r="E197" s="977">
        <v>0.25</v>
      </c>
      <c r="F197" s="1428"/>
      <c r="G197" s="1428"/>
    </row>
    <row r="198" spans="1:7" ht="20.100000000000001" customHeight="1">
      <c r="A198" s="1428"/>
      <c r="B198" s="1572" t="s">
        <v>733</v>
      </c>
      <c r="C198" s="1573" t="str">
        <f>IF(B199="Gas Flow","(lb/SCF)", "(lb/gal)")</f>
        <v>(lb/SCF)</v>
      </c>
      <c r="D198" s="981">
        <v>0.08</v>
      </c>
      <c r="E198" s="977">
        <v>0.08</v>
      </c>
      <c r="F198" s="1428"/>
      <c r="G198" s="1428"/>
    </row>
    <row r="199" spans="1:7" ht="20.100000000000001" customHeight="1">
      <c r="A199" s="1428"/>
      <c r="B199" s="1572" t="str">
        <f>IF(OR(D196="Air",D196="OTHER GAS"),K$7,K$6)</f>
        <v>Gas Flow</v>
      </c>
      <c r="C199" s="1574" t="str">
        <f>IF(B199="Gas Flow",L$7,L$6)</f>
        <v>SCFM</v>
      </c>
      <c r="D199" s="982"/>
      <c r="E199" s="976"/>
      <c r="F199" s="1428"/>
      <c r="G199" s="1428"/>
    </row>
    <row r="200" spans="1:7" ht="20.100000000000001" customHeight="1">
      <c r="A200" s="1428"/>
      <c r="B200" s="1572" t="s">
        <v>756</v>
      </c>
      <c r="C200" s="1574" t="s">
        <v>1175</v>
      </c>
      <c r="D200" s="2162"/>
      <c r="E200" s="2163"/>
      <c r="F200" s="1428"/>
      <c r="G200" s="1428"/>
    </row>
    <row r="201" spans="1:7" ht="20.100000000000001" customHeight="1">
      <c r="A201" s="1428"/>
      <c r="B201" s="1572" t="str">
        <f>IF(OR(D196="Water",E196="Water",D196="Other Liquid",E196="Other Liquid"), "Outlet Temperature (Below boiling point)","Outlet Temperature")</f>
        <v>Outlet Temperature</v>
      </c>
      <c r="C201" s="1574" t="s">
        <v>1175</v>
      </c>
      <c r="D201" s="2162"/>
      <c r="E201" s="2163"/>
      <c r="F201" s="1428"/>
      <c r="G201" s="1428"/>
    </row>
    <row r="202" spans="1:7" ht="20.100000000000001" customHeight="1">
      <c r="A202" s="1428"/>
      <c r="B202" s="1572" t="s">
        <v>507</v>
      </c>
      <c r="C202" s="1575" t="s">
        <v>1173</v>
      </c>
      <c r="D202" s="1576">
        <f>D230</f>
        <v>0</v>
      </c>
      <c r="E202" s="1577">
        <f>E230</f>
        <v>0</v>
      </c>
      <c r="F202" s="1428"/>
      <c r="G202" s="1428"/>
    </row>
    <row r="203" spans="1:7" ht="20.100000000000001" customHeight="1" thickBot="1">
      <c r="A203" s="1428"/>
      <c r="B203" s="1578" t="s">
        <v>1463</v>
      </c>
      <c r="C203" s="1579"/>
      <c r="D203" s="2202">
        <v>1</v>
      </c>
      <c r="E203" s="2203">
        <v>1</v>
      </c>
      <c r="F203" s="1428"/>
      <c r="G203" s="1428"/>
    </row>
    <row r="204" spans="1:7" ht="20.100000000000001" hidden="1" customHeight="1" thickBot="1">
      <c r="A204" s="1428"/>
      <c r="B204" s="1045"/>
      <c r="C204" s="1027"/>
      <c r="D204" s="1027"/>
      <c r="E204" s="1662"/>
      <c r="F204" s="1428"/>
      <c r="G204" s="1428"/>
    </row>
    <row r="205" spans="1:7" ht="20.100000000000001" hidden="1" customHeight="1">
      <c r="A205" s="1428"/>
      <c r="B205" s="1580" t="s">
        <v>1104</v>
      </c>
      <c r="C205" s="1581"/>
      <c r="D205" s="1581"/>
      <c r="E205" s="1663"/>
      <c r="F205" s="1428"/>
      <c r="G205" s="1428"/>
    </row>
    <row r="206" spans="1:7" ht="20.100000000000001" hidden="1" customHeight="1">
      <c r="A206" s="1428"/>
      <c r="B206" s="1586"/>
      <c r="C206" s="1495"/>
      <c r="D206" s="1495"/>
      <c r="E206" s="1587"/>
      <c r="F206" s="1428"/>
      <c r="G206" s="1428"/>
    </row>
    <row r="207" spans="1:7" ht="20.100000000000001" hidden="1" customHeight="1">
      <c r="A207" s="1428"/>
      <c r="B207" s="1586" t="s">
        <v>1050</v>
      </c>
      <c r="C207" s="1495" t="s">
        <v>1350</v>
      </c>
      <c r="D207" s="1495">
        <f>D199</f>
        <v>0</v>
      </c>
      <c r="E207" s="1495">
        <f>E199</f>
        <v>0</v>
      </c>
      <c r="F207" s="1428"/>
      <c r="G207" s="1428"/>
    </row>
    <row r="208" spans="1:7" ht="20.100000000000001" hidden="1" customHeight="1">
      <c r="A208" s="1428"/>
      <c r="B208" s="1586" t="s">
        <v>1049</v>
      </c>
      <c r="C208" s="1495" t="s">
        <v>1353</v>
      </c>
      <c r="D208" s="1495">
        <f>D207*8.335</f>
        <v>0</v>
      </c>
      <c r="E208" s="1495">
        <f>E207*8.335</f>
        <v>0</v>
      </c>
      <c r="F208" s="1428"/>
      <c r="G208" s="1428"/>
    </row>
    <row r="209" spans="1:7" ht="20.100000000000001" hidden="1" customHeight="1">
      <c r="A209" s="1428"/>
      <c r="B209" s="1586" t="s">
        <v>1048</v>
      </c>
      <c r="C209" s="1495" t="s">
        <v>1354</v>
      </c>
      <c r="D209" s="1596">
        <v>1</v>
      </c>
      <c r="E209" s="1596">
        <v>1</v>
      </c>
      <c r="F209" s="1428"/>
      <c r="G209" s="1428"/>
    </row>
    <row r="210" spans="1:7" ht="20.100000000000001" hidden="1" customHeight="1" thickBot="1">
      <c r="A210" s="1428"/>
      <c r="B210" s="1599" t="s">
        <v>1047</v>
      </c>
      <c r="C210" s="1600" t="s">
        <v>1173</v>
      </c>
      <c r="D210" s="1631">
        <f>D208*60*D209*(D201-D200)</f>
        <v>0</v>
      </c>
      <c r="E210" s="1631">
        <f>E208*60*E209*(E201-E200)</f>
        <v>0</v>
      </c>
      <c r="F210" s="1428"/>
      <c r="G210" s="1428"/>
    </row>
    <row r="211" spans="1:7" ht="20.100000000000001" hidden="1" customHeight="1">
      <c r="A211" s="1428"/>
      <c r="B211" s="1604"/>
      <c r="C211" s="1461"/>
      <c r="D211" s="1603"/>
      <c r="E211" s="1603"/>
      <c r="F211" s="1428"/>
      <c r="G211" s="1428"/>
    </row>
    <row r="212" spans="1:7" ht="20.100000000000001" hidden="1" customHeight="1">
      <c r="A212" s="1428"/>
      <c r="B212" s="1282" t="s">
        <v>1102</v>
      </c>
      <c r="C212" s="1495"/>
      <c r="D212" s="1495"/>
      <c r="E212" s="1495"/>
      <c r="F212" s="1428"/>
      <c r="G212" s="1428"/>
    </row>
    <row r="213" spans="1:7" ht="20.100000000000001" hidden="1" customHeight="1">
      <c r="A213" s="1428"/>
      <c r="B213" s="1281" t="s">
        <v>1038</v>
      </c>
      <c r="C213" s="1495" t="s">
        <v>1355</v>
      </c>
      <c r="D213" s="1495">
        <f>(D200+D201)/2</f>
        <v>0</v>
      </c>
      <c r="E213" s="1495">
        <f>(E200+E201)/2</f>
        <v>0</v>
      </c>
      <c r="F213" s="1428"/>
      <c r="G213" s="1428"/>
    </row>
    <row r="214" spans="1:7" ht="20.100000000000001" hidden="1" customHeight="1">
      <c r="A214" s="1428"/>
      <c r="B214" s="1281" t="s">
        <v>1037</v>
      </c>
      <c r="C214" s="1605" t="s">
        <v>1346</v>
      </c>
      <c r="D214" s="1495">
        <f>$L$27+$L$28*D213+$L$29*D213^2-$L$30*D213^3</f>
        <v>0.23710000000000001</v>
      </c>
      <c r="E214" s="1495">
        <f>$L$27+$L$28*E213+$L$29*E213^2-$L$30*E213^3</f>
        <v>0.23710000000000001</v>
      </c>
      <c r="F214" s="1428"/>
      <c r="G214" s="1428"/>
    </row>
    <row r="215" spans="1:7" ht="20.100000000000001" hidden="1" customHeight="1">
      <c r="A215" s="1428"/>
      <c r="B215" s="1281" t="s">
        <v>1398</v>
      </c>
      <c r="C215" s="1605" t="s">
        <v>1356</v>
      </c>
      <c r="D215" s="1495">
        <v>7.6300000000000007E-2</v>
      </c>
      <c r="E215" s="1495">
        <v>7.6300000000000007E-2</v>
      </c>
      <c r="F215" s="1428"/>
      <c r="G215" s="1428"/>
    </row>
    <row r="216" spans="1:7" ht="20.100000000000001" hidden="1" customHeight="1">
      <c r="A216" s="1428"/>
      <c r="B216" s="1281" t="s">
        <v>1036</v>
      </c>
      <c r="C216" s="1495" t="s">
        <v>1357</v>
      </c>
      <c r="D216" s="1495">
        <f>D199*$L$19*60</f>
        <v>0</v>
      </c>
      <c r="E216" s="1495">
        <f>E199*$L$19*60</f>
        <v>0</v>
      </c>
      <c r="F216" s="1428"/>
      <c r="G216" s="1428"/>
    </row>
    <row r="217" spans="1:7" ht="20.100000000000001" hidden="1" customHeight="1">
      <c r="A217" s="1428"/>
      <c r="B217" s="1281" t="s">
        <v>965</v>
      </c>
      <c r="C217" s="1664" t="s">
        <v>1173</v>
      </c>
      <c r="D217" s="1497">
        <f>D214*D216*(D201-D200)</f>
        <v>0</v>
      </c>
      <c r="E217" s="1497">
        <f>E214*E216*(E201-E200)</f>
        <v>0</v>
      </c>
      <c r="F217" s="1428"/>
      <c r="G217" s="1428"/>
    </row>
    <row r="218" spans="1:7" ht="20.100000000000001" hidden="1" customHeight="1" thickBot="1">
      <c r="A218" s="1428"/>
      <c r="B218" s="1045"/>
      <c r="C218" s="1027"/>
      <c r="D218" s="1027"/>
      <c r="E218" s="1027"/>
      <c r="F218" s="1428"/>
      <c r="G218" s="1428"/>
    </row>
    <row r="219" spans="1:7" ht="20.100000000000001" hidden="1" customHeight="1">
      <c r="A219" s="1428"/>
      <c r="B219" s="1580" t="s">
        <v>740</v>
      </c>
      <c r="C219" s="1581"/>
      <c r="D219" s="1581"/>
      <c r="E219" s="1582"/>
      <c r="F219" s="1428"/>
      <c r="G219" s="1428"/>
    </row>
    <row r="220" spans="1:7" ht="20.100000000000001" hidden="1" customHeight="1">
      <c r="A220" s="1428"/>
      <c r="B220" s="1586"/>
      <c r="C220" s="1495"/>
      <c r="D220" s="1495"/>
      <c r="E220" s="1587"/>
      <c r="F220" s="1428"/>
      <c r="G220" s="1428"/>
    </row>
    <row r="221" spans="1:7" ht="20.100000000000001" hidden="1" customHeight="1">
      <c r="A221" s="1428"/>
      <c r="B221" s="1586" t="s">
        <v>737</v>
      </c>
      <c r="C221" s="1605" t="s">
        <v>1354</v>
      </c>
      <c r="D221" s="1606">
        <f>D198</f>
        <v>0.08</v>
      </c>
      <c r="E221" s="1607">
        <f>E198</f>
        <v>0.08</v>
      </c>
      <c r="F221" s="1428"/>
      <c r="G221" s="1428"/>
    </row>
    <row r="222" spans="1:7" ht="20.100000000000001" hidden="1" customHeight="1">
      <c r="A222" s="1428"/>
      <c r="B222" s="1586" t="s">
        <v>739</v>
      </c>
      <c r="C222" s="1605" t="s">
        <v>1358</v>
      </c>
      <c r="D222" s="1636">
        <f>D197</f>
        <v>0.25</v>
      </c>
      <c r="E222" s="1647">
        <f>E197</f>
        <v>0.25</v>
      </c>
      <c r="F222" s="1428"/>
      <c r="G222" s="1428"/>
    </row>
    <row r="223" spans="1:7" ht="20.100000000000001" hidden="1" customHeight="1">
      <c r="A223" s="1428"/>
      <c r="B223" s="1586" t="s">
        <v>738</v>
      </c>
      <c r="C223" s="1495" t="s">
        <v>1357</v>
      </c>
      <c r="D223" s="1591">
        <f>D199*D222*60</f>
        <v>0</v>
      </c>
      <c r="E223" s="1592">
        <f>E199*E222*60</f>
        <v>0</v>
      </c>
      <c r="F223" s="1428"/>
      <c r="G223" s="1428"/>
    </row>
    <row r="224" spans="1:7" ht="20.100000000000001" hidden="1" customHeight="1">
      <c r="A224" s="1428"/>
      <c r="B224" s="1586"/>
      <c r="C224" s="1495"/>
      <c r="D224" s="1495"/>
      <c r="E224" s="1587"/>
      <c r="F224" s="1428"/>
      <c r="G224" s="1428"/>
    </row>
    <row r="225" spans="1:7" ht="20.100000000000001" hidden="1" customHeight="1" thickBot="1">
      <c r="A225" s="1428"/>
      <c r="B225" s="1599" t="s">
        <v>965</v>
      </c>
      <c r="C225" s="1614" t="s">
        <v>1173</v>
      </c>
      <c r="D225" s="1601">
        <f>D221*D223*(D201-D200)</f>
        <v>0</v>
      </c>
      <c r="E225" s="1602">
        <f>E221*E223*(E201-E200)</f>
        <v>0</v>
      </c>
      <c r="F225" s="1428"/>
      <c r="G225" s="1428"/>
    </row>
    <row r="226" spans="1:7" ht="20.100000000000001" hidden="1" customHeight="1" thickBot="1">
      <c r="A226" s="1428"/>
      <c r="B226" s="1429"/>
      <c r="C226" s="1428"/>
      <c r="D226" s="1428"/>
      <c r="E226" s="1428"/>
      <c r="F226" s="1428"/>
      <c r="G226" s="1428"/>
    </row>
    <row r="227" spans="1:7" ht="20.100000000000001" hidden="1" customHeight="1">
      <c r="A227" s="1428"/>
      <c r="B227" s="1623" t="s">
        <v>741</v>
      </c>
      <c r="C227" s="1581"/>
      <c r="D227" s="1624" t="b">
        <f>OR((D196="Air"),(D196="Water"))</f>
        <v>1</v>
      </c>
      <c r="E227" s="1625" t="b">
        <f>OR((E196="Air"),(E196="Water"))</f>
        <v>1</v>
      </c>
      <c r="F227" s="1428"/>
      <c r="G227" s="1428"/>
    </row>
    <row r="228" spans="1:7" ht="20.100000000000001" hidden="1" customHeight="1">
      <c r="A228" s="1428"/>
      <c r="B228" s="1586" t="s">
        <v>741</v>
      </c>
      <c r="C228" s="1495"/>
      <c r="D228" s="1626">
        <f>IF(D196="Air",(D217*D227),(D210*D227))</f>
        <v>0</v>
      </c>
      <c r="E228" s="1627">
        <f>IF(E196="Air",(E217*E227),(E210*E227))</f>
        <v>0</v>
      </c>
      <c r="F228" s="1428"/>
      <c r="G228" s="1428"/>
    </row>
    <row r="229" spans="1:7" ht="20.100000000000001" hidden="1" customHeight="1">
      <c r="A229" s="1428"/>
      <c r="B229" s="1586" t="s">
        <v>742</v>
      </c>
      <c r="C229" s="1495"/>
      <c r="D229" s="1626" t="b">
        <f>OR((D196="Other Gas"),(D196="Other Liquid"))</f>
        <v>0</v>
      </c>
      <c r="E229" s="1627" t="b">
        <f>OR((E196="Other Gas"),(E196="Other Liquid"))</f>
        <v>0</v>
      </c>
      <c r="F229" s="1428"/>
      <c r="G229" s="1428"/>
    </row>
    <row r="230" spans="1:7" ht="20.100000000000001" hidden="1" customHeight="1" thickBot="1">
      <c r="A230" s="1428"/>
      <c r="B230" s="1599"/>
      <c r="C230" s="1628" t="s">
        <v>1172</v>
      </c>
      <c r="D230" s="1629">
        <f>IF(D229,D225,D228)</f>
        <v>0</v>
      </c>
      <c r="E230" s="1630">
        <f>IF(E229,E225,E228)</f>
        <v>0</v>
      </c>
      <c r="F230" s="1428"/>
      <c r="G230" s="1428"/>
    </row>
    <row r="231" spans="1:7" ht="20.100000000000001" customHeight="1">
      <c r="A231" s="1428"/>
      <c r="B231" s="1429"/>
      <c r="C231" s="1428"/>
      <c r="D231" s="1428"/>
      <c r="E231" s="1428"/>
      <c r="F231" s="1428"/>
      <c r="G231" s="1428"/>
    </row>
    <row r="232" spans="1:7" ht="20.100000000000001" customHeight="1">
      <c r="A232" s="1428"/>
      <c r="B232" s="1429"/>
      <c r="C232" s="1428"/>
      <c r="D232" s="1428"/>
      <c r="E232" s="1428"/>
      <c r="F232" s="1428"/>
      <c r="G232" s="1428"/>
    </row>
    <row r="233" spans="1:7" ht="20.100000000000001" customHeight="1">
      <c r="A233" s="1428"/>
      <c r="B233" s="1665" t="s">
        <v>1110</v>
      </c>
      <c r="C233" s="1666" t="s">
        <v>1173</v>
      </c>
      <c r="D233" s="1667">
        <f>(D13*D14*$L$13)+(D50*D51*$L$50)+(D88*D89*$L$84)+(D126*D127*$L$108)+(D164*D165*$L$134)+(D202*D203*$L$161)</f>
        <v>0</v>
      </c>
      <c r="E233" s="1667">
        <f>(E13*E14*$L$13)+(E50*E51*$L$50)+(E88*E89*$L$84)+(E126*E127*$L$108)+(E164*E165*$L$134)+(E202*E203*$L$161)</f>
        <v>0</v>
      </c>
      <c r="F233" s="1428"/>
      <c r="G233" s="1428"/>
    </row>
    <row r="234" spans="1:7" ht="20.100000000000001" customHeight="1" thickBot="1">
      <c r="A234" s="1428"/>
      <c r="B234" s="1429"/>
      <c r="C234" s="1428"/>
      <c r="D234" s="1428"/>
      <c r="E234" s="1428"/>
      <c r="F234" s="1428"/>
      <c r="G234" s="1428"/>
    </row>
    <row r="235" spans="1:7" ht="20.100000000000001" customHeight="1">
      <c r="A235" s="1428"/>
      <c r="B235" s="2540" t="s">
        <v>710</v>
      </c>
      <c r="C235" s="2541"/>
      <c r="D235" s="2541"/>
      <c r="E235" s="2542"/>
      <c r="F235" s="1428"/>
      <c r="G235" s="1428"/>
    </row>
    <row r="236" spans="1:7" ht="20.100000000000001" customHeight="1">
      <c r="A236" s="1428"/>
      <c r="B236" s="2533" t="s">
        <v>709</v>
      </c>
      <c r="C236" s="2534"/>
      <c r="D236" s="2534"/>
      <c r="E236" s="2535"/>
      <c r="F236" s="1428"/>
      <c r="G236" s="1428"/>
    </row>
    <row r="237" spans="1:7" ht="20.100000000000001" customHeight="1">
      <c r="A237" s="1428"/>
      <c r="B237" s="2559"/>
      <c r="C237" s="2560"/>
      <c r="D237" s="2560"/>
      <c r="E237" s="2561"/>
      <c r="F237" s="1428"/>
      <c r="G237" s="1428"/>
    </row>
    <row r="238" spans="1:7" ht="20.100000000000001" customHeight="1">
      <c r="A238" s="1428"/>
      <c r="B238" s="2559"/>
      <c r="C238" s="2560"/>
      <c r="D238" s="2560"/>
      <c r="E238" s="2561"/>
      <c r="F238" s="1428"/>
      <c r="G238" s="1428"/>
    </row>
    <row r="239" spans="1:7" ht="20.100000000000001" customHeight="1">
      <c r="A239" s="1428"/>
      <c r="B239" s="2559"/>
      <c r="C239" s="2560"/>
      <c r="D239" s="2560"/>
      <c r="E239" s="2561"/>
      <c r="F239" s="1428"/>
      <c r="G239" s="1428"/>
    </row>
    <row r="240" spans="1:7" ht="20.100000000000001" customHeight="1">
      <c r="A240" s="1428"/>
      <c r="B240" s="2559"/>
      <c r="C240" s="2560"/>
      <c r="D240" s="2560"/>
      <c r="E240" s="2561"/>
      <c r="F240" s="1428"/>
      <c r="G240" s="1428"/>
    </row>
    <row r="241" spans="1:7" ht="20.100000000000001" customHeight="1" thickBot="1">
      <c r="A241" s="1428"/>
      <c r="B241" s="2562"/>
      <c r="C241" s="2563"/>
      <c r="D241" s="2563"/>
      <c r="E241" s="2564"/>
      <c r="F241" s="1428"/>
      <c r="G241" s="1428"/>
    </row>
    <row r="242" spans="1:7" ht="20.100000000000001" customHeight="1">
      <c r="A242" s="1428"/>
      <c r="B242" s="1429"/>
      <c r="C242" s="1428"/>
      <c r="D242" s="1428"/>
      <c r="E242" s="1428"/>
      <c r="F242" s="1428"/>
      <c r="G242" s="1428"/>
    </row>
  </sheetData>
  <sheetProtection password="B61E" sheet="1" objects="1" scenarios="1"/>
  <mergeCells count="9">
    <mergeCell ref="B238:E238"/>
    <mergeCell ref="B239:E239"/>
    <mergeCell ref="B240:E240"/>
    <mergeCell ref="B241:E241"/>
    <mergeCell ref="B2:E2"/>
    <mergeCell ref="D3:E3"/>
    <mergeCell ref="B235:E235"/>
    <mergeCell ref="B236:E236"/>
    <mergeCell ref="B237:E237"/>
  </mergeCells>
  <phoneticPr fontId="5" type="noConversion"/>
  <conditionalFormatting sqref="D8:D9">
    <cfRule type="expression" dxfId="47" priority="23" stopIfTrue="1">
      <formula>$D$7="Water"</formula>
    </cfRule>
    <cfRule type="expression" dxfId="46" priority="24" stopIfTrue="1">
      <formula>$D$7="Air"</formula>
    </cfRule>
  </conditionalFormatting>
  <conditionalFormatting sqref="E8:E9">
    <cfRule type="expression" dxfId="45" priority="21" stopIfTrue="1">
      <formula>$E$7="Water"</formula>
    </cfRule>
    <cfRule type="expression" dxfId="44" priority="22" stopIfTrue="1">
      <formula>$E$7="Air"</formula>
    </cfRule>
  </conditionalFormatting>
  <conditionalFormatting sqref="D45:D46">
    <cfRule type="expression" dxfId="43" priority="19" stopIfTrue="1">
      <formula>$D$44="Water"</formula>
    </cfRule>
    <cfRule type="expression" dxfId="42" priority="20" stopIfTrue="1">
      <formula>$D$44="Air"</formula>
    </cfRule>
  </conditionalFormatting>
  <conditionalFormatting sqref="E45:E46">
    <cfRule type="expression" dxfId="41" priority="17" stopIfTrue="1">
      <formula>$E$44="Water"</formula>
    </cfRule>
    <cfRule type="expression" dxfId="40" priority="18" stopIfTrue="1">
      <formula>$E$44="Air"</formula>
    </cfRule>
  </conditionalFormatting>
  <conditionalFormatting sqref="D83:D84">
    <cfRule type="expression" dxfId="39" priority="15" stopIfTrue="1">
      <formula>$D$82="Water"</formula>
    </cfRule>
    <cfRule type="expression" dxfId="38" priority="16" stopIfTrue="1">
      <formula>$D$82="Air"</formula>
    </cfRule>
  </conditionalFormatting>
  <conditionalFormatting sqref="E83:E84">
    <cfRule type="expression" dxfId="37" priority="13" stopIfTrue="1">
      <formula>$E$82="Water"</formula>
    </cfRule>
    <cfRule type="expression" dxfId="36" priority="14" stopIfTrue="1">
      <formula>$E$82="Air"</formula>
    </cfRule>
  </conditionalFormatting>
  <conditionalFormatting sqref="D121:D122">
    <cfRule type="expression" dxfId="35" priority="11" stopIfTrue="1">
      <formula>$D$120="Water"</formula>
    </cfRule>
    <cfRule type="expression" dxfId="34" priority="12" stopIfTrue="1">
      <formula>$D$120="Air"</formula>
    </cfRule>
  </conditionalFormatting>
  <conditionalFormatting sqref="E121:E122">
    <cfRule type="expression" dxfId="33" priority="9" stopIfTrue="1">
      <formula>$E$120="Water"</formula>
    </cfRule>
    <cfRule type="expression" dxfId="32" priority="10" stopIfTrue="1">
      <formula>$E$120="Air"</formula>
    </cfRule>
  </conditionalFormatting>
  <conditionalFormatting sqref="D159:D160">
    <cfRule type="expression" dxfId="31" priority="7" stopIfTrue="1">
      <formula>$D$158="Water"</formula>
    </cfRule>
    <cfRule type="expression" dxfId="30" priority="8" stopIfTrue="1">
      <formula>$D$158="Air"</formula>
    </cfRule>
  </conditionalFormatting>
  <conditionalFormatting sqref="E159:E160">
    <cfRule type="expression" dxfId="29" priority="5" stopIfTrue="1">
      <formula>$E$158="Water"</formula>
    </cfRule>
    <cfRule type="expression" dxfId="28" priority="6" stopIfTrue="1">
      <formula>$E$158="Air"</formula>
    </cfRule>
  </conditionalFormatting>
  <conditionalFormatting sqref="D197:D198">
    <cfRule type="expression" dxfId="27" priority="3" stopIfTrue="1">
      <formula>$D$196="Water"</formula>
    </cfRule>
    <cfRule type="expression" dxfId="26" priority="4" stopIfTrue="1">
      <formula>$D$196="Air"</formula>
    </cfRule>
  </conditionalFormatting>
  <conditionalFormatting sqref="E197:E198">
    <cfRule type="expression" dxfId="25" priority="1" stopIfTrue="1">
      <formula>$E$196="Water"</formula>
    </cfRule>
    <cfRule type="expression" dxfId="24" priority="2" stopIfTrue="1">
      <formula>$E$196="Air"</formula>
    </cfRule>
  </conditionalFormatting>
  <dataValidations count="1">
    <dataValidation type="list" allowBlank="1" showInputMessage="1" showErrorMessage="1" sqref="D196:E196 D158:E158 D120:E120 D82:E82 D44:E44 D7:E7">
      <formula1>"AIR, WATER,OTHER GAS, OTHER LIQUID"</formula1>
    </dataValidation>
  </dataValidations>
  <pageMargins left="0.75" right="0.75" top="1" bottom="1" header="0.5" footer="0.5"/>
  <pageSetup scale="88" orientation="portrait" r:id="rId1"/>
  <headerFooter alignWithMargins="0">
    <oddHeader>&amp;LWater-Air Cooling</oddHeader>
    <oddFooter>&amp;LUS Department of Energy&amp;C&amp;P&amp;R&amp;D</oddFooter>
  </headerFooter>
  <rowBreaks count="2" manualBreakCount="2">
    <brk id="78" max="16383" man="1"/>
    <brk id="155" max="16383" man="1"/>
  </rowBreaks>
  <colBreaks count="1" manualBreakCount="1">
    <brk id="5" max="1048575" man="1"/>
  </colBreaks>
  <drawing r:id="rId2"/>
  <legacyDrawing r:id="rId3"/>
  <controls>
    <mc:AlternateContent xmlns:mc="http://schemas.openxmlformats.org/markup-compatibility/2006">
      <mc:Choice Requires="x14">
        <control shapeId="2323461" r:id="rId4" name="CommandButtonCoolData">
          <controlPr defaultSize="0" print="0" autoLine="0" r:id="rId5">
            <anchor moveWithCells="1">
              <from>
                <xdr:col>5</xdr:col>
                <xdr:colOff>342900</xdr:colOff>
                <xdr:row>9</xdr:row>
                <xdr:rowOff>38100</xdr:rowOff>
              </from>
              <to>
                <xdr:col>6</xdr:col>
                <xdr:colOff>466725</xdr:colOff>
                <xdr:row>11</xdr:row>
                <xdr:rowOff>19050</xdr:rowOff>
              </to>
            </anchor>
          </controlPr>
        </control>
      </mc:Choice>
      <mc:Fallback>
        <control shapeId="2323461" r:id="rId4" name="CommandButtonCoolData"/>
      </mc:Fallback>
    </mc:AlternateContent>
    <mc:AlternateContent xmlns:mc="http://schemas.openxmlformats.org/markup-compatibility/2006">
      <mc:Choice Requires="x14">
        <control shapeId="2323463" r:id="rId6" name="CommandButtonCopyCool">
          <controlPr defaultSize="0" print="0" autoLine="0" r:id="rId7">
            <anchor moveWithCells="1">
              <from>
                <xdr:col>5</xdr:col>
                <xdr:colOff>314325</xdr:colOff>
                <xdr:row>4</xdr:row>
                <xdr:rowOff>57150</xdr:rowOff>
              </from>
              <to>
                <xdr:col>6</xdr:col>
                <xdr:colOff>438150</xdr:colOff>
                <xdr:row>6</xdr:row>
                <xdr:rowOff>38100</xdr:rowOff>
              </to>
            </anchor>
          </controlPr>
        </control>
      </mc:Choice>
      <mc:Fallback>
        <control shapeId="2323463" r:id="rId6" name="CommandButtonCopyCool"/>
      </mc:Fallback>
    </mc:AlternateContent>
    <mc:AlternateContent xmlns:mc="http://schemas.openxmlformats.org/markup-compatibility/2006">
      <mc:Choice Requires="x14">
        <control shapeId="2323465" r:id="rId8" name="CommandButtonHelp">
          <controlPr defaultSize="0" autoLine="0" r:id="rId9">
            <anchor moveWithCells="1">
              <from>
                <xdr:col>0</xdr:col>
                <xdr:colOff>47625</xdr:colOff>
                <xdr:row>4</xdr:row>
                <xdr:rowOff>0</xdr:rowOff>
              </from>
              <to>
                <xdr:col>0</xdr:col>
                <xdr:colOff>657225</xdr:colOff>
                <xdr:row>44</xdr:row>
                <xdr:rowOff>85725</xdr:rowOff>
              </to>
            </anchor>
          </controlPr>
        </control>
      </mc:Choice>
      <mc:Fallback>
        <control shapeId="2323465" r:id="rId8" name="CommandButtonHelp"/>
      </mc:Fallback>
    </mc:AlternateContent>
    <mc:AlternateContent xmlns:mc="http://schemas.openxmlformats.org/markup-compatibility/2006">
      <mc:Choice Requires="x14">
        <control shapeId="2323488" r:id="rId10" name="CommandButton1">
          <controlPr defaultSize="0" autoLine="0" r:id="rId11">
            <anchor moveWithCells="1">
              <from>
                <xdr:col>5</xdr:col>
                <xdr:colOff>333375</xdr:colOff>
                <xdr:row>11</xdr:row>
                <xdr:rowOff>238125</xdr:rowOff>
              </from>
              <to>
                <xdr:col>6</xdr:col>
                <xdr:colOff>466725</xdr:colOff>
                <xdr:row>13</xdr:row>
                <xdr:rowOff>219075</xdr:rowOff>
              </to>
            </anchor>
          </controlPr>
        </control>
      </mc:Choice>
      <mc:Fallback>
        <control shapeId="2323488" r:id="rId10"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V61"/>
  <sheetViews>
    <sheetView workbookViewId="0">
      <selection activeCell="I6" sqref="I6"/>
    </sheetView>
  </sheetViews>
  <sheetFormatPr defaultColWidth="0" defaultRowHeight="14.25" zeroHeight="1"/>
  <cols>
    <col min="1" max="1" width="10.7109375" style="1504" customWidth="1"/>
    <col min="2" max="2" width="45.7109375" style="1696" customWidth="1"/>
    <col min="3" max="3" width="18.7109375" style="1673" customWidth="1"/>
    <col min="4" max="5" width="19.7109375" style="1673" customWidth="1"/>
    <col min="6" max="6" width="24.7109375" style="2054" customWidth="1"/>
    <col min="7" max="8" width="9.140625" style="1672" hidden="1" customWidth="1"/>
    <col min="9" max="9" width="9.140625" style="1673" hidden="1" customWidth="1"/>
    <col min="10" max="10" width="21.85546875" style="1673" hidden="1" customWidth="1"/>
    <col min="11" max="11" width="19.85546875" style="1673" hidden="1" customWidth="1"/>
    <col min="12" max="12" width="22.42578125" style="1673" hidden="1" customWidth="1"/>
    <col min="13" max="13" width="9.140625" style="2075" hidden="1" customWidth="1"/>
    <col min="14" max="14" width="8.42578125" style="1673" hidden="1" customWidth="1"/>
    <col min="15" max="15" width="7.28515625" style="1673" hidden="1" customWidth="1"/>
    <col min="16" max="16384" width="9.140625" style="1673" hidden="1"/>
  </cols>
  <sheetData>
    <row r="1" spans="1:22" s="1504" customFormat="1" ht="20.100000000000001" customHeight="1" thickBot="1">
      <c r="B1" s="1503"/>
      <c r="F1" s="2054"/>
      <c r="G1" s="2054"/>
      <c r="H1" s="2054"/>
      <c r="M1" s="2074"/>
    </row>
    <row r="2" spans="1:22" ht="20.100000000000001" hidden="1" customHeight="1">
      <c r="B2" s="1671" t="s">
        <v>726</v>
      </c>
      <c r="C2" s="1674">
        <f>'Control page'!D17</f>
        <v>3</v>
      </c>
      <c r="D2" s="1670" t="s">
        <v>1111</v>
      </c>
      <c r="E2" s="1670"/>
    </row>
    <row r="3" spans="1:22" ht="20.100000000000001" hidden="1" customHeight="1" thickBot="1">
      <c r="B3" s="1671"/>
      <c r="C3" s="1675"/>
      <c r="D3" s="1670"/>
      <c r="E3" s="1670"/>
      <c r="I3" s="1676"/>
      <c r="J3" s="1676"/>
      <c r="K3" s="1676"/>
      <c r="L3" s="1676"/>
      <c r="M3" s="2076"/>
      <c r="N3" s="1676"/>
      <c r="O3" s="1676"/>
      <c r="P3" s="1676"/>
      <c r="Q3" s="1676"/>
      <c r="R3" s="1676"/>
      <c r="S3" s="1676"/>
      <c r="T3" s="1676"/>
      <c r="U3" s="1676"/>
      <c r="V3" s="1676"/>
    </row>
    <row r="4" spans="1:22" ht="43.5" customHeight="1" thickBot="1">
      <c r="B4" s="2590" t="s">
        <v>1051</v>
      </c>
      <c r="C4" s="2591"/>
      <c r="D4" s="2591"/>
      <c r="E4" s="2592"/>
      <c r="I4" s="1676"/>
      <c r="J4" s="1677" t="s">
        <v>1060</v>
      </c>
      <c r="K4" s="1677" t="s">
        <v>1061</v>
      </c>
      <c r="L4" s="1677" t="s">
        <v>1061</v>
      </c>
      <c r="M4" s="2076"/>
      <c r="N4" s="1676"/>
      <c r="O4" s="1676"/>
      <c r="P4" s="1676"/>
      <c r="Q4" s="1676"/>
      <c r="R4" s="1676"/>
      <c r="S4" s="1676"/>
      <c r="T4" s="1676"/>
      <c r="U4" s="1676"/>
      <c r="V4" s="1676"/>
    </row>
    <row r="5" spans="1:22" ht="20.100000000000001" customHeight="1" thickBot="1">
      <c r="B5" s="1678"/>
      <c r="C5" s="1679"/>
      <c r="D5" s="1680" t="s">
        <v>1171</v>
      </c>
      <c r="E5" s="1681" t="s">
        <v>1119</v>
      </c>
      <c r="I5" s="1571" t="s">
        <v>8</v>
      </c>
      <c r="J5" s="1677"/>
      <c r="K5" s="1677" t="s">
        <v>1062</v>
      </c>
      <c r="L5" s="1677" t="str">
        <f>K5</f>
        <v>Btu/(s.cu.ft.- deg. F)</v>
      </c>
      <c r="M5" s="2077"/>
      <c r="N5" s="1561"/>
      <c r="O5" s="1561"/>
      <c r="P5" s="1561"/>
      <c r="Q5" s="1561"/>
      <c r="R5" s="1561"/>
      <c r="S5" s="1561"/>
      <c r="T5" s="1561"/>
      <c r="U5" s="1561"/>
      <c r="V5" s="1561"/>
    </row>
    <row r="6" spans="1:22" s="1672" customFormat="1" ht="20.100000000000001" customHeight="1">
      <c r="A6" s="2054"/>
      <c r="B6" s="2593" t="s">
        <v>1052</v>
      </c>
      <c r="C6" s="2595"/>
      <c r="D6" s="2040" t="s">
        <v>1211</v>
      </c>
      <c r="E6" s="2041" t="str">
        <f>D6</f>
        <v>Hydrogen</v>
      </c>
      <c r="F6" s="2054"/>
      <c r="I6" s="1561" t="s">
        <v>6</v>
      </c>
      <c r="J6" s="1682" t="s">
        <v>1063</v>
      </c>
      <c r="K6" s="1682">
        <v>1</v>
      </c>
      <c r="L6" s="1682">
        <v>1</v>
      </c>
      <c r="M6" s="2077"/>
      <c r="N6" s="1561"/>
      <c r="O6" s="1561"/>
      <c r="P6" s="1561"/>
      <c r="Q6" s="1561"/>
      <c r="R6" s="1561"/>
      <c r="S6" s="1561"/>
      <c r="T6" s="1561"/>
      <c r="U6" s="1561"/>
      <c r="V6" s="1561"/>
    </row>
    <row r="7" spans="1:22" ht="20.100000000000001" customHeight="1">
      <c r="B7" s="2594"/>
      <c r="C7" s="2596"/>
      <c r="D7" s="2038"/>
      <c r="E7" s="2039"/>
      <c r="F7" s="2080"/>
      <c r="I7" s="1561" t="s">
        <v>776</v>
      </c>
      <c r="J7" s="1677" t="s">
        <v>1209</v>
      </c>
      <c r="K7" s="1677">
        <f>0.0185</f>
        <v>1.8499999999999999E-2</v>
      </c>
      <c r="L7" s="1677">
        <f t="shared" ref="L7:L11" si="0">K7</f>
        <v>1.8499999999999999E-2</v>
      </c>
      <c r="M7" s="2077" t="s">
        <v>1609</v>
      </c>
      <c r="N7" s="1561"/>
      <c r="O7" s="1561"/>
      <c r="P7" s="1561"/>
      <c r="Q7" s="1561"/>
      <c r="R7" s="1561"/>
      <c r="S7" s="1561"/>
      <c r="T7" s="1561"/>
      <c r="U7" s="1561"/>
      <c r="V7" s="1561"/>
    </row>
    <row r="8" spans="1:22" ht="20.100000000000001" customHeight="1">
      <c r="B8" s="1683" t="s">
        <v>722</v>
      </c>
      <c r="C8" s="1684" t="s">
        <v>1362</v>
      </c>
      <c r="D8" s="1685">
        <f>IF(D6="Other",M8,VLOOKUP($D6,$J$7:$L$14,3,))</f>
        <v>1.8200000000000001E-2</v>
      </c>
      <c r="E8" s="1686">
        <f>D8</f>
        <v>1.8200000000000001E-2</v>
      </c>
      <c r="G8" s="1687" t="s">
        <v>946</v>
      </c>
      <c r="H8" s="1672">
        <f>D9*1.8+32</f>
        <v>32</v>
      </c>
      <c r="I8" s="1561" t="s">
        <v>774</v>
      </c>
      <c r="J8" s="1677" t="s">
        <v>1211</v>
      </c>
      <c r="K8" s="1677">
        <v>1.8200000000000001E-2</v>
      </c>
      <c r="L8" s="1677">
        <f t="shared" si="0"/>
        <v>1.8200000000000001E-2</v>
      </c>
      <c r="M8" s="2088" t="s">
        <v>528</v>
      </c>
      <c r="N8" s="1561"/>
      <c r="O8" s="1561"/>
      <c r="P8" s="1561"/>
      <c r="Q8" s="1561"/>
      <c r="R8" s="1561"/>
      <c r="S8" s="1561"/>
      <c r="T8" s="1561"/>
      <c r="U8" s="1561"/>
      <c r="V8" s="1561"/>
    </row>
    <row r="9" spans="1:22" ht="20.100000000000001" customHeight="1">
      <c r="B9" s="1683" t="s">
        <v>503</v>
      </c>
      <c r="C9" s="1684" t="s">
        <v>1175</v>
      </c>
      <c r="D9" s="985"/>
      <c r="E9" s="986"/>
      <c r="G9" s="1687" t="s">
        <v>946</v>
      </c>
      <c r="H9" s="1672">
        <f>D10*1.8+32</f>
        <v>32</v>
      </c>
      <c r="I9" s="1561"/>
      <c r="J9" s="1677" t="s">
        <v>1068</v>
      </c>
      <c r="K9" s="1677">
        <v>1.8499999999999999E-2</v>
      </c>
      <c r="L9" s="1677">
        <f t="shared" si="0"/>
        <v>1.8499999999999999E-2</v>
      </c>
      <c r="M9" s="2077"/>
      <c r="N9" s="1561"/>
      <c r="O9" s="1561"/>
      <c r="P9" s="1561"/>
      <c r="Q9" s="1561"/>
      <c r="R9" s="1561"/>
      <c r="S9" s="1561"/>
      <c r="T9" s="1561"/>
      <c r="U9" s="1561"/>
      <c r="V9" s="1561"/>
    </row>
    <row r="10" spans="1:22" ht="20.100000000000001" customHeight="1">
      <c r="B10" s="1683" t="s">
        <v>723</v>
      </c>
      <c r="C10" s="1684" t="s">
        <v>1175</v>
      </c>
      <c r="D10" s="985"/>
      <c r="E10" s="986"/>
      <c r="G10" s="1672" t="s">
        <v>1054</v>
      </c>
      <c r="H10" s="1672">
        <f>D11*35.31</f>
        <v>0</v>
      </c>
      <c r="I10" s="1561"/>
      <c r="J10" s="1677" t="s">
        <v>1069</v>
      </c>
      <c r="K10" s="1677">
        <f>0.0185</f>
        <v>1.8499999999999999E-2</v>
      </c>
      <c r="L10" s="1677">
        <f t="shared" si="0"/>
        <v>1.8499999999999999E-2</v>
      </c>
      <c r="M10" s="2077"/>
      <c r="N10" s="1561"/>
      <c r="O10" s="1561"/>
      <c r="P10" s="1561"/>
      <c r="Q10" s="1561"/>
      <c r="R10" s="1561"/>
      <c r="S10" s="1561"/>
      <c r="T10" s="1561"/>
      <c r="U10" s="1561"/>
      <c r="V10" s="1561"/>
    </row>
    <row r="11" spans="1:22" ht="20.100000000000001" customHeight="1">
      <c r="B11" s="1683" t="s">
        <v>724</v>
      </c>
      <c r="C11" s="1684" t="s">
        <v>1363</v>
      </c>
      <c r="D11" s="985"/>
      <c r="E11" s="986"/>
      <c r="F11" s="2081"/>
      <c r="G11" s="1687" t="s">
        <v>1173</v>
      </c>
      <c r="H11" s="1672">
        <f>0.0195*H10*(H9-H8)</f>
        <v>0</v>
      </c>
      <c r="I11" s="1561">
        <f>IF('Control page'!D$17=0,0,1)</f>
        <v>1</v>
      </c>
      <c r="J11" s="1677" t="s">
        <v>1056</v>
      </c>
      <c r="K11" s="1677">
        <v>1.84E-2</v>
      </c>
      <c r="L11" s="1677">
        <f t="shared" si="0"/>
        <v>1.84E-2</v>
      </c>
      <c r="M11" s="2077"/>
      <c r="N11" s="1561"/>
      <c r="O11" s="1561"/>
      <c r="P11" s="1561"/>
      <c r="Q11" s="1561"/>
      <c r="R11" s="1561"/>
      <c r="S11" s="1561"/>
      <c r="T11" s="1561"/>
      <c r="U11" s="1561"/>
      <c r="V11" s="1561"/>
    </row>
    <row r="12" spans="1:22" ht="20.100000000000001" customHeight="1" thickBot="1">
      <c r="B12" s="1688" t="s">
        <v>1463</v>
      </c>
      <c r="C12" s="1689"/>
      <c r="D12" s="2204">
        <v>1</v>
      </c>
      <c r="E12" s="2205">
        <v>1</v>
      </c>
      <c r="F12" s="2081"/>
      <c r="G12" s="1687"/>
      <c r="I12" s="1561"/>
      <c r="J12" s="1677" t="s">
        <v>1230</v>
      </c>
      <c r="K12" s="1677">
        <v>2.12E-2</v>
      </c>
      <c r="L12" s="1677">
        <f t="shared" ref="L12" si="1">K12</f>
        <v>2.12E-2</v>
      </c>
      <c r="M12" s="2077"/>
      <c r="N12" s="1561"/>
      <c r="O12" s="1561"/>
      <c r="P12" s="1561"/>
      <c r="Q12" s="1561"/>
      <c r="R12" s="1561"/>
      <c r="S12" s="1561"/>
      <c r="T12" s="1561"/>
      <c r="U12" s="1561"/>
      <c r="V12" s="1561"/>
    </row>
    <row r="13" spans="1:22" ht="20.100000000000001" customHeight="1" thickBot="1">
      <c r="B13" s="1513" t="s">
        <v>725</v>
      </c>
      <c r="C13" s="1514" t="s">
        <v>1173</v>
      </c>
      <c r="D13" s="1690">
        <f>D11*D12*D8*(D10-D9)</f>
        <v>0</v>
      </c>
      <c r="E13" s="1690">
        <f>E11*E12*E8*(E10-E9)</f>
        <v>0</v>
      </c>
      <c r="G13" s="1687" t="s">
        <v>1118</v>
      </c>
      <c r="H13" s="1672">
        <f>H11*1.055</f>
        <v>0</v>
      </c>
      <c r="I13" s="1561"/>
      <c r="J13" s="1677" t="s">
        <v>1292</v>
      </c>
      <c r="K13" s="1677" t="s">
        <v>1070</v>
      </c>
      <c r="L13" s="1677"/>
      <c r="M13" s="2077"/>
      <c r="N13" s="1561"/>
      <c r="O13" s="1561"/>
      <c r="P13" s="1561"/>
      <c r="Q13" s="1561"/>
      <c r="R13" s="1561"/>
      <c r="S13" s="1561"/>
      <c r="T13" s="1561"/>
      <c r="U13" s="1561"/>
      <c r="V13" s="1561"/>
    </row>
    <row r="14" spans="1:22" s="1504" customFormat="1" ht="20.100000000000001" customHeight="1">
      <c r="B14" s="1507"/>
      <c r="C14" s="1508"/>
      <c r="F14" s="2054"/>
      <c r="G14" s="2054"/>
      <c r="H14" s="2054"/>
      <c r="I14" s="1428"/>
      <c r="J14" s="2082"/>
      <c r="K14" s="2082"/>
      <c r="L14" s="2082"/>
      <c r="M14" s="2061"/>
      <c r="N14" s="1428"/>
      <c r="O14" s="1428"/>
      <c r="P14" s="1428"/>
      <c r="Q14" s="1428"/>
      <c r="R14" s="1428"/>
      <c r="S14" s="1428"/>
      <c r="T14" s="1428"/>
      <c r="U14" s="1428"/>
      <c r="V14" s="1428"/>
    </row>
    <row r="15" spans="1:22" s="1504" customFormat="1" ht="20.100000000000001" customHeight="1" thickBot="1">
      <c r="B15" s="1507"/>
      <c r="C15" s="1508"/>
      <c r="F15" s="2054"/>
      <c r="G15" s="2054"/>
      <c r="H15" s="2054"/>
      <c r="I15" s="1428"/>
      <c r="J15" s="1428"/>
      <c r="K15" s="1428"/>
      <c r="L15" s="1428"/>
      <c r="M15" s="2061"/>
      <c r="N15" s="1428"/>
      <c r="O15" s="1428"/>
      <c r="P15" s="1428"/>
      <c r="Q15" s="1428"/>
      <c r="R15" s="1428"/>
      <c r="S15" s="1428"/>
      <c r="T15" s="1428"/>
      <c r="U15" s="1428"/>
      <c r="V15" s="1428"/>
    </row>
    <row r="16" spans="1:22" ht="20.100000000000001" customHeight="1" thickBot="1">
      <c r="B16" s="1678"/>
      <c r="C16" s="1679"/>
      <c r="D16" s="1680" t="s">
        <v>1171</v>
      </c>
      <c r="E16" s="1681" t="s">
        <v>1119</v>
      </c>
      <c r="G16" s="1691"/>
      <c r="H16" s="1691"/>
      <c r="I16" s="1692"/>
      <c r="J16" s="1692"/>
      <c r="K16" s="1692"/>
      <c r="L16" s="1692"/>
      <c r="M16" s="2078"/>
      <c r="N16" s="1692"/>
      <c r="O16" s="1692"/>
      <c r="P16" s="1692"/>
      <c r="Q16" s="1692"/>
    </row>
    <row r="17" spans="2:17" ht="20.100000000000001" customHeight="1">
      <c r="B17" s="2593" t="s">
        <v>1055</v>
      </c>
      <c r="C17" s="2595"/>
      <c r="D17" s="2040" t="s">
        <v>1209</v>
      </c>
      <c r="E17" s="2041" t="str">
        <f>D17</f>
        <v>Nitrogen</v>
      </c>
      <c r="G17" s="1691"/>
      <c r="H17" s="1691"/>
      <c r="I17" s="1692"/>
      <c r="J17" s="1692"/>
      <c r="K17" s="1692"/>
      <c r="L17" s="1692"/>
      <c r="M17" s="2078"/>
      <c r="N17" s="1692"/>
      <c r="O17" s="1692"/>
      <c r="P17" s="1692"/>
      <c r="Q17" s="1692"/>
    </row>
    <row r="18" spans="2:17" ht="20.100000000000001" customHeight="1">
      <c r="B18" s="2594"/>
      <c r="C18" s="2596"/>
      <c r="D18" s="2038"/>
      <c r="E18" s="2039"/>
      <c r="F18" s="2080"/>
      <c r="G18" s="1691"/>
      <c r="H18" s="1691"/>
      <c r="I18" s="1692"/>
      <c r="J18" s="1692"/>
      <c r="K18" s="1692"/>
      <c r="L18" s="1692"/>
      <c r="M18" s="2078" t="s">
        <v>769</v>
      </c>
      <c r="N18" s="1692"/>
      <c r="O18" s="1692"/>
      <c r="P18" s="1692"/>
      <c r="Q18" s="1692"/>
    </row>
    <row r="19" spans="2:17" ht="20.100000000000001" customHeight="1">
      <c r="B19" s="1683" t="s">
        <v>722</v>
      </c>
      <c r="C19" s="1684" t="s">
        <v>1362</v>
      </c>
      <c r="D19" s="1685">
        <f>IF(D17="Other",M19,VLOOKUP($D17,$J$7:$L$14,3,))</f>
        <v>1.8499999999999999E-2</v>
      </c>
      <c r="E19" s="1686">
        <f>D19</f>
        <v>1.8499999999999999E-2</v>
      </c>
      <c r="G19" s="1687" t="s">
        <v>946</v>
      </c>
      <c r="H19" s="1691">
        <f>D20*1.8+32</f>
        <v>32</v>
      </c>
      <c r="I19" s="1692"/>
      <c r="J19" s="1692"/>
      <c r="K19" s="1692"/>
      <c r="L19" s="1692"/>
      <c r="M19" s="2089">
        <v>0</v>
      </c>
      <c r="N19" s="1692"/>
      <c r="O19" s="1692"/>
      <c r="P19" s="1692"/>
      <c r="Q19" s="1692"/>
    </row>
    <row r="20" spans="2:17" ht="20.100000000000001" customHeight="1">
      <c r="B20" s="1683" t="s">
        <v>503</v>
      </c>
      <c r="C20" s="1684" t="s">
        <v>1175</v>
      </c>
      <c r="D20" s="985"/>
      <c r="E20" s="986"/>
      <c r="G20" s="1687" t="s">
        <v>946</v>
      </c>
      <c r="H20" s="1691">
        <f>D21*1.8+32</f>
        <v>32</v>
      </c>
      <c r="I20" s="1692"/>
      <c r="J20" s="1692"/>
      <c r="K20" s="1692"/>
      <c r="L20" s="1692"/>
      <c r="M20" s="2078"/>
      <c r="N20" s="1692"/>
      <c r="O20" s="1692"/>
      <c r="P20" s="1692"/>
      <c r="Q20" s="1692"/>
    </row>
    <row r="21" spans="2:17" ht="20.100000000000001" customHeight="1">
      <c r="B21" s="1683" t="s">
        <v>723</v>
      </c>
      <c r="C21" s="1684" t="s">
        <v>1175</v>
      </c>
      <c r="D21" s="985"/>
      <c r="E21" s="986"/>
      <c r="G21" s="1691" t="s">
        <v>1054</v>
      </c>
      <c r="H21" s="1691">
        <f>D22*35.31</f>
        <v>0</v>
      </c>
      <c r="I21" s="1692"/>
      <c r="J21" s="1692"/>
      <c r="K21" s="1692"/>
      <c r="L21" s="1692"/>
      <c r="M21" s="2078"/>
      <c r="N21" s="1692"/>
      <c r="O21" s="1692"/>
      <c r="P21" s="1692"/>
      <c r="Q21" s="1692"/>
    </row>
    <row r="22" spans="2:17" ht="20.100000000000001" customHeight="1">
      <c r="B22" s="1683" t="s">
        <v>724</v>
      </c>
      <c r="C22" s="1684" t="s">
        <v>1363</v>
      </c>
      <c r="D22" s="985"/>
      <c r="E22" s="986"/>
      <c r="F22" s="2081"/>
      <c r="G22" s="1687" t="s">
        <v>1173</v>
      </c>
      <c r="H22" s="1691">
        <f>0.0195*H21*(H20-H19)</f>
        <v>0</v>
      </c>
      <c r="I22" s="1669">
        <f>IF('Control page'!D$17=0,0,1)</f>
        <v>1</v>
      </c>
      <c r="J22" s="1692" t="s">
        <v>3</v>
      </c>
      <c r="K22" s="1692"/>
      <c r="L22" s="1692"/>
      <c r="M22" s="2078"/>
      <c r="N22" s="1692"/>
      <c r="O22" s="1692"/>
      <c r="P22" s="1692"/>
      <c r="Q22" s="1692"/>
    </row>
    <row r="23" spans="2:17" ht="20.100000000000001" customHeight="1" thickBot="1">
      <c r="B23" s="1688" t="s">
        <v>1463</v>
      </c>
      <c r="C23" s="1689"/>
      <c r="D23" s="2204">
        <v>1</v>
      </c>
      <c r="E23" s="2205">
        <v>1</v>
      </c>
      <c r="F23" s="2081"/>
      <c r="G23" s="1687"/>
      <c r="H23" s="1691"/>
      <c r="I23" s="1669"/>
      <c r="J23" s="1692"/>
      <c r="K23" s="1692"/>
      <c r="L23" s="1692"/>
      <c r="M23" s="2078"/>
      <c r="N23" s="1692"/>
      <c r="O23" s="1692"/>
      <c r="P23" s="1692"/>
      <c r="Q23" s="1692"/>
    </row>
    <row r="24" spans="2:17" ht="20.100000000000001" customHeight="1" thickBot="1">
      <c r="B24" s="1513" t="s">
        <v>725</v>
      </c>
      <c r="C24" s="1514" t="s">
        <v>1173</v>
      </c>
      <c r="D24" s="1690">
        <f>D22*D23*D19*(D21-D20)</f>
        <v>0</v>
      </c>
      <c r="E24" s="1690">
        <f>E22*E23*E19*(E21-E20)</f>
        <v>0</v>
      </c>
      <c r="G24" s="1687" t="s">
        <v>1118</v>
      </c>
      <c r="H24" s="1691">
        <f>H22*1.055</f>
        <v>0</v>
      </c>
      <c r="I24" s="1692"/>
      <c r="J24" s="1692"/>
      <c r="K24" s="1692"/>
      <c r="L24" s="1692"/>
      <c r="M24" s="2078"/>
      <c r="N24" s="1692"/>
      <c r="O24" s="1692"/>
      <c r="P24" s="1692"/>
      <c r="Q24" s="1692"/>
    </row>
    <row r="25" spans="2:17" s="1504" customFormat="1" ht="20.100000000000001" customHeight="1">
      <c r="B25" s="1507"/>
      <c r="C25" s="1508"/>
      <c r="F25" s="2054"/>
      <c r="G25" s="2054"/>
      <c r="H25" s="2054"/>
      <c r="M25" s="2074"/>
    </row>
    <row r="26" spans="2:17" s="1504" customFormat="1" ht="20.100000000000001" customHeight="1">
      <c r="B26" s="1503"/>
      <c r="F26" s="2054"/>
      <c r="G26" s="2054"/>
      <c r="H26" s="2054"/>
      <c r="M26" s="2074"/>
    </row>
    <row r="27" spans="2:17" s="1504" customFormat="1" ht="20.100000000000001" customHeight="1" thickBot="1">
      <c r="B27" s="1503"/>
      <c r="F27" s="2054"/>
      <c r="G27" s="2054"/>
      <c r="H27" s="2054"/>
      <c r="M27" s="2074"/>
    </row>
    <row r="28" spans="2:17" ht="20.100000000000001" customHeight="1" thickBot="1">
      <c r="B28" s="1678"/>
      <c r="C28" s="1679"/>
      <c r="D28" s="1680" t="s">
        <v>1171</v>
      </c>
      <c r="E28" s="1681" t="s">
        <v>1119</v>
      </c>
      <c r="G28" s="1691"/>
      <c r="H28" s="1691"/>
      <c r="I28" s="1692"/>
      <c r="J28" s="1692"/>
      <c r="K28" s="1692"/>
      <c r="L28" s="1692"/>
      <c r="M28" s="2078"/>
      <c r="N28" s="1692"/>
      <c r="O28" s="1692"/>
      <c r="P28" s="1692"/>
      <c r="Q28" s="1692"/>
    </row>
    <row r="29" spans="2:17" ht="20.100000000000001" customHeight="1">
      <c r="B29" s="2593" t="s">
        <v>1057</v>
      </c>
      <c r="C29" s="2595"/>
      <c r="D29" s="2040" t="s">
        <v>1209</v>
      </c>
      <c r="E29" s="2041" t="str">
        <f>D29</f>
        <v>Nitrogen</v>
      </c>
      <c r="G29" s="1691"/>
      <c r="H29" s="1691"/>
      <c r="I29" s="1692"/>
      <c r="J29" s="1692"/>
      <c r="K29" s="1692"/>
      <c r="L29" s="1692"/>
      <c r="M29" s="2078"/>
      <c r="N29" s="1692"/>
      <c r="O29" s="1692"/>
      <c r="P29" s="1692"/>
      <c r="Q29" s="1692"/>
    </row>
    <row r="30" spans="2:17" ht="20.100000000000001" customHeight="1">
      <c r="B30" s="2594"/>
      <c r="C30" s="2596"/>
      <c r="D30" s="2038"/>
      <c r="E30" s="2039"/>
      <c r="F30" s="2080"/>
      <c r="G30" s="1691"/>
      <c r="H30" s="1691"/>
      <c r="I30" s="1692"/>
      <c r="J30" s="1692"/>
      <c r="K30" s="1692"/>
      <c r="L30" s="1692"/>
      <c r="M30" s="2078" t="s">
        <v>769</v>
      </c>
      <c r="N30" s="1692"/>
      <c r="O30" s="1692"/>
      <c r="P30" s="1692"/>
      <c r="Q30" s="1692"/>
    </row>
    <row r="31" spans="2:17" ht="20.100000000000001" customHeight="1">
      <c r="B31" s="1683" t="s">
        <v>722</v>
      </c>
      <c r="C31" s="1684" t="s">
        <v>1362</v>
      </c>
      <c r="D31" s="1685">
        <f>IF(D29="Other",M31,VLOOKUP($D29,$J$7:$L$14,3,))</f>
        <v>1.8499999999999999E-2</v>
      </c>
      <c r="E31" s="1686">
        <f>D31</f>
        <v>1.8499999999999999E-2</v>
      </c>
      <c r="G31" s="1687" t="s">
        <v>946</v>
      </c>
      <c r="H31" s="1691">
        <f>D32*1.8+32</f>
        <v>32</v>
      </c>
      <c r="I31" s="1692"/>
      <c r="J31" s="1692"/>
      <c r="K31" s="1692"/>
      <c r="L31" s="1692"/>
      <c r="M31" s="2089">
        <v>0</v>
      </c>
      <c r="N31" s="1692"/>
      <c r="O31" s="1692"/>
      <c r="P31" s="1692"/>
      <c r="Q31" s="1692"/>
    </row>
    <row r="32" spans="2:17" ht="20.100000000000001" customHeight="1">
      <c r="B32" s="1683" t="s">
        <v>503</v>
      </c>
      <c r="C32" s="1684" t="s">
        <v>1175</v>
      </c>
      <c r="D32" s="985"/>
      <c r="E32" s="986"/>
      <c r="G32" s="1687" t="s">
        <v>946</v>
      </c>
      <c r="H32" s="1691">
        <f>D33*1.8+32</f>
        <v>32</v>
      </c>
      <c r="I32" s="1692"/>
      <c r="J32" s="1692"/>
      <c r="K32" s="1692"/>
      <c r="L32" s="1692"/>
      <c r="M32" s="2078"/>
      <c r="N32" s="1692"/>
      <c r="O32" s="1692"/>
      <c r="P32" s="1692"/>
      <c r="Q32" s="1692"/>
    </row>
    <row r="33" spans="2:17" ht="20.100000000000001" customHeight="1">
      <c r="B33" s="1683" t="s">
        <v>723</v>
      </c>
      <c r="C33" s="1684" t="s">
        <v>1175</v>
      </c>
      <c r="D33" s="985"/>
      <c r="E33" s="986"/>
      <c r="G33" s="1691" t="s">
        <v>1054</v>
      </c>
      <c r="H33" s="1691">
        <f>D34*35.31</f>
        <v>0</v>
      </c>
      <c r="I33" s="1692"/>
      <c r="J33" s="1692"/>
      <c r="K33" s="1692"/>
      <c r="L33" s="1692"/>
      <c r="M33" s="2078"/>
      <c r="N33" s="1692"/>
      <c r="O33" s="1692"/>
      <c r="P33" s="1692"/>
      <c r="Q33" s="1692"/>
    </row>
    <row r="34" spans="2:17" ht="20.100000000000001" customHeight="1">
      <c r="B34" s="1683" t="s">
        <v>724</v>
      </c>
      <c r="C34" s="1684" t="s">
        <v>1363</v>
      </c>
      <c r="D34" s="985"/>
      <c r="E34" s="986"/>
      <c r="F34" s="2081"/>
      <c r="G34" s="1687" t="s">
        <v>1173</v>
      </c>
      <c r="H34" s="1691">
        <f>0.0195*H33*(H32-H31)</f>
        <v>0</v>
      </c>
      <c r="I34" s="1669">
        <f>IF('Control page'!D$17&gt;1,1,0)</f>
        <v>1</v>
      </c>
      <c r="J34" s="1692" t="s">
        <v>3</v>
      </c>
      <c r="K34" s="1692"/>
      <c r="L34" s="1692"/>
      <c r="M34" s="2078"/>
      <c r="N34" s="1692"/>
      <c r="O34" s="1692"/>
      <c r="P34" s="1692"/>
      <c r="Q34" s="1692"/>
    </row>
    <row r="35" spans="2:17" ht="20.100000000000001" customHeight="1" thickBot="1">
      <c r="B35" s="1688" t="s">
        <v>1463</v>
      </c>
      <c r="C35" s="1689"/>
      <c r="D35" s="2204">
        <v>1</v>
      </c>
      <c r="E35" s="2205">
        <v>1</v>
      </c>
      <c r="F35" s="2081"/>
      <c r="G35" s="1687"/>
      <c r="H35" s="1691"/>
      <c r="I35" s="1669"/>
      <c r="J35" s="1692"/>
      <c r="K35" s="1692"/>
      <c r="L35" s="1692"/>
      <c r="M35" s="2078"/>
      <c r="N35" s="1692"/>
      <c r="O35" s="1692"/>
      <c r="P35" s="1692"/>
      <c r="Q35" s="1692"/>
    </row>
    <row r="36" spans="2:17" ht="20.100000000000001" customHeight="1" thickBot="1">
      <c r="B36" s="1513" t="s">
        <v>725</v>
      </c>
      <c r="C36" s="1514" t="s">
        <v>1173</v>
      </c>
      <c r="D36" s="1690">
        <f>D34*D35*D31*(D33-D32)</f>
        <v>0</v>
      </c>
      <c r="E36" s="1690">
        <f>E34*E35*E31*(E33-E32)</f>
        <v>0</v>
      </c>
      <c r="G36" s="1687" t="s">
        <v>1118</v>
      </c>
      <c r="H36" s="1691">
        <f>H34*1.055</f>
        <v>0</v>
      </c>
      <c r="I36" s="1692"/>
      <c r="J36" s="1692"/>
      <c r="K36" s="1692"/>
      <c r="L36" s="1692"/>
      <c r="M36" s="2078"/>
      <c r="N36" s="1692"/>
      <c r="O36" s="1692"/>
      <c r="P36" s="1692"/>
      <c r="Q36" s="1692"/>
    </row>
    <row r="37" spans="2:17" s="1504" customFormat="1" ht="20.100000000000001" customHeight="1">
      <c r="B37" s="1507"/>
      <c r="C37" s="1508"/>
      <c r="F37" s="2054"/>
      <c r="G37" s="2054"/>
      <c r="H37" s="2054"/>
      <c r="M37" s="2074"/>
    </row>
    <row r="38" spans="2:17" s="1504" customFormat="1" ht="20.100000000000001" customHeight="1" thickBot="1">
      <c r="B38" s="1503"/>
      <c r="F38" s="2054"/>
      <c r="G38" s="2054"/>
      <c r="H38" s="2054"/>
      <c r="M38" s="2074"/>
    </row>
    <row r="39" spans="2:17" ht="20.100000000000001" customHeight="1" thickBot="1">
      <c r="B39" s="1678"/>
      <c r="C39" s="1679"/>
      <c r="D39" s="1680" t="s">
        <v>1171</v>
      </c>
      <c r="E39" s="1681" t="s">
        <v>1119</v>
      </c>
      <c r="G39" s="1691"/>
      <c r="H39" s="1691"/>
      <c r="I39" s="1692"/>
      <c r="J39" s="1692"/>
      <c r="K39" s="1692"/>
      <c r="L39" s="1692"/>
      <c r="M39" s="2078"/>
      <c r="N39" s="1692"/>
      <c r="O39" s="1692"/>
      <c r="P39" s="1692"/>
      <c r="Q39" s="1692"/>
    </row>
    <row r="40" spans="2:17" ht="20.100000000000001" customHeight="1">
      <c r="B40" s="2597" t="s">
        <v>15</v>
      </c>
      <c r="C40" s="2598"/>
      <c r="D40" s="2040" t="s">
        <v>1209</v>
      </c>
      <c r="E40" s="2041" t="str">
        <f>D40</f>
        <v>Nitrogen</v>
      </c>
      <c r="G40" s="1691"/>
      <c r="H40" s="1691"/>
      <c r="I40" s="1692"/>
      <c r="J40" s="1692"/>
      <c r="K40" s="1692"/>
      <c r="L40" s="1692"/>
      <c r="M40" s="2078"/>
      <c r="N40" s="1692"/>
      <c r="O40" s="1692"/>
      <c r="P40" s="1692"/>
      <c r="Q40" s="1692"/>
    </row>
    <row r="41" spans="2:17" ht="20.100000000000001" customHeight="1">
      <c r="B41" s="2594"/>
      <c r="C41" s="2596"/>
      <c r="D41" s="2038"/>
      <c r="E41" s="2039"/>
      <c r="F41" s="2080"/>
      <c r="G41" s="1691"/>
      <c r="H41" s="1691"/>
      <c r="I41" s="1692"/>
      <c r="J41" s="1692"/>
      <c r="K41" s="1692"/>
      <c r="L41" s="1692"/>
      <c r="M41" s="2078" t="s">
        <v>769</v>
      </c>
      <c r="N41" s="1692"/>
      <c r="O41" s="1692"/>
      <c r="P41" s="1692"/>
      <c r="Q41" s="1692"/>
    </row>
    <row r="42" spans="2:17" ht="20.100000000000001" customHeight="1">
      <c r="B42" s="1683" t="s">
        <v>722</v>
      </c>
      <c r="C42" s="1684" t="s">
        <v>1362</v>
      </c>
      <c r="D42" s="1685">
        <f>IF(D40="Other",M42,VLOOKUP($D40,$J$7:$L$14,3,))</f>
        <v>1.8499999999999999E-2</v>
      </c>
      <c r="E42" s="1686">
        <f>D42</f>
        <v>1.8499999999999999E-2</v>
      </c>
      <c r="G42" s="1687" t="s">
        <v>946</v>
      </c>
      <c r="H42" s="1691">
        <f>D43*1.8+32</f>
        <v>32</v>
      </c>
      <c r="I42" s="1692"/>
      <c r="J42" s="1692"/>
      <c r="K42" s="1692"/>
      <c r="L42" s="1692"/>
      <c r="M42" s="2089">
        <v>0</v>
      </c>
      <c r="N42" s="1692"/>
      <c r="O42" s="1692"/>
      <c r="P42" s="1692"/>
      <c r="Q42" s="1692"/>
    </row>
    <row r="43" spans="2:17" ht="20.100000000000001" customHeight="1">
      <c r="B43" s="1683" t="s">
        <v>503</v>
      </c>
      <c r="C43" s="1684" t="s">
        <v>1175</v>
      </c>
      <c r="D43" s="985"/>
      <c r="E43" s="986"/>
      <c r="G43" s="1687" t="s">
        <v>946</v>
      </c>
      <c r="H43" s="1691">
        <f>D44*1.8+32</f>
        <v>32</v>
      </c>
      <c r="I43" s="1692"/>
      <c r="J43" s="1692"/>
      <c r="K43" s="1692"/>
      <c r="L43" s="1692"/>
      <c r="M43" s="2078"/>
      <c r="N43" s="1692"/>
      <c r="O43" s="1692"/>
      <c r="P43" s="1692"/>
      <c r="Q43" s="1692"/>
    </row>
    <row r="44" spans="2:17" ht="20.100000000000001" customHeight="1">
      <c r="B44" s="1683" t="s">
        <v>723</v>
      </c>
      <c r="C44" s="1684" t="s">
        <v>1175</v>
      </c>
      <c r="D44" s="985"/>
      <c r="E44" s="986"/>
      <c r="G44" s="1691" t="s">
        <v>1054</v>
      </c>
      <c r="H44" s="1691">
        <f>D45*35.31</f>
        <v>0</v>
      </c>
      <c r="I44" s="1692"/>
      <c r="J44" s="1692"/>
      <c r="K44" s="1692"/>
      <c r="L44" s="1692"/>
      <c r="M44" s="2078"/>
      <c r="N44" s="1692"/>
      <c r="O44" s="1692"/>
      <c r="P44" s="1692"/>
      <c r="Q44" s="1692"/>
    </row>
    <row r="45" spans="2:17" ht="20.100000000000001" customHeight="1">
      <c r="B45" s="1683" t="s">
        <v>724</v>
      </c>
      <c r="C45" s="1684" t="s">
        <v>1363</v>
      </c>
      <c r="D45" s="985"/>
      <c r="E45" s="986"/>
      <c r="F45" s="2081"/>
      <c r="G45" s="1687" t="s">
        <v>1173</v>
      </c>
      <c r="H45" s="1691">
        <f>0.0195*H44*(H43-H42)</f>
        <v>0</v>
      </c>
      <c r="I45" s="1669">
        <f>IF('Control page'!D$17&gt;2,1,0)</f>
        <v>1</v>
      </c>
      <c r="J45" s="1692" t="s">
        <v>3</v>
      </c>
      <c r="K45" s="1692"/>
      <c r="L45" s="1692"/>
      <c r="M45" s="2078"/>
      <c r="N45" s="1692"/>
      <c r="O45" s="1692"/>
      <c r="P45" s="1692"/>
      <c r="Q45" s="1692"/>
    </row>
    <row r="46" spans="2:17" ht="20.100000000000001" customHeight="1" thickBot="1">
      <c r="B46" s="1688" t="s">
        <v>1463</v>
      </c>
      <c r="C46" s="1689"/>
      <c r="D46" s="2204">
        <v>1</v>
      </c>
      <c r="E46" s="2205">
        <v>1</v>
      </c>
      <c r="F46" s="2081"/>
      <c r="G46" s="1687"/>
      <c r="H46" s="1691"/>
      <c r="I46" s="1669"/>
      <c r="J46" s="1692"/>
      <c r="K46" s="1692"/>
      <c r="L46" s="1692"/>
      <c r="M46" s="2078"/>
      <c r="N46" s="1692"/>
      <c r="O46" s="1692"/>
      <c r="P46" s="1692"/>
      <c r="Q46" s="1692"/>
    </row>
    <row r="47" spans="2:17" ht="20.100000000000001" customHeight="1" thickBot="1">
      <c r="B47" s="1513" t="s">
        <v>725</v>
      </c>
      <c r="C47" s="1514" t="s">
        <v>1173</v>
      </c>
      <c r="D47" s="1690">
        <f>D45*D46*D42*(D44-D43)</f>
        <v>0</v>
      </c>
      <c r="E47" s="1690">
        <f>E45*E46*E42*(E44-E43)</f>
        <v>0</v>
      </c>
      <c r="G47" s="1687" t="s">
        <v>1118</v>
      </c>
      <c r="H47" s="1691">
        <f>H45*1.055</f>
        <v>0</v>
      </c>
      <c r="I47" s="1692"/>
      <c r="J47" s="1692"/>
      <c r="K47" s="1692"/>
      <c r="L47" s="1692"/>
      <c r="M47" s="2078"/>
      <c r="N47" s="1692"/>
      <c r="O47" s="1692"/>
      <c r="P47" s="1692"/>
      <c r="Q47" s="1692"/>
    </row>
    <row r="48" spans="2:17" s="1504" customFormat="1" ht="20.100000000000001" customHeight="1">
      <c r="B48" s="1507"/>
      <c r="C48" s="1508"/>
      <c r="F48" s="2054"/>
      <c r="G48" s="2054"/>
      <c r="H48" s="2054"/>
      <c r="M48" s="2074"/>
    </row>
    <row r="49" spans="1:17" s="1504" customFormat="1" ht="20.100000000000001" customHeight="1" thickBot="1">
      <c r="B49" s="1503"/>
      <c r="F49" s="2054"/>
      <c r="G49" s="2054"/>
      <c r="H49" s="2054"/>
      <c r="M49" s="2074"/>
    </row>
    <row r="50" spans="1:17" s="1672" customFormat="1" ht="30" customHeight="1" thickBot="1">
      <c r="A50" s="2054"/>
      <c r="B50" s="1693" t="s">
        <v>1058</v>
      </c>
      <c r="C50" s="1694" t="s">
        <v>1173</v>
      </c>
      <c r="D50" s="1695">
        <f>(D47*I45)+(D36*I34)+(D24*I22)+(D13*I11)</f>
        <v>0</v>
      </c>
      <c r="E50" s="1695">
        <f>(E47*I45)+(E36*I34)+(E24*I22)+(E13*I11)</f>
        <v>0</v>
      </c>
      <c r="F50" s="2054"/>
      <c r="G50" s="1691"/>
      <c r="H50" s="1691"/>
      <c r="I50" s="1691"/>
      <c r="J50" s="1691"/>
      <c r="K50" s="1691"/>
      <c r="L50" s="1691"/>
      <c r="M50" s="2079"/>
      <c r="N50" s="1691"/>
      <c r="O50" s="1691"/>
      <c r="P50" s="1691"/>
      <c r="Q50" s="1691"/>
    </row>
    <row r="51" spans="1:17" s="1504" customFormat="1" ht="20.100000000000001" customHeight="1">
      <c r="B51" s="1503"/>
      <c r="F51" s="2054"/>
      <c r="G51" s="2054"/>
      <c r="H51" s="2054"/>
      <c r="M51" s="2074"/>
    </row>
    <row r="52" spans="1:17" s="1504" customFormat="1" ht="20.100000000000001" customHeight="1" thickBot="1">
      <c r="B52" s="1503"/>
      <c r="D52" s="1931"/>
      <c r="F52" s="2054"/>
      <c r="G52" s="2054" t="s">
        <v>1059</v>
      </c>
      <c r="H52" s="2054">
        <v>1.8499999999999999E-2</v>
      </c>
      <c r="M52" s="2074"/>
    </row>
    <row r="53" spans="1:17" ht="20.100000000000001" customHeight="1">
      <c r="B53" s="2540" t="s">
        <v>710</v>
      </c>
      <c r="C53" s="2541"/>
      <c r="D53" s="2541"/>
      <c r="E53" s="2542"/>
      <c r="G53" s="1691"/>
      <c r="H53" s="1691"/>
      <c r="I53" s="1692"/>
      <c r="J53" s="1692"/>
      <c r="K53" s="1692"/>
      <c r="L53" s="1692"/>
      <c r="M53" s="2078"/>
      <c r="N53" s="1692"/>
      <c r="O53" s="1692"/>
      <c r="P53" s="1692"/>
      <c r="Q53" s="1692"/>
    </row>
    <row r="54" spans="1:17" ht="20.100000000000001" customHeight="1">
      <c r="B54" s="2533" t="s">
        <v>709</v>
      </c>
      <c r="C54" s="2534"/>
      <c r="D54" s="2534"/>
      <c r="E54" s="2535"/>
      <c r="G54" s="1691"/>
      <c r="H54" s="1691"/>
      <c r="I54" s="1692"/>
      <c r="J54" s="1692"/>
      <c r="K54" s="1692"/>
      <c r="L54" s="1692"/>
      <c r="M54" s="2078"/>
      <c r="N54" s="1692"/>
      <c r="O54" s="1692"/>
      <c r="P54" s="1692"/>
      <c r="Q54" s="1692"/>
    </row>
    <row r="55" spans="1:17" ht="20.100000000000001" customHeight="1">
      <c r="B55" s="2559"/>
      <c r="C55" s="2560"/>
      <c r="D55" s="2560"/>
      <c r="E55" s="2561"/>
      <c r="G55" s="1691"/>
      <c r="H55" s="1691"/>
      <c r="I55" s="1669">
        <f>IF(B55="",0,1)</f>
        <v>0</v>
      </c>
      <c r="J55" s="1692"/>
      <c r="K55" s="1692"/>
      <c r="L55" s="1692"/>
      <c r="M55" s="2078"/>
      <c r="N55" s="1692"/>
      <c r="O55" s="1692"/>
      <c r="P55" s="1692"/>
      <c r="Q55" s="1692"/>
    </row>
    <row r="56" spans="1:17" ht="20.100000000000001" customHeight="1">
      <c r="B56" s="2559"/>
      <c r="C56" s="2560"/>
      <c r="D56" s="2560"/>
      <c r="E56" s="2561"/>
      <c r="G56" s="1691"/>
      <c r="H56" s="1691"/>
      <c r="I56" s="1669">
        <f>IF(B56="",0,1)</f>
        <v>0</v>
      </c>
      <c r="J56" s="1692"/>
      <c r="K56" s="1692"/>
      <c r="L56" s="1692"/>
      <c r="M56" s="2078"/>
      <c r="N56" s="1692"/>
      <c r="O56" s="1692"/>
      <c r="P56" s="1692"/>
      <c r="Q56" s="1692"/>
    </row>
    <row r="57" spans="1:17" ht="20.100000000000001" customHeight="1">
      <c r="B57" s="2559"/>
      <c r="C57" s="2560"/>
      <c r="D57" s="2560"/>
      <c r="E57" s="2561"/>
      <c r="G57" s="1691"/>
      <c r="H57" s="1691"/>
      <c r="I57" s="1669">
        <f>IF(B57="",0,1)</f>
        <v>0</v>
      </c>
      <c r="J57" s="1692"/>
      <c r="K57" s="1692"/>
      <c r="L57" s="1692"/>
      <c r="M57" s="2078"/>
      <c r="N57" s="1692"/>
      <c r="O57" s="1692"/>
      <c r="P57" s="1692"/>
      <c r="Q57" s="1692"/>
    </row>
    <row r="58" spans="1:17" ht="20.100000000000001" customHeight="1">
      <c r="B58" s="2559"/>
      <c r="C58" s="2560"/>
      <c r="D58" s="2560"/>
      <c r="E58" s="2561"/>
      <c r="G58" s="1691"/>
      <c r="H58" s="1691"/>
      <c r="I58" s="1669">
        <f>IF(B58="",0,1)</f>
        <v>0</v>
      </c>
      <c r="J58" s="1692"/>
      <c r="K58" s="1692"/>
      <c r="L58" s="1692"/>
      <c r="M58" s="2078"/>
      <c r="N58" s="1692"/>
      <c r="O58" s="1692"/>
      <c r="P58" s="1692"/>
      <c r="Q58" s="1692"/>
    </row>
    <row r="59" spans="1:17" ht="20.100000000000001" customHeight="1" thickBot="1">
      <c r="B59" s="2562"/>
      <c r="C59" s="2563"/>
      <c r="D59" s="2563"/>
      <c r="E59" s="2564"/>
      <c r="G59" s="1691"/>
      <c r="H59" s="1691"/>
      <c r="I59" s="1669">
        <f>IF(B59="",0,1)</f>
        <v>0</v>
      </c>
      <c r="J59" s="1692"/>
      <c r="K59" s="1692"/>
      <c r="L59" s="1692"/>
      <c r="M59" s="2078"/>
      <c r="N59" s="1692"/>
      <c r="O59" s="1692"/>
      <c r="P59" s="1692"/>
      <c r="Q59" s="1692"/>
    </row>
    <row r="60" spans="1:17" s="1504" customFormat="1" ht="20.100000000000001" customHeight="1">
      <c r="B60" s="1503"/>
      <c r="F60" s="2054"/>
      <c r="G60" s="2054"/>
      <c r="H60" s="2054"/>
      <c r="I60" s="1504">
        <f>SUM(I55:I59)</f>
        <v>0</v>
      </c>
      <c r="M60" s="2074"/>
    </row>
    <row r="61" spans="1:17" hidden="1">
      <c r="G61" s="1691"/>
      <c r="H61" s="1691"/>
      <c r="I61" s="1692"/>
      <c r="J61" s="1692"/>
      <c r="K61" s="1692"/>
      <c r="L61" s="1692"/>
      <c r="M61" s="2078"/>
      <c r="N61" s="1692"/>
      <c r="O61" s="1692"/>
      <c r="P61" s="1692"/>
      <c r="Q61" s="1692"/>
    </row>
  </sheetData>
  <sheetProtection password="B61E" sheet="1" objects="1" scenarios="1"/>
  <mergeCells count="16">
    <mergeCell ref="B54:E54"/>
    <mergeCell ref="B29:B30"/>
    <mergeCell ref="C29:C30"/>
    <mergeCell ref="B40:B41"/>
    <mergeCell ref="C40:C41"/>
    <mergeCell ref="B53:E53"/>
    <mergeCell ref="B4:E4"/>
    <mergeCell ref="B6:B7"/>
    <mergeCell ref="C6:C7"/>
    <mergeCell ref="B17:B18"/>
    <mergeCell ref="C17:C18"/>
    <mergeCell ref="B55:E55"/>
    <mergeCell ref="B56:E56"/>
    <mergeCell ref="B57:E57"/>
    <mergeCell ref="B58:E58"/>
    <mergeCell ref="B59:E59"/>
  </mergeCells>
  <phoneticPr fontId="5" type="noConversion"/>
  <dataValidations count="1">
    <dataValidation type="list" allowBlank="1" showInputMessage="1" showErrorMessage="1" sqref="D29 D40 D6 D17">
      <formula1>$J$7:$J$14</formula1>
    </dataValidation>
  </dataValidations>
  <pageMargins left="0.75" right="0.75" top="1" bottom="1" header="0.5" footer="0.5"/>
  <pageSetup scale="71" fitToHeight="3" orientation="landscape" verticalDpi="300" r:id="rId1"/>
  <headerFooter alignWithMargins="0">
    <oddHeader>&amp;LAtmosphere Losses</oddHeader>
    <oddFooter>&amp;LUS Department of Energy&amp;C&amp;P&amp;R&amp;D</oddFooter>
  </headerFooter>
  <rowBreaks count="1" manualBreakCount="1">
    <brk id="27" max="16383" man="1"/>
  </rowBreaks>
  <drawing r:id="rId2"/>
  <legacyDrawing r:id="rId3"/>
  <controls>
    <mc:AlternateContent xmlns:mc="http://schemas.openxmlformats.org/markup-compatibility/2006">
      <mc:Choice Requires="x14">
        <control shapeId="2351108" r:id="rId4" name="CommandButtonCopyAtmLoss">
          <controlPr defaultSize="0" print="0" autoLine="0" r:id="rId5">
            <anchor moveWithCells="1">
              <from>
                <xdr:col>5</xdr:col>
                <xdr:colOff>228600</xdr:colOff>
                <xdr:row>3</xdr:row>
                <xdr:rowOff>9525</xdr:rowOff>
              </from>
              <to>
                <xdr:col>5</xdr:col>
                <xdr:colOff>1200150</xdr:colOff>
                <xdr:row>3</xdr:row>
                <xdr:rowOff>514350</xdr:rowOff>
              </to>
            </anchor>
          </controlPr>
        </control>
      </mc:Choice>
      <mc:Fallback>
        <control shapeId="2351108" r:id="rId4" name="CommandButtonCopyAtmLoss"/>
      </mc:Fallback>
    </mc:AlternateContent>
    <mc:AlternateContent xmlns:mc="http://schemas.openxmlformats.org/markup-compatibility/2006">
      <mc:Choice Requires="x14">
        <control shapeId="2351109" r:id="rId6" name="CommandButtonAtmLossData">
          <controlPr defaultSize="0" print="0" autoLine="0" r:id="rId7">
            <anchor moveWithCells="1">
              <from>
                <xdr:col>5</xdr:col>
                <xdr:colOff>228600</xdr:colOff>
                <xdr:row>4</xdr:row>
                <xdr:rowOff>123825</xdr:rowOff>
              </from>
              <to>
                <xdr:col>5</xdr:col>
                <xdr:colOff>1200150</xdr:colOff>
                <xdr:row>6</xdr:row>
                <xdr:rowOff>123825</xdr:rowOff>
              </to>
            </anchor>
          </controlPr>
        </control>
      </mc:Choice>
      <mc:Fallback>
        <control shapeId="2351109" r:id="rId6" name="CommandButtonAtmLossData"/>
      </mc:Fallback>
    </mc:AlternateContent>
    <mc:AlternateContent xmlns:mc="http://schemas.openxmlformats.org/markup-compatibility/2006">
      <mc:Choice Requires="x14">
        <control shapeId="2351113" r:id="rId8" name="CommandButtonHelp">
          <controlPr defaultSize="0" autoLine="0" r:id="rId9">
            <anchor moveWithCells="1">
              <from>
                <xdr:col>0</xdr:col>
                <xdr:colOff>57150</xdr:colOff>
                <xdr:row>5</xdr:row>
                <xdr:rowOff>66675</xdr:rowOff>
              </from>
              <to>
                <xdr:col>0</xdr:col>
                <xdr:colOff>666750</xdr:colOff>
                <xdr:row>17</xdr:row>
                <xdr:rowOff>152400</xdr:rowOff>
              </to>
            </anchor>
          </controlPr>
        </control>
      </mc:Choice>
      <mc:Fallback>
        <control shapeId="2351113" r:id="rId8" name="CommandButtonHelp"/>
      </mc:Fallback>
    </mc:AlternateContent>
    <mc:AlternateContent xmlns:mc="http://schemas.openxmlformats.org/markup-compatibility/2006">
      <mc:Choice Requires="x14">
        <control shapeId="2351119" r:id="rId10" name="TextBox1">
          <controlPr locked="0" defaultSize="0" print="0" disabled="1" autoLine="0" linkedCell="M7" r:id="rId11">
            <anchor moveWithCells="1" sizeWithCells="1">
              <from>
                <xdr:col>3</xdr:col>
                <xdr:colOff>0</xdr:colOff>
                <xdr:row>6</xdr:row>
                <xdr:rowOff>0</xdr:rowOff>
              </from>
              <to>
                <xdr:col>4</xdr:col>
                <xdr:colOff>0</xdr:colOff>
                <xdr:row>7</xdr:row>
                <xdr:rowOff>0</xdr:rowOff>
              </to>
            </anchor>
          </controlPr>
        </control>
      </mc:Choice>
      <mc:Fallback>
        <control shapeId="2351119" r:id="rId10" name="TextBox1"/>
      </mc:Fallback>
    </mc:AlternateContent>
    <mc:AlternateContent xmlns:mc="http://schemas.openxmlformats.org/markup-compatibility/2006">
      <mc:Choice Requires="x14">
        <control shapeId="2351120" r:id="rId12" name="TextBox2">
          <controlPr locked="0" defaultSize="0" print="0" disabled="1" autoLine="0" linkedCell="M8" r:id="rId13">
            <anchor moveWithCells="1" sizeWithCells="1">
              <from>
                <xdr:col>3</xdr:col>
                <xdr:colOff>0</xdr:colOff>
                <xdr:row>7</xdr:row>
                <xdr:rowOff>0</xdr:rowOff>
              </from>
              <to>
                <xdr:col>4</xdr:col>
                <xdr:colOff>0</xdr:colOff>
                <xdr:row>8</xdr:row>
                <xdr:rowOff>0</xdr:rowOff>
              </to>
            </anchor>
          </controlPr>
        </control>
      </mc:Choice>
      <mc:Fallback>
        <control shapeId="2351120" r:id="rId12" name="TextBox2"/>
      </mc:Fallback>
    </mc:AlternateContent>
    <mc:AlternateContent xmlns:mc="http://schemas.openxmlformats.org/markup-compatibility/2006">
      <mc:Choice Requires="x14">
        <control shapeId="2351121" r:id="rId14" name="TextBox3">
          <controlPr locked="0" defaultSize="0" print="0" disabled="1" autoLine="0" linkedCell="M18" r:id="rId15">
            <anchor moveWithCells="1" sizeWithCells="1">
              <from>
                <xdr:col>3</xdr:col>
                <xdr:colOff>0</xdr:colOff>
                <xdr:row>17</xdr:row>
                <xdr:rowOff>0</xdr:rowOff>
              </from>
              <to>
                <xdr:col>4</xdr:col>
                <xdr:colOff>0</xdr:colOff>
                <xdr:row>18</xdr:row>
                <xdr:rowOff>0</xdr:rowOff>
              </to>
            </anchor>
          </controlPr>
        </control>
      </mc:Choice>
      <mc:Fallback>
        <control shapeId="2351121" r:id="rId14" name="TextBox3"/>
      </mc:Fallback>
    </mc:AlternateContent>
    <mc:AlternateContent xmlns:mc="http://schemas.openxmlformats.org/markup-compatibility/2006">
      <mc:Choice Requires="x14">
        <control shapeId="2351122" r:id="rId16" name="TextBox4">
          <controlPr locked="0" defaultSize="0" print="0" disabled="1" autoLine="0" linkedCell="M19" r:id="rId17">
            <anchor moveWithCells="1" sizeWithCells="1">
              <from>
                <xdr:col>3</xdr:col>
                <xdr:colOff>0</xdr:colOff>
                <xdr:row>18</xdr:row>
                <xdr:rowOff>0</xdr:rowOff>
              </from>
              <to>
                <xdr:col>4</xdr:col>
                <xdr:colOff>0</xdr:colOff>
                <xdr:row>19</xdr:row>
                <xdr:rowOff>0</xdr:rowOff>
              </to>
            </anchor>
          </controlPr>
        </control>
      </mc:Choice>
      <mc:Fallback>
        <control shapeId="2351122" r:id="rId16" name="TextBox4"/>
      </mc:Fallback>
    </mc:AlternateContent>
    <mc:AlternateContent xmlns:mc="http://schemas.openxmlformats.org/markup-compatibility/2006">
      <mc:Choice Requires="x14">
        <control shapeId="2351123" r:id="rId18" name="TextBox5">
          <controlPr locked="0" defaultSize="0" print="0" disabled="1" autoLine="0" linkedCell="M30" r:id="rId19">
            <anchor moveWithCells="1" sizeWithCells="1">
              <from>
                <xdr:col>3</xdr:col>
                <xdr:colOff>0</xdr:colOff>
                <xdr:row>29</xdr:row>
                <xdr:rowOff>0</xdr:rowOff>
              </from>
              <to>
                <xdr:col>4</xdr:col>
                <xdr:colOff>0</xdr:colOff>
                <xdr:row>30</xdr:row>
                <xdr:rowOff>0</xdr:rowOff>
              </to>
            </anchor>
          </controlPr>
        </control>
      </mc:Choice>
      <mc:Fallback>
        <control shapeId="2351123" r:id="rId18" name="TextBox5"/>
      </mc:Fallback>
    </mc:AlternateContent>
    <mc:AlternateContent xmlns:mc="http://schemas.openxmlformats.org/markup-compatibility/2006">
      <mc:Choice Requires="x14">
        <control shapeId="2351124" r:id="rId20" name="TextBox6">
          <controlPr locked="0" defaultSize="0" print="0" disabled="1" autoLine="0" linkedCell="M31" r:id="rId21">
            <anchor moveWithCells="1" sizeWithCells="1">
              <from>
                <xdr:col>3</xdr:col>
                <xdr:colOff>0</xdr:colOff>
                <xdr:row>30</xdr:row>
                <xdr:rowOff>0</xdr:rowOff>
              </from>
              <to>
                <xdr:col>4</xdr:col>
                <xdr:colOff>0</xdr:colOff>
                <xdr:row>31</xdr:row>
                <xdr:rowOff>0</xdr:rowOff>
              </to>
            </anchor>
          </controlPr>
        </control>
      </mc:Choice>
      <mc:Fallback>
        <control shapeId="2351124" r:id="rId20" name="TextBox6"/>
      </mc:Fallback>
    </mc:AlternateContent>
    <mc:AlternateContent xmlns:mc="http://schemas.openxmlformats.org/markup-compatibility/2006">
      <mc:Choice Requires="x14">
        <control shapeId="2351125" r:id="rId22" name="TextBox7">
          <controlPr locked="0" defaultSize="0" print="0" disabled="1" autoLine="0" linkedCell="M41" r:id="rId23">
            <anchor moveWithCells="1" sizeWithCells="1">
              <from>
                <xdr:col>3</xdr:col>
                <xdr:colOff>0</xdr:colOff>
                <xdr:row>40</xdr:row>
                <xdr:rowOff>0</xdr:rowOff>
              </from>
              <to>
                <xdr:col>4</xdr:col>
                <xdr:colOff>0</xdr:colOff>
                <xdr:row>41</xdr:row>
                <xdr:rowOff>0</xdr:rowOff>
              </to>
            </anchor>
          </controlPr>
        </control>
      </mc:Choice>
      <mc:Fallback>
        <control shapeId="2351125" r:id="rId22" name="TextBox7"/>
      </mc:Fallback>
    </mc:AlternateContent>
    <mc:AlternateContent xmlns:mc="http://schemas.openxmlformats.org/markup-compatibility/2006">
      <mc:Choice Requires="x14">
        <control shapeId="2351126" r:id="rId24" name="TextBox8">
          <controlPr locked="0" defaultSize="0" print="0" disabled="1" autoLine="0" linkedCell="M42" r:id="rId25">
            <anchor moveWithCells="1" sizeWithCells="1">
              <from>
                <xdr:col>3</xdr:col>
                <xdr:colOff>0</xdr:colOff>
                <xdr:row>41</xdr:row>
                <xdr:rowOff>0</xdr:rowOff>
              </from>
              <to>
                <xdr:col>4</xdr:col>
                <xdr:colOff>0</xdr:colOff>
                <xdr:row>42</xdr:row>
                <xdr:rowOff>0</xdr:rowOff>
              </to>
            </anchor>
          </controlPr>
        </control>
      </mc:Choice>
      <mc:Fallback>
        <control shapeId="2351126" r:id="rId24" name="TextBox8"/>
      </mc:Fallback>
    </mc:AlternateContent>
    <mc:AlternateContent xmlns:mc="http://schemas.openxmlformats.org/markup-compatibility/2006">
      <mc:Choice Requires="x14">
        <control shapeId="2351134" r:id="rId26" name="CommandButton1">
          <controlPr defaultSize="0" autoLine="0" r:id="rId27">
            <anchor moveWithCells="1">
              <from>
                <xdr:col>5</xdr:col>
                <xdr:colOff>228600</xdr:colOff>
                <xdr:row>7</xdr:row>
                <xdr:rowOff>133350</xdr:rowOff>
              </from>
              <to>
                <xdr:col>5</xdr:col>
                <xdr:colOff>1209675</xdr:colOff>
                <xdr:row>9</xdr:row>
                <xdr:rowOff>133350</xdr:rowOff>
              </to>
            </anchor>
          </controlPr>
        </control>
      </mc:Choice>
      <mc:Fallback>
        <control shapeId="2351134" r:id="rId26" name="CommandButton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1:N159"/>
  <sheetViews>
    <sheetView workbookViewId="0"/>
  </sheetViews>
  <sheetFormatPr defaultRowHeight="12.75"/>
  <cols>
    <col min="2" max="2" width="24.85546875" customWidth="1"/>
    <col min="3" max="3" width="9.28515625" bestFit="1" customWidth="1"/>
    <col min="5" max="5" width="16.85546875" customWidth="1"/>
    <col min="7" max="7" width="12.42578125" bestFit="1" customWidth="1"/>
    <col min="9" max="9" width="12.42578125" style="426" customWidth="1"/>
    <col min="10" max="10" width="10.7109375" style="426" customWidth="1"/>
    <col min="11" max="11" width="8.85546875" style="426" customWidth="1"/>
  </cols>
  <sheetData>
    <row r="1" spans="2:12" ht="13.5" thickBot="1"/>
    <row r="2" spans="2:12">
      <c r="B2" s="22" t="s">
        <v>1191</v>
      </c>
      <c r="C2" s="23">
        <v>60</v>
      </c>
    </row>
    <row r="3" spans="2:12" ht="13.5" thickBot="1">
      <c r="B3" s="24" t="s">
        <v>1192</v>
      </c>
      <c r="C3" s="25">
        <v>1000</v>
      </c>
    </row>
    <row r="4" spans="2:12" s="4" customFormat="1">
      <c r="I4" s="427"/>
      <c r="J4" s="427"/>
      <c r="K4" s="427"/>
    </row>
    <row r="5" spans="2:12" s="4" customFormat="1" ht="13.5" thickBot="1">
      <c r="I5" s="427"/>
      <c r="J5" s="427"/>
      <c r="K5" s="427"/>
    </row>
    <row r="6" spans="2:12" s="4" customFormat="1">
      <c r="B6" s="26"/>
      <c r="C6" s="27"/>
      <c r="D6" s="27"/>
      <c r="E6" s="27" t="s">
        <v>1193</v>
      </c>
      <c r="F6" s="27"/>
      <c r="G6" s="27" t="s">
        <v>1193</v>
      </c>
      <c r="H6" s="27" t="s">
        <v>1194</v>
      </c>
      <c r="I6" s="428" t="s">
        <v>1195</v>
      </c>
      <c r="J6" s="29" t="s">
        <v>1196</v>
      </c>
      <c r="K6" s="428" t="s">
        <v>1193</v>
      </c>
      <c r="L6" s="30" t="s">
        <v>1197</v>
      </c>
    </row>
    <row r="7" spans="2:12" s="4" customFormat="1">
      <c r="B7" s="31" t="s">
        <v>1198</v>
      </c>
      <c r="C7" s="32" t="s">
        <v>1199</v>
      </c>
      <c r="D7" s="32" t="s">
        <v>1200</v>
      </c>
      <c r="E7" s="32" t="s">
        <v>1201</v>
      </c>
      <c r="F7" s="32" t="s">
        <v>1202</v>
      </c>
      <c r="G7" s="32" t="s">
        <v>1203</v>
      </c>
      <c r="H7" s="32" t="s">
        <v>1204</v>
      </c>
      <c r="I7" s="429" t="s">
        <v>1205</v>
      </c>
      <c r="J7" s="34" t="s">
        <v>1206</v>
      </c>
      <c r="K7" s="429" t="s">
        <v>1207</v>
      </c>
      <c r="L7" s="430" t="s">
        <v>1207</v>
      </c>
    </row>
    <row r="8" spans="2:12" s="4" customFormat="1">
      <c r="B8" s="36" t="s">
        <v>1208</v>
      </c>
      <c r="C8" s="37">
        <f>C2</f>
        <v>60</v>
      </c>
      <c r="D8" s="37">
        <f>460+C8</f>
        <v>520</v>
      </c>
      <c r="E8" s="38">
        <f>11.515-172/D8^0.5 +1530/D8</f>
        <v>6.9146087262672413</v>
      </c>
      <c r="F8" s="37">
        <v>32</v>
      </c>
      <c r="G8" s="39">
        <f>E8/F8</f>
        <v>0.21608152269585129</v>
      </c>
      <c r="H8" s="39">
        <f>378.2/F8</f>
        <v>11.81875</v>
      </c>
      <c r="I8" s="431">
        <f>1/H8</f>
        <v>8.4611316763617134E-2</v>
      </c>
      <c r="J8" s="431">
        <f>I8/0.0763</f>
        <v>1.1089294464432127</v>
      </c>
      <c r="K8" s="431">
        <f>G8/H8</f>
        <v>1.82829421635834E-2</v>
      </c>
      <c r="L8" s="2599">
        <f>(K8+K9)/2</f>
        <v>1.8159907895190751E-2</v>
      </c>
    </row>
    <row r="9" spans="2:12" s="4" customFormat="1">
      <c r="B9" s="41" t="s">
        <v>1208</v>
      </c>
      <c r="C9" s="432">
        <f>'Av.Ht.Solid - current '!C88</f>
        <v>0</v>
      </c>
      <c r="D9" s="42">
        <f>460+C9</f>
        <v>460</v>
      </c>
      <c r="E9" s="43">
        <f>11.515-172/D9^0.5 +1530/D9</f>
        <v>6.8215456056550403</v>
      </c>
      <c r="F9" s="42">
        <v>32</v>
      </c>
      <c r="G9" s="44">
        <f>E9/F9</f>
        <v>0.21317330017672001</v>
      </c>
      <c r="H9" s="44">
        <f>378.2/F9</f>
        <v>11.81875</v>
      </c>
      <c r="I9" s="433">
        <f>1/H9</f>
        <v>8.4611316763617134E-2</v>
      </c>
      <c r="J9" s="434">
        <f>I9/0.0763</f>
        <v>1.1089294464432127</v>
      </c>
      <c r="K9" s="433">
        <f>G9/H9</f>
        <v>1.8036873626798098E-2</v>
      </c>
      <c r="L9" s="2600"/>
    </row>
    <row r="10" spans="2:12" s="4" customFormat="1">
      <c r="B10" s="46"/>
      <c r="C10" s="47"/>
      <c r="D10" s="47"/>
      <c r="E10" s="48"/>
      <c r="F10" s="47"/>
      <c r="G10" s="49"/>
      <c r="H10" s="49"/>
      <c r="I10" s="435"/>
      <c r="J10" s="435"/>
      <c r="K10" s="435"/>
      <c r="L10" s="51"/>
    </row>
    <row r="11" spans="2:12" s="4" customFormat="1">
      <c r="B11" s="36" t="s">
        <v>1209</v>
      </c>
      <c r="C11" s="37">
        <f>C8</f>
        <v>60</v>
      </c>
      <c r="D11" s="37">
        <f>460+C11</f>
        <v>520</v>
      </c>
      <c r="E11" s="38">
        <f>9.47-3.47*10^3/D11 +1.07*10^6/D11^2</f>
        <v>6.7540236686390536</v>
      </c>
      <c r="F11" s="37">
        <v>28</v>
      </c>
      <c r="G11" s="39">
        <f>E11/F11</f>
        <v>0.24121513102282335</v>
      </c>
      <c r="H11" s="39">
        <f>378.2/F11</f>
        <v>13.507142857142856</v>
      </c>
      <c r="I11" s="431">
        <f>1/H11</f>
        <v>7.4034902168164995E-2</v>
      </c>
      <c r="J11" s="431">
        <f>I11/0.0763</f>
        <v>0.97031326563781117</v>
      </c>
      <c r="K11" s="431">
        <f>G11/H11</f>
        <v>1.7858338626755829E-2</v>
      </c>
      <c r="L11" s="2599">
        <f>(K11+K12)/2</f>
        <v>1.8161364599176031E-2</v>
      </c>
    </row>
    <row r="12" spans="2:12" s="4" customFormat="1">
      <c r="B12" s="41" t="s">
        <v>1209</v>
      </c>
      <c r="C12" s="42">
        <f>C9</f>
        <v>0</v>
      </c>
      <c r="D12" s="42">
        <f>460+C12</f>
        <v>460</v>
      </c>
      <c r="E12" s="43">
        <f>9.47-3.47*10^3/D12 +1.07*10^6/D12^2</f>
        <v>6.9832325141776943</v>
      </c>
      <c r="F12" s="42">
        <v>28</v>
      </c>
      <c r="G12" s="44">
        <f>E12/F12</f>
        <v>0.24940116122063194</v>
      </c>
      <c r="H12" s="44">
        <f>378.2/F12</f>
        <v>13.507142857142856</v>
      </c>
      <c r="I12" s="433">
        <f>1/H12</f>
        <v>7.4034902168164995E-2</v>
      </c>
      <c r="J12" s="434">
        <f>I12/0.0763</f>
        <v>0.97031326563781117</v>
      </c>
      <c r="K12" s="433">
        <f>G12/H12</f>
        <v>1.8464390571596233E-2</v>
      </c>
      <c r="L12" s="2600"/>
    </row>
    <row r="13" spans="2:12" s="4" customFormat="1">
      <c r="B13" s="46"/>
      <c r="C13" s="47"/>
      <c r="D13" s="47"/>
      <c r="E13" s="48"/>
      <c r="F13" s="47"/>
      <c r="G13" s="49"/>
      <c r="H13" s="49"/>
      <c r="I13" s="435"/>
      <c r="J13" s="435"/>
      <c r="K13" s="435"/>
      <c r="L13" s="51"/>
    </row>
    <row r="14" spans="2:12" s="4" customFormat="1">
      <c r="B14" s="36" t="s">
        <v>1210</v>
      </c>
      <c r="C14" s="37">
        <f>C11</f>
        <v>60</v>
      </c>
      <c r="D14" s="37">
        <f>460+C14</f>
        <v>520</v>
      </c>
      <c r="E14" s="38">
        <f>9.46-3.29*10^3/D14+1.07*10^6/D14^2</f>
        <v>7.0901775147929005</v>
      </c>
      <c r="F14" s="37">
        <v>28</v>
      </c>
      <c r="G14" s="39">
        <f>E14/F14</f>
        <v>0.25322062552831787</v>
      </c>
      <c r="H14" s="39">
        <f>378.2/F14</f>
        <v>13.507142857142856</v>
      </c>
      <c r="I14" s="431">
        <f>1/H14</f>
        <v>7.4034902168164995E-2</v>
      </c>
      <c r="J14" s="431">
        <f>I14/0.0763</f>
        <v>0.97031326563781117</v>
      </c>
      <c r="K14" s="431">
        <f>G14/H14</f>
        <v>1.8747164237950559E-2</v>
      </c>
      <c r="L14" s="2599">
        <f>(K14+K15)/2</f>
        <v>1.9109881513480545E-2</v>
      </c>
    </row>
    <row r="15" spans="2:12" s="4" customFormat="1">
      <c r="B15" s="41" t="s">
        <v>1210</v>
      </c>
      <c r="C15" s="42">
        <f>C12</f>
        <v>0</v>
      </c>
      <c r="D15" s="42">
        <f>460+C15</f>
        <v>460</v>
      </c>
      <c r="E15" s="43">
        <f>9.46-3.29*10^3/D15+1.07*10^6/D15^2</f>
        <v>7.3645368620037814</v>
      </c>
      <c r="F15" s="42">
        <v>28</v>
      </c>
      <c r="G15" s="44">
        <f>E15/F15</f>
        <v>0.26301917364299221</v>
      </c>
      <c r="H15" s="44">
        <f>378.2/F15</f>
        <v>13.507142857142856</v>
      </c>
      <c r="I15" s="433">
        <f>1/H15</f>
        <v>7.4034902168164995E-2</v>
      </c>
      <c r="J15" s="434">
        <f>I15/0.0763</f>
        <v>0.97031326563781117</v>
      </c>
      <c r="K15" s="433">
        <f>G15/H15</f>
        <v>1.9472598789010531E-2</v>
      </c>
      <c r="L15" s="2600"/>
    </row>
    <row r="16" spans="2:12" s="4" customFormat="1">
      <c r="B16" s="46"/>
      <c r="C16" s="47"/>
      <c r="D16" s="47"/>
      <c r="E16" s="48"/>
      <c r="F16" s="47"/>
      <c r="G16" s="49"/>
      <c r="H16" s="49"/>
      <c r="I16" s="435"/>
      <c r="J16" s="435"/>
      <c r="K16" s="435"/>
      <c r="L16" s="51"/>
    </row>
    <row r="17" spans="2:12" s="4" customFormat="1">
      <c r="B17" s="36" t="s">
        <v>1211</v>
      </c>
      <c r="C17" s="37">
        <f>C14</f>
        <v>60</v>
      </c>
      <c r="D17" s="37">
        <f>460+C17</f>
        <v>520</v>
      </c>
      <c r="E17" s="38">
        <f>5.76+0.578*D17/10^3+20/D17^0.5</f>
        <v>6.9376180193070294</v>
      </c>
      <c r="F17" s="37">
        <v>2</v>
      </c>
      <c r="G17" s="39">
        <f>E17/F17</f>
        <v>3.4688090096535147</v>
      </c>
      <c r="H17" s="39">
        <f>378.2/F17</f>
        <v>189.1</v>
      </c>
      <c r="I17" s="431">
        <f>1/H17</f>
        <v>5.2882072977260709E-3</v>
      </c>
      <c r="J17" s="431">
        <f>I17/0.0763</f>
        <v>6.9308090402700792E-2</v>
      </c>
      <c r="K17" s="431">
        <f>G17/H17</f>
        <v>1.8343781119267662E-2</v>
      </c>
      <c r="L17" s="2599">
        <f>(K17+K18)/2</f>
        <v>1.8371235890464493E-2</v>
      </c>
    </row>
    <row r="18" spans="2:12" s="4" customFormat="1">
      <c r="B18" s="41" t="s">
        <v>1211</v>
      </c>
      <c r="C18" s="42">
        <f>C15</f>
        <v>0</v>
      </c>
      <c r="D18" s="42">
        <f>460+C18</f>
        <v>460</v>
      </c>
      <c r="E18" s="43">
        <f>5.76+0.578*D18/10^3+20/D18^0.5</f>
        <v>6.9583848082403135</v>
      </c>
      <c r="F18" s="42">
        <v>2</v>
      </c>
      <c r="G18" s="44">
        <f>E18/F18</f>
        <v>3.4791924041201567</v>
      </c>
      <c r="H18" s="44">
        <f>378.2/F18</f>
        <v>189.1</v>
      </c>
      <c r="I18" s="433">
        <f>1/H18</f>
        <v>5.2882072977260709E-3</v>
      </c>
      <c r="J18" s="434">
        <f>I18/0.0763</f>
        <v>6.9308090402700792E-2</v>
      </c>
      <c r="K18" s="433">
        <f>G18/H18</f>
        <v>1.8398690661661325E-2</v>
      </c>
      <c r="L18" s="2600"/>
    </row>
    <row r="19" spans="2:12" s="4" customFormat="1">
      <c r="B19" s="46"/>
      <c r="C19" s="47"/>
      <c r="D19" s="47"/>
      <c r="E19" s="48"/>
      <c r="F19" s="47"/>
      <c r="G19" s="49"/>
      <c r="H19" s="49"/>
      <c r="I19" s="435"/>
      <c r="J19" s="435"/>
      <c r="K19" s="435"/>
      <c r="L19" s="51"/>
    </row>
    <row r="20" spans="2:12" s="4" customFormat="1">
      <c r="B20" s="36" t="s">
        <v>1212</v>
      </c>
      <c r="C20" s="37">
        <f>C17</f>
        <v>60</v>
      </c>
      <c r="D20" s="37">
        <f>460+C20</f>
        <v>520</v>
      </c>
      <c r="E20" s="38">
        <f>19.86-597/D20^0.5+7500/D20</f>
        <v>8.1028950467621002</v>
      </c>
      <c r="F20" s="37">
        <v>18</v>
      </c>
      <c r="G20" s="39">
        <f>E20/F20</f>
        <v>0.4501608359312278</v>
      </c>
      <c r="H20" s="39">
        <f>378.2/F20</f>
        <v>21.011111111111109</v>
      </c>
      <c r="I20" s="431">
        <f>1/H20</f>
        <v>4.7593865679534643E-2</v>
      </c>
      <c r="J20" s="431">
        <f>I20/0.0763</f>
        <v>0.62377281362430714</v>
      </c>
      <c r="K20" s="431">
        <f>G20/H20</f>
        <v>2.1424894359497886E-2</v>
      </c>
      <c r="L20" s="2599">
        <f>(K20+K21)/2</f>
        <v>2.1723921664298901E-2</v>
      </c>
    </row>
    <row r="21" spans="2:12" s="4" customFormat="1">
      <c r="B21" s="41" t="s">
        <v>1212</v>
      </c>
      <c r="C21" s="42">
        <f>C18</f>
        <v>0</v>
      </c>
      <c r="D21" s="42">
        <f>460+C21</f>
        <v>460</v>
      </c>
      <c r="E21" s="43">
        <f>19.86-597/D21^0.5+7500/D21</f>
        <v>8.3290793001135874</v>
      </c>
      <c r="F21" s="42">
        <v>18</v>
      </c>
      <c r="G21" s="44">
        <f>E21/F21</f>
        <v>0.46272662778408818</v>
      </c>
      <c r="H21" s="44">
        <f>378.2/F21</f>
        <v>21.011111111111109</v>
      </c>
      <c r="I21" s="433">
        <f>1/H21</f>
        <v>4.7593865679534643E-2</v>
      </c>
      <c r="J21" s="434">
        <f>I21/0.0763</f>
        <v>0.62377281362430714</v>
      </c>
      <c r="K21" s="433">
        <f>G21/H21</f>
        <v>2.2022948969099915E-2</v>
      </c>
      <c r="L21" s="2600"/>
    </row>
    <row r="22" spans="2:12" s="4" customFormat="1">
      <c r="B22" s="46"/>
      <c r="C22" s="47"/>
      <c r="D22" s="47"/>
      <c r="E22" s="48"/>
      <c r="F22" s="47"/>
      <c r="G22" s="49"/>
      <c r="H22" s="49"/>
      <c r="I22" s="435"/>
      <c r="J22" s="435"/>
      <c r="K22" s="435"/>
      <c r="L22" s="51"/>
    </row>
    <row r="23" spans="2:12" s="4" customFormat="1">
      <c r="B23" s="36" t="s">
        <v>1213</v>
      </c>
      <c r="C23" s="37">
        <f>C20</f>
        <v>60</v>
      </c>
      <c r="D23" s="37">
        <f>460+C23</f>
        <v>520</v>
      </c>
      <c r="E23" s="38">
        <f>16.2-6.53*10^3/D23+1.41*10^6/D23^2</f>
        <v>8.8568047337278095</v>
      </c>
      <c r="F23" s="37">
        <v>44</v>
      </c>
      <c r="G23" s="39">
        <f>E23/F23</f>
        <v>0.20129101667563204</v>
      </c>
      <c r="H23" s="39">
        <f>378.2/F23</f>
        <v>8.5954545454545457</v>
      </c>
      <c r="I23" s="431">
        <f>1/H23</f>
        <v>0.11634056054997356</v>
      </c>
      <c r="J23" s="431">
        <f>I23/0.0763</f>
        <v>1.5247779888594175</v>
      </c>
      <c r="K23" s="431">
        <f>G23/H23</f>
        <v>2.3418309713717105E-2</v>
      </c>
      <c r="L23" s="2599">
        <f>(K23+K24)/2</f>
        <v>2.3168520132030267E-2</v>
      </c>
    </row>
    <row r="24" spans="2:12" s="4" customFormat="1">
      <c r="B24" s="41" t="s">
        <v>1213</v>
      </c>
      <c r="C24" s="42">
        <f>C21</f>
        <v>0</v>
      </c>
      <c r="D24" s="42">
        <f>460+C24</f>
        <v>460</v>
      </c>
      <c r="E24" s="43">
        <f>16.2-6.53*10^3/D24+1.41*10^6/D24^2</f>
        <v>8.6678638941398862</v>
      </c>
      <c r="F24" s="42">
        <v>44</v>
      </c>
      <c r="G24" s="44">
        <f>E24/F24</f>
        <v>0.19699690668499742</v>
      </c>
      <c r="H24" s="44">
        <f>378.2/F24</f>
        <v>8.5954545454545457</v>
      </c>
      <c r="I24" s="433">
        <f>1/H24</f>
        <v>0.11634056054997356</v>
      </c>
      <c r="J24" s="434">
        <f>I24/0.0763</f>
        <v>1.5247779888594175</v>
      </c>
      <c r="K24" s="433">
        <f>G24/H24</f>
        <v>2.2918730550343432E-2</v>
      </c>
      <c r="L24" s="2600"/>
    </row>
    <row r="25" spans="2:12" s="4" customFormat="1">
      <c r="B25" s="46"/>
      <c r="C25" s="47"/>
      <c r="D25" s="47"/>
      <c r="E25" s="48"/>
      <c r="F25" s="47"/>
      <c r="G25" s="49"/>
      <c r="H25" s="49"/>
      <c r="I25" s="435"/>
      <c r="J25" s="435"/>
      <c r="K25" s="435"/>
      <c r="L25" s="51"/>
    </row>
    <row r="26" spans="2:12" s="4" customFormat="1">
      <c r="B26" s="36" t="s">
        <v>1214</v>
      </c>
      <c r="C26" s="37">
        <f>C23</f>
        <v>60</v>
      </c>
      <c r="D26" s="37">
        <f>460+C26</f>
        <v>520</v>
      </c>
      <c r="E26" s="38">
        <f>4.23+0.01177*D26</f>
        <v>10.3504</v>
      </c>
      <c r="F26" s="37">
        <v>16</v>
      </c>
      <c r="G26" s="39">
        <f>E26/F26</f>
        <v>0.64690000000000003</v>
      </c>
      <c r="H26" s="39">
        <f>378.2/F26</f>
        <v>23.637499999999999</v>
      </c>
      <c r="I26" s="431">
        <f>1/H26</f>
        <v>4.2305658381808567E-2</v>
      </c>
      <c r="J26" s="434">
        <f>I26/0.0763</f>
        <v>0.55446472322160634</v>
      </c>
      <c r="K26" s="431">
        <f>G26/H26</f>
        <v>2.7367530407191965E-2</v>
      </c>
      <c r="L26" s="2599">
        <f>(K26+K27)/2</f>
        <v>2.6433897408778426E-2</v>
      </c>
    </row>
    <row r="27" spans="2:12" s="4" customFormat="1">
      <c r="B27" s="41" t="s">
        <v>1215</v>
      </c>
      <c r="C27" s="42">
        <f>C24</f>
        <v>0</v>
      </c>
      <c r="D27" s="42">
        <f>460+C27</f>
        <v>460</v>
      </c>
      <c r="E27" s="43">
        <f>4.23+0.01177*D27</f>
        <v>9.6441999999999997</v>
      </c>
      <c r="F27" s="42">
        <v>16</v>
      </c>
      <c r="G27" s="44">
        <f>E27/F27</f>
        <v>0.60276249999999998</v>
      </c>
      <c r="H27" s="44">
        <f>378.2/F27</f>
        <v>23.637499999999999</v>
      </c>
      <c r="I27" s="433">
        <f>1/H27</f>
        <v>4.2305658381808567E-2</v>
      </c>
      <c r="J27" s="434">
        <f>I27/0.0763</f>
        <v>0.55446472322160634</v>
      </c>
      <c r="K27" s="433">
        <f>G27/H27</f>
        <v>2.5500264410364886E-2</v>
      </c>
      <c r="L27" s="2600"/>
    </row>
    <row r="28" spans="2:12" s="4" customFormat="1">
      <c r="B28" s="46"/>
      <c r="C28" s="47"/>
      <c r="D28" s="47"/>
      <c r="E28" s="48"/>
      <c r="F28" s="47"/>
      <c r="G28" s="49"/>
      <c r="H28" s="49"/>
      <c r="I28" s="435"/>
      <c r="J28" s="435"/>
      <c r="K28" s="435"/>
      <c r="L28" s="51"/>
    </row>
    <row r="29" spans="2:12" s="4" customFormat="1">
      <c r="B29" s="36" t="s">
        <v>1216</v>
      </c>
      <c r="C29" s="37">
        <f>C26</f>
        <v>60</v>
      </c>
      <c r="D29" s="37">
        <f>460+C29</f>
        <v>520</v>
      </c>
      <c r="E29" s="38">
        <f>4.52+0.00737*D29</f>
        <v>8.3523999999999994</v>
      </c>
      <c r="F29" s="37">
        <v>28</v>
      </c>
      <c r="G29" s="39">
        <f>E29/F29</f>
        <v>0.29829999999999995</v>
      </c>
      <c r="H29" s="39">
        <f>378.2/F29</f>
        <v>13.507142857142856</v>
      </c>
      <c r="I29" s="431">
        <f>1/H29</f>
        <v>7.4034902168164995E-2</v>
      </c>
      <c r="J29" s="431">
        <f>I29/0.0763</f>
        <v>0.97031326563781117</v>
      </c>
      <c r="K29" s="431">
        <f>G29/H29</f>
        <v>2.2084611316763616E-2</v>
      </c>
      <c r="L29" s="2599">
        <f>(K29+K30)/2</f>
        <v>2.1499999999999998E-2</v>
      </c>
    </row>
    <row r="30" spans="2:12" s="4" customFormat="1">
      <c r="B30" s="41" t="s">
        <v>1217</v>
      </c>
      <c r="C30" s="42">
        <f>C27</f>
        <v>0</v>
      </c>
      <c r="D30" s="42">
        <f>460+C30</f>
        <v>460</v>
      </c>
      <c r="E30" s="43">
        <f>4.52+0.00737*D30</f>
        <v>7.9101999999999997</v>
      </c>
      <c r="F30" s="42">
        <v>28</v>
      </c>
      <c r="G30" s="44">
        <f>E30/F30</f>
        <v>0.28250714285714285</v>
      </c>
      <c r="H30" s="44">
        <f>378.2/F30</f>
        <v>13.507142857142856</v>
      </c>
      <c r="I30" s="433">
        <f>1/H30</f>
        <v>7.4034902168164995E-2</v>
      </c>
      <c r="J30" s="434">
        <f>I30/0.0763</f>
        <v>0.97031326563781117</v>
      </c>
      <c r="K30" s="433">
        <f>G30/H30</f>
        <v>2.0915388683236384E-2</v>
      </c>
      <c r="L30" s="2600"/>
    </row>
    <row r="31" spans="2:12" s="4" customFormat="1">
      <c r="B31" s="46"/>
      <c r="C31" s="47"/>
      <c r="D31" s="47"/>
      <c r="E31" s="48"/>
      <c r="F31" s="47"/>
      <c r="G31" s="49"/>
      <c r="H31" s="49"/>
      <c r="I31" s="435"/>
      <c r="J31" s="435"/>
      <c r="K31" s="435"/>
      <c r="L31" s="51"/>
    </row>
    <row r="32" spans="2:12" s="4" customFormat="1">
      <c r="B32" s="36" t="s">
        <v>1218</v>
      </c>
      <c r="C32" s="37">
        <f>C29</f>
        <v>60</v>
      </c>
      <c r="D32" s="37">
        <f>460+C32</f>
        <v>520</v>
      </c>
      <c r="E32" s="38">
        <f>4.04+0.01636*D32</f>
        <v>12.5472</v>
      </c>
      <c r="F32" s="37">
        <v>30</v>
      </c>
      <c r="G32" s="39">
        <f>E32/F32</f>
        <v>0.41824</v>
      </c>
      <c r="H32" s="39">
        <f>378.2/F32</f>
        <v>12.606666666666666</v>
      </c>
      <c r="I32" s="431">
        <f>1/H32</f>
        <v>7.9323109465891065E-2</v>
      </c>
      <c r="J32" s="431">
        <f>I32/0.0763</f>
        <v>1.0396213560405119</v>
      </c>
      <c r="K32" s="431">
        <f>G32/H32</f>
        <v>3.3176097303014282E-2</v>
      </c>
      <c r="L32" s="2599">
        <f>(K32+K33)/2</f>
        <v>3.18783712321523E-2</v>
      </c>
    </row>
    <row r="33" spans="2:12" s="4" customFormat="1" ht="13.5" thickBot="1">
      <c r="B33" s="52" t="s">
        <v>1219</v>
      </c>
      <c r="C33" s="53">
        <f>C30</f>
        <v>0</v>
      </c>
      <c r="D33" s="53">
        <f>460+C33</f>
        <v>460</v>
      </c>
      <c r="E33" s="54">
        <f>4.04+0.01636*D33</f>
        <v>11.5656</v>
      </c>
      <c r="F33" s="53">
        <v>30</v>
      </c>
      <c r="G33" s="55">
        <f>E33/F33</f>
        <v>0.38551999999999997</v>
      </c>
      <c r="H33" s="55">
        <f>378.2/F33</f>
        <v>12.606666666666666</v>
      </c>
      <c r="I33" s="436">
        <f>1/H33</f>
        <v>7.9323109465891065E-2</v>
      </c>
      <c r="J33" s="437">
        <f>I33/0.0763</f>
        <v>1.0396213560405119</v>
      </c>
      <c r="K33" s="436">
        <f>G33/H33</f>
        <v>3.0580645161290321E-2</v>
      </c>
      <c r="L33" s="2601"/>
    </row>
    <row r="34" spans="2:12" s="4" customFormat="1">
      <c r="E34" s="58"/>
      <c r="G34" s="59"/>
      <c r="H34" s="59"/>
      <c r="I34" s="427"/>
      <c r="J34" s="427"/>
      <c r="K34" s="427"/>
    </row>
    <row r="35" spans="2:12" s="4" customFormat="1">
      <c r="B35" s="4" t="s">
        <v>1220</v>
      </c>
      <c r="E35" s="58"/>
      <c r="G35" s="59"/>
      <c r="H35" s="59"/>
      <c r="I35" s="427"/>
      <c r="J35" s="427"/>
      <c r="K35" s="427"/>
    </row>
    <row r="36" spans="2:12" s="4" customFormat="1" ht="13.5" thickBot="1">
      <c r="E36" s="58"/>
      <c r="G36" s="59"/>
      <c r="H36" s="59"/>
      <c r="I36" s="427"/>
      <c r="J36" s="427"/>
      <c r="K36" s="427"/>
    </row>
    <row r="37" spans="2:12" s="4" customFormat="1" ht="15.75" thickBot="1">
      <c r="B37" s="60" t="s">
        <v>1221</v>
      </c>
      <c r="C37" s="61"/>
      <c r="D37" s="61"/>
      <c r="E37" s="62"/>
      <c r="G37" s="59"/>
      <c r="H37" s="59"/>
      <c r="I37" s="427"/>
      <c r="J37" s="427"/>
      <c r="K37" s="427"/>
    </row>
    <row r="38" spans="2:12" s="4" customFormat="1" ht="13.5" thickBot="1">
      <c r="B38" s="63" t="s">
        <v>1222</v>
      </c>
      <c r="C38" s="64" t="s">
        <v>1223</v>
      </c>
      <c r="D38" s="64" t="s">
        <v>1224</v>
      </c>
      <c r="E38" s="65" t="s">
        <v>1225</v>
      </c>
      <c r="F38" s="4" t="s">
        <v>1226</v>
      </c>
      <c r="G38" s="59" t="s">
        <v>1227</v>
      </c>
      <c r="H38" s="59"/>
      <c r="I38" s="427"/>
      <c r="J38" s="427"/>
      <c r="K38" s="427"/>
    </row>
    <row r="39" spans="2:12" s="4" customFormat="1">
      <c r="B39" s="63" t="s">
        <v>1228</v>
      </c>
      <c r="C39" s="64">
        <v>20.7</v>
      </c>
      <c r="D39" s="64"/>
      <c r="E39" s="438">
        <f>L8</f>
        <v>1.8159907895190751E-2</v>
      </c>
      <c r="F39" s="67">
        <f>K8</f>
        <v>1.82829421635834E-2</v>
      </c>
      <c r="G39" s="59">
        <f>K9</f>
        <v>1.8036873626798098E-2</v>
      </c>
      <c r="H39" s="59"/>
      <c r="I39" s="427"/>
      <c r="J39" s="427"/>
      <c r="K39" s="427"/>
    </row>
    <row r="40" spans="2:12" s="4" customFormat="1">
      <c r="B40" s="68" t="s">
        <v>1213</v>
      </c>
      <c r="C40" s="18">
        <v>0</v>
      </c>
      <c r="D40" s="18"/>
      <c r="E40" s="69">
        <f>L23</f>
        <v>2.3168520132030267E-2</v>
      </c>
      <c r="F40" s="67">
        <f>K23</f>
        <v>2.3418309713717105E-2</v>
      </c>
      <c r="G40" s="59">
        <f>K24</f>
        <v>2.2918730550343432E-2</v>
      </c>
      <c r="I40" s="427"/>
      <c r="J40" s="427"/>
      <c r="K40" s="427"/>
    </row>
    <row r="41" spans="2:12" s="4" customFormat="1">
      <c r="B41" s="68" t="s">
        <v>1229</v>
      </c>
      <c r="C41" s="18">
        <v>78.3</v>
      </c>
      <c r="D41" s="18"/>
      <c r="E41" s="69">
        <f>L11</f>
        <v>1.8161364599176031E-2</v>
      </c>
      <c r="F41" s="67">
        <f>K11</f>
        <v>1.7858338626755829E-2</v>
      </c>
      <c r="G41" s="59">
        <f>K12</f>
        <v>1.8464390571596233E-2</v>
      </c>
      <c r="I41" s="427"/>
      <c r="J41" s="427"/>
      <c r="K41" s="427"/>
    </row>
    <row r="42" spans="2:12" s="4" customFormat="1">
      <c r="B42" s="68" t="s">
        <v>1230</v>
      </c>
      <c r="C42" s="18">
        <v>1</v>
      </c>
      <c r="D42" s="18"/>
      <c r="E42" s="69">
        <f>L20</f>
        <v>2.1723921664298901E-2</v>
      </c>
      <c r="F42" s="67">
        <f>K20</f>
        <v>2.1424894359497886E-2</v>
      </c>
      <c r="G42" s="59">
        <f>K21</f>
        <v>2.2022948969099915E-2</v>
      </c>
      <c r="I42" s="427"/>
      <c r="J42" s="427"/>
      <c r="K42" s="427"/>
    </row>
    <row r="43" spans="2:12" s="4" customFormat="1">
      <c r="B43" s="68"/>
      <c r="C43" s="18"/>
      <c r="D43" s="18"/>
      <c r="E43" s="70"/>
      <c r="G43" s="59"/>
      <c r="I43" s="427"/>
      <c r="J43" s="427"/>
      <c r="K43" s="427"/>
    </row>
    <row r="44" spans="2:12" s="4" customFormat="1">
      <c r="B44" s="68" t="s">
        <v>1172</v>
      </c>
      <c r="C44" s="18">
        <f>SUM(C39:C43)</f>
        <v>100</v>
      </c>
      <c r="D44" s="18"/>
      <c r="E44" s="70"/>
      <c r="I44" s="427"/>
      <c r="J44" s="427"/>
      <c r="K44" s="427"/>
    </row>
    <row r="45" spans="2:12" s="4" customFormat="1" ht="13.5" thickBot="1">
      <c r="B45" s="71" t="s">
        <v>1231</v>
      </c>
      <c r="C45" s="72"/>
      <c r="D45" s="72"/>
      <c r="E45" s="73">
        <f>($C$39*E39+$C$40*E40+$C$41*E41+$C$42*E42)/100</f>
        <v>1.8196688632102304E-2</v>
      </c>
      <c r="F45" s="73">
        <f>($C$39*F39+$C$40*F40+$C$41*F41+$C$42*F42)/100</f>
        <v>1.7981897116206558E-2</v>
      </c>
      <c r="G45" s="73">
        <f>($C$39*G39+$C$40*G40+$C$41*G41+$C$42*G42)/100</f>
        <v>1.8411480147998052E-2</v>
      </c>
      <c r="I45" s="427"/>
      <c r="J45" s="427"/>
      <c r="K45" s="427"/>
    </row>
    <row r="46" spans="2:12" s="4" customFormat="1">
      <c r="I46" s="427"/>
      <c r="J46" s="427"/>
      <c r="K46" s="427"/>
    </row>
    <row r="47" spans="2:12" s="4" customFormat="1">
      <c r="F47" s="4" t="s">
        <v>1182</v>
      </c>
      <c r="G47" s="4">
        <f>(G45-F45)/(1000-60)</f>
        <v>4.570032253100998E-7</v>
      </c>
      <c r="I47" s="427"/>
      <c r="J47" s="427"/>
      <c r="K47" s="427"/>
    </row>
    <row r="48" spans="2:12" s="4" customFormat="1">
      <c r="F48" s="4" t="s">
        <v>1181</v>
      </c>
      <c r="G48" s="4">
        <f>G45-G47*1000</f>
        <v>1.7954476922687951E-2</v>
      </c>
      <c r="I48" s="427"/>
      <c r="J48" s="427"/>
      <c r="K48" s="427"/>
    </row>
    <row r="49" spans="5:11" s="4" customFormat="1">
      <c r="I49" s="427"/>
      <c r="J49" s="427"/>
      <c r="K49" s="427"/>
    </row>
    <row r="50" spans="5:11" s="4" customFormat="1">
      <c r="E50" s="4" t="s">
        <v>1232</v>
      </c>
      <c r="I50" s="427"/>
      <c r="J50" s="427"/>
      <c r="K50" s="427"/>
    </row>
    <row r="51" spans="5:11" s="4" customFormat="1">
      <c r="E51" s="4" t="s">
        <v>1183</v>
      </c>
      <c r="F51" s="4" t="s">
        <v>414</v>
      </c>
      <c r="I51" s="427"/>
      <c r="J51" s="427"/>
      <c r="K51" s="427"/>
    </row>
    <row r="52" spans="5:11" s="4" customFormat="1">
      <c r="E52" s="4">
        <v>60</v>
      </c>
      <c r="F52" s="4">
        <f t="shared" ref="F52:F68" si="0">$G$48+$G$47*E52</f>
        <v>1.7981897116206558E-2</v>
      </c>
      <c r="I52" s="427"/>
      <c r="J52" s="427"/>
      <c r="K52" s="427"/>
    </row>
    <row r="53" spans="5:11" s="4" customFormat="1">
      <c r="E53" s="4">
        <v>100</v>
      </c>
      <c r="F53" s="4">
        <f t="shared" si="0"/>
        <v>1.8000177245218962E-2</v>
      </c>
      <c r="I53" s="427"/>
      <c r="J53" s="427"/>
      <c r="K53" s="427"/>
    </row>
    <row r="54" spans="5:11" s="4" customFormat="1">
      <c r="E54" s="4">
        <f t="shared" ref="E54:E67" si="1">100+E53</f>
        <v>200</v>
      </c>
      <c r="F54" s="4">
        <f t="shared" si="0"/>
        <v>1.804587756774997E-2</v>
      </c>
      <c r="I54" s="427"/>
      <c r="J54" s="427"/>
      <c r="K54" s="427"/>
    </row>
    <row r="55" spans="5:11" s="4" customFormat="1">
      <c r="E55" s="4">
        <f t="shared" si="1"/>
        <v>300</v>
      </c>
      <c r="F55" s="4">
        <f t="shared" si="0"/>
        <v>1.8091577890280982E-2</v>
      </c>
      <c r="I55" s="427"/>
      <c r="J55" s="427"/>
      <c r="K55" s="427"/>
    </row>
    <row r="56" spans="5:11" s="4" customFormat="1">
      <c r="E56" s="4">
        <f t="shared" si="1"/>
        <v>400</v>
      </c>
      <c r="F56" s="4">
        <f t="shared" si="0"/>
        <v>1.813727821281199E-2</v>
      </c>
      <c r="I56" s="427"/>
      <c r="J56" s="427"/>
      <c r="K56" s="427"/>
    </row>
    <row r="57" spans="5:11" s="4" customFormat="1">
      <c r="E57" s="4">
        <f t="shared" si="1"/>
        <v>500</v>
      </c>
      <c r="F57" s="4">
        <f t="shared" si="0"/>
        <v>1.8182978535343002E-2</v>
      </c>
      <c r="I57" s="427"/>
      <c r="J57" s="427"/>
      <c r="K57" s="427"/>
    </row>
    <row r="58" spans="5:11" s="4" customFormat="1">
      <c r="E58" s="4">
        <f t="shared" si="1"/>
        <v>600</v>
      </c>
      <c r="F58" s="4">
        <f t="shared" si="0"/>
        <v>1.822867885787401E-2</v>
      </c>
      <c r="I58" s="427"/>
      <c r="J58" s="427"/>
      <c r="K58" s="427"/>
    </row>
    <row r="59" spans="5:11" s="4" customFormat="1">
      <c r="E59" s="4">
        <f t="shared" si="1"/>
        <v>700</v>
      </c>
      <c r="F59" s="4">
        <f t="shared" si="0"/>
        <v>1.8274379180405021E-2</v>
      </c>
      <c r="I59" s="427"/>
      <c r="J59" s="427"/>
      <c r="K59" s="427"/>
    </row>
    <row r="60" spans="5:11" s="4" customFormat="1">
      <c r="E60" s="4">
        <f t="shared" si="1"/>
        <v>800</v>
      </c>
      <c r="F60" s="4">
        <f t="shared" si="0"/>
        <v>1.8320079502936029E-2</v>
      </c>
      <c r="I60" s="427"/>
      <c r="J60" s="427"/>
      <c r="K60" s="427"/>
    </row>
    <row r="61" spans="5:11" s="4" customFormat="1">
      <c r="E61" s="4">
        <f t="shared" si="1"/>
        <v>900</v>
      </c>
      <c r="F61" s="4">
        <f t="shared" si="0"/>
        <v>1.8365779825467041E-2</v>
      </c>
      <c r="I61" s="427"/>
      <c r="J61" s="427"/>
      <c r="K61" s="427"/>
    </row>
    <row r="62" spans="5:11" s="4" customFormat="1">
      <c r="E62" s="4">
        <f t="shared" si="1"/>
        <v>1000</v>
      </c>
      <c r="F62" s="4">
        <f t="shared" si="0"/>
        <v>1.8411480147998052E-2</v>
      </c>
      <c r="I62" s="427"/>
      <c r="J62" s="427"/>
      <c r="K62" s="427"/>
    </row>
    <row r="63" spans="5:11" s="4" customFormat="1">
      <c r="E63" s="4">
        <f t="shared" si="1"/>
        <v>1100</v>
      </c>
      <c r="F63" s="4">
        <f t="shared" si="0"/>
        <v>1.845718047052906E-2</v>
      </c>
      <c r="I63" s="427"/>
      <c r="J63" s="427"/>
      <c r="K63" s="427"/>
    </row>
    <row r="64" spans="5:11" s="4" customFormat="1">
      <c r="E64" s="4">
        <f t="shared" si="1"/>
        <v>1200</v>
      </c>
      <c r="F64" s="4">
        <f t="shared" si="0"/>
        <v>1.8502880793060072E-2</v>
      </c>
      <c r="I64" s="427"/>
      <c r="J64" s="427"/>
      <c r="K64" s="427"/>
    </row>
    <row r="65" spans="2:14" s="4" customFormat="1">
      <c r="E65" s="4">
        <f t="shared" si="1"/>
        <v>1300</v>
      </c>
      <c r="F65" s="4">
        <f t="shared" si="0"/>
        <v>1.854858111559108E-2</v>
      </c>
      <c r="I65" s="427"/>
      <c r="J65" s="427"/>
      <c r="K65" s="427"/>
    </row>
    <row r="66" spans="2:14" s="4" customFormat="1">
      <c r="E66" s="4">
        <f t="shared" si="1"/>
        <v>1400</v>
      </c>
      <c r="F66" s="4">
        <f t="shared" si="0"/>
        <v>1.8594281438122091E-2</v>
      </c>
      <c r="I66" s="427"/>
      <c r="J66" s="427"/>
      <c r="K66" s="427"/>
    </row>
    <row r="67" spans="2:14" s="4" customFormat="1">
      <c r="E67" s="4">
        <f t="shared" si="1"/>
        <v>1500</v>
      </c>
      <c r="F67" s="4">
        <f t="shared" si="0"/>
        <v>1.8639981760653099E-2</v>
      </c>
      <c r="I67" s="427"/>
      <c r="J67" s="427"/>
      <c r="K67" s="427"/>
    </row>
    <row r="68" spans="2:14" s="4" customFormat="1">
      <c r="E68" s="439">
        <f>'Av.Ht.Solid - current '!C86</f>
        <v>0</v>
      </c>
      <c r="F68" s="165">
        <f t="shared" si="0"/>
        <v>1.7954476922687951E-2</v>
      </c>
      <c r="G68" s="4" t="s">
        <v>415</v>
      </c>
      <c r="I68" s="427"/>
      <c r="J68" s="427"/>
      <c r="K68" s="427"/>
    </row>
    <row r="69" spans="2:14" s="4" customFormat="1">
      <c r="I69" s="427"/>
      <c r="J69" s="427"/>
      <c r="K69" s="427"/>
    </row>
    <row r="70" spans="2:14" s="4" customFormat="1" ht="13.5" thickBot="1">
      <c r="E70" s="4">
        <f>100+E67</f>
        <v>1600</v>
      </c>
      <c r="F70" s="4">
        <f>$G$48+$G$47*E70</f>
        <v>1.8685682083184111E-2</v>
      </c>
      <c r="I70" s="427"/>
      <c r="J70" s="427"/>
      <c r="K70" s="427"/>
    </row>
    <row r="71" spans="2:14" s="4" customFormat="1">
      <c r="B71" s="26"/>
      <c r="C71" s="27"/>
      <c r="D71" s="27"/>
      <c r="E71" s="27" t="s">
        <v>1193</v>
      </c>
      <c r="F71" s="27"/>
      <c r="G71" s="27" t="s">
        <v>1193</v>
      </c>
      <c r="H71" s="27" t="s">
        <v>1194</v>
      </c>
      <c r="I71" s="428" t="s">
        <v>1195</v>
      </c>
      <c r="J71" s="29" t="s">
        <v>1196</v>
      </c>
      <c r="K71" s="428" t="s">
        <v>1193</v>
      </c>
      <c r="L71" s="30" t="s">
        <v>1197</v>
      </c>
    </row>
    <row r="72" spans="2:14" s="4" customFormat="1">
      <c r="B72" s="31" t="s">
        <v>1198</v>
      </c>
      <c r="C72" s="32" t="s">
        <v>1199</v>
      </c>
      <c r="D72" s="32" t="s">
        <v>1200</v>
      </c>
      <c r="E72" s="32" t="s">
        <v>1201</v>
      </c>
      <c r="F72" s="32" t="s">
        <v>1202</v>
      </c>
      <c r="G72" s="32" t="s">
        <v>1203</v>
      </c>
      <c r="H72" s="32" t="s">
        <v>1204</v>
      </c>
      <c r="I72" s="429" t="s">
        <v>1205</v>
      </c>
      <c r="J72" s="34" t="s">
        <v>1206</v>
      </c>
      <c r="K72" s="429" t="s">
        <v>1207</v>
      </c>
      <c r="L72" s="430" t="s">
        <v>1207</v>
      </c>
    </row>
    <row r="73" spans="2:14" s="4" customFormat="1">
      <c r="B73" s="36" t="s">
        <v>1212</v>
      </c>
      <c r="C73" s="37">
        <v>300</v>
      </c>
      <c r="D73" s="37">
        <f t="shared" ref="D73:D94" si="2">460+C73</f>
        <v>760</v>
      </c>
      <c r="E73" s="38">
        <f t="shared" ref="E73:E94" si="3">19.86-597/D73^0.5+7500/D73</f>
        <v>8.0729549868477299</v>
      </c>
      <c r="F73" s="37">
        <v>18</v>
      </c>
      <c r="G73" s="39">
        <f t="shared" ref="G73:G94" si="4">E73/F73</f>
        <v>0.44849749926931831</v>
      </c>
      <c r="H73" s="39">
        <f t="shared" ref="H73:H94" si="5">378.2/F73</f>
        <v>21.011111111111109</v>
      </c>
      <c r="I73" s="431">
        <f t="shared" ref="I73:I94" si="6">1/H73</f>
        <v>4.7593865679534643E-2</v>
      </c>
      <c r="J73" s="431">
        <f t="shared" ref="J73:J94" si="7">I73/0.0763</f>
        <v>0.62377281362430714</v>
      </c>
      <c r="K73" s="431">
        <f t="shared" ref="K73:K94" si="8">G73/H73</f>
        <v>2.1345729737831123E-2</v>
      </c>
      <c r="N73" s="338">
        <f t="shared" ref="N73:N81" si="9">E73/(18*21.011)</f>
        <v>2.1345842619071836E-2</v>
      </c>
    </row>
    <row r="74" spans="2:14" s="4" customFormat="1">
      <c r="C74" s="4">
        <f t="shared" ref="C74:C93" si="10">C73+100</f>
        <v>400</v>
      </c>
      <c r="D74" s="37">
        <f t="shared" si="2"/>
        <v>860</v>
      </c>
      <c r="E74" s="38">
        <f t="shared" si="3"/>
        <v>8.2233991993645041</v>
      </c>
      <c r="F74" s="37">
        <f t="shared" ref="F74:F94" si="11">F73</f>
        <v>18</v>
      </c>
      <c r="G74" s="39">
        <f t="shared" si="4"/>
        <v>0.4568555110758058</v>
      </c>
      <c r="H74" s="39">
        <f t="shared" si="5"/>
        <v>21.011111111111109</v>
      </c>
      <c r="I74" s="431">
        <f t="shared" si="6"/>
        <v>4.7593865679534643E-2</v>
      </c>
      <c r="J74" s="431">
        <f t="shared" si="7"/>
        <v>0.62377281362430714</v>
      </c>
      <c r="K74" s="431">
        <f t="shared" si="8"/>
        <v>2.1743519829097051E-2</v>
      </c>
      <c r="N74" s="338">
        <f t="shared" si="9"/>
        <v>2.1743634813945353E-2</v>
      </c>
    </row>
    <row r="75" spans="2:14" s="4" customFormat="1">
      <c r="C75" s="4">
        <f t="shared" si="10"/>
        <v>500</v>
      </c>
      <c r="D75" s="37">
        <f t="shared" si="2"/>
        <v>960</v>
      </c>
      <c r="E75" s="38">
        <f t="shared" si="3"/>
        <v>8.4044078526180996</v>
      </c>
      <c r="F75" s="37">
        <f t="shared" si="11"/>
        <v>18</v>
      </c>
      <c r="G75" s="39">
        <f t="shared" si="4"/>
        <v>0.46691154736767221</v>
      </c>
      <c r="H75" s="39">
        <f t="shared" si="5"/>
        <v>21.011111111111109</v>
      </c>
      <c r="I75" s="431">
        <f t="shared" si="6"/>
        <v>4.7593865679534643E-2</v>
      </c>
      <c r="J75" s="431">
        <f t="shared" si="7"/>
        <v>0.62377281362430714</v>
      </c>
      <c r="K75" s="431">
        <f t="shared" si="8"/>
        <v>2.2222125469640669E-2</v>
      </c>
      <c r="N75" s="338">
        <f t="shared" si="9"/>
        <v>2.2222242985468193E-2</v>
      </c>
    </row>
    <row r="76" spans="2:14" s="4" customFormat="1">
      <c r="C76" s="4">
        <f t="shared" si="10"/>
        <v>600</v>
      </c>
      <c r="D76" s="37">
        <f t="shared" si="2"/>
        <v>1060</v>
      </c>
      <c r="E76" s="38">
        <f t="shared" si="3"/>
        <v>8.5987624606197635</v>
      </c>
      <c r="F76" s="37">
        <f t="shared" si="11"/>
        <v>18</v>
      </c>
      <c r="G76" s="39">
        <f t="shared" si="4"/>
        <v>0.47770902558998685</v>
      </c>
      <c r="H76" s="39">
        <f t="shared" si="5"/>
        <v>21.011111111111109</v>
      </c>
      <c r="I76" s="431">
        <f t="shared" si="6"/>
        <v>4.7593865679534643E-2</v>
      </c>
      <c r="J76" s="431">
        <f t="shared" si="7"/>
        <v>0.62377281362430714</v>
      </c>
      <c r="K76" s="431">
        <f t="shared" si="8"/>
        <v>2.2736019197831209E-2</v>
      </c>
      <c r="N76" s="338">
        <f t="shared" si="9"/>
        <v>2.2736139431249674E-2</v>
      </c>
    </row>
    <row r="77" spans="2:14" s="4" customFormat="1">
      <c r="C77" s="4">
        <f t="shared" si="10"/>
        <v>700</v>
      </c>
      <c r="D77" s="37">
        <f t="shared" si="2"/>
        <v>1160</v>
      </c>
      <c r="E77" s="38">
        <f t="shared" si="3"/>
        <v>8.7969936888654097</v>
      </c>
      <c r="F77" s="37">
        <f t="shared" si="11"/>
        <v>18</v>
      </c>
      <c r="G77" s="39">
        <f t="shared" si="4"/>
        <v>0.4887218716036339</v>
      </c>
      <c r="H77" s="39">
        <f t="shared" si="5"/>
        <v>21.011111111111109</v>
      </c>
      <c r="I77" s="431">
        <f t="shared" si="6"/>
        <v>4.7593865679534643E-2</v>
      </c>
      <c r="J77" s="431">
        <f t="shared" si="7"/>
        <v>0.62377281362430714</v>
      </c>
      <c r="K77" s="431">
        <f t="shared" si="8"/>
        <v>2.3260163111754127E-2</v>
      </c>
      <c r="N77" s="338">
        <f t="shared" si="9"/>
        <v>2.3260286116968915E-2</v>
      </c>
    </row>
    <row r="78" spans="2:14" s="4" customFormat="1">
      <c r="C78" s="4">
        <f t="shared" si="10"/>
        <v>800</v>
      </c>
      <c r="D78" s="37">
        <f t="shared" si="2"/>
        <v>1260</v>
      </c>
      <c r="E78" s="38">
        <f t="shared" si="3"/>
        <v>8.993811283283474</v>
      </c>
      <c r="F78" s="37">
        <f t="shared" si="11"/>
        <v>18</v>
      </c>
      <c r="G78" s="39">
        <f t="shared" si="4"/>
        <v>0.49965618240463744</v>
      </c>
      <c r="H78" s="39">
        <f t="shared" si="5"/>
        <v>21.011111111111109</v>
      </c>
      <c r="I78" s="431">
        <f t="shared" si="6"/>
        <v>4.7593865679534643E-2</v>
      </c>
      <c r="J78" s="431">
        <f t="shared" si="7"/>
        <v>0.62377281362430714</v>
      </c>
      <c r="K78" s="431">
        <f t="shared" si="8"/>
        <v>2.3780569231315375E-2</v>
      </c>
      <c r="N78" s="338">
        <f t="shared" si="9"/>
        <v>2.3780694988560159E-2</v>
      </c>
    </row>
    <row r="79" spans="2:14" s="4" customFormat="1">
      <c r="C79" s="4">
        <f t="shared" si="10"/>
        <v>900</v>
      </c>
      <c r="D79" s="37">
        <f t="shared" si="2"/>
        <v>1360</v>
      </c>
      <c r="E79" s="38">
        <f t="shared" si="3"/>
        <v>9.1862704676357225</v>
      </c>
      <c r="F79" s="37">
        <f t="shared" si="11"/>
        <v>18</v>
      </c>
      <c r="G79" s="39">
        <f t="shared" si="4"/>
        <v>0.51034835931309575</v>
      </c>
      <c r="H79" s="39">
        <f t="shared" si="5"/>
        <v>21.011111111111109</v>
      </c>
      <c r="I79" s="431">
        <f t="shared" si="6"/>
        <v>4.7593865679534643E-2</v>
      </c>
      <c r="J79" s="431">
        <f t="shared" si="7"/>
        <v>0.62377281362430714</v>
      </c>
      <c r="K79" s="431">
        <f t="shared" si="8"/>
        <v>2.4289451262918361E-2</v>
      </c>
      <c r="N79" s="338">
        <f t="shared" si="9"/>
        <v>2.4289579711251046E-2</v>
      </c>
    </row>
    <row r="80" spans="2:14" s="4" customFormat="1">
      <c r="C80" s="4">
        <f t="shared" si="10"/>
        <v>1000</v>
      </c>
      <c r="D80" s="37">
        <f t="shared" si="2"/>
        <v>1460</v>
      </c>
      <c r="E80" s="38">
        <f t="shared" si="3"/>
        <v>9.3727822120519821</v>
      </c>
      <c r="F80" s="37">
        <f t="shared" si="11"/>
        <v>18</v>
      </c>
      <c r="G80" s="39">
        <f t="shared" si="4"/>
        <v>0.52071012289177676</v>
      </c>
      <c r="H80" s="39">
        <f t="shared" si="5"/>
        <v>21.011111111111109</v>
      </c>
      <c r="I80" s="431">
        <f t="shared" si="6"/>
        <v>4.7593865679534643E-2</v>
      </c>
      <c r="J80" s="431">
        <f t="shared" si="7"/>
        <v>0.62377281362430714</v>
      </c>
      <c r="K80" s="431">
        <f t="shared" si="8"/>
        <v>2.47826076468852E-2</v>
      </c>
      <c r="N80" s="338">
        <f t="shared" si="9"/>
        <v>2.4782738703144867E-2</v>
      </c>
    </row>
    <row r="81" spans="3:14" s="4" customFormat="1">
      <c r="C81" s="4">
        <f t="shared" si="10"/>
        <v>1100</v>
      </c>
      <c r="D81" s="37">
        <f t="shared" si="2"/>
        <v>1560</v>
      </c>
      <c r="E81" s="38">
        <f t="shared" si="3"/>
        <v>9.5525572539685832</v>
      </c>
      <c r="F81" s="37">
        <f t="shared" si="11"/>
        <v>18</v>
      </c>
      <c r="G81" s="39">
        <f t="shared" si="4"/>
        <v>0.53069762522047681</v>
      </c>
      <c r="H81" s="39">
        <f t="shared" si="5"/>
        <v>21.011111111111109</v>
      </c>
      <c r="I81" s="431">
        <f t="shared" si="6"/>
        <v>4.7593865679534643E-2</v>
      </c>
      <c r="J81" s="431">
        <f t="shared" si="7"/>
        <v>0.62377281362430714</v>
      </c>
      <c r="K81" s="431">
        <f t="shared" si="8"/>
        <v>2.525795149119139E-2</v>
      </c>
      <c r="N81" s="338">
        <f t="shared" si="9"/>
        <v>2.5258085061181136E-2</v>
      </c>
    </row>
    <row r="82" spans="3:14" s="4" customFormat="1">
      <c r="C82" s="4">
        <f t="shared" si="10"/>
        <v>1200</v>
      </c>
      <c r="D82" s="37">
        <f t="shared" si="2"/>
        <v>1660</v>
      </c>
      <c r="E82" s="38">
        <f t="shared" si="3"/>
        <v>9.7252835829932174</v>
      </c>
      <c r="F82" s="37">
        <f t="shared" si="11"/>
        <v>18</v>
      </c>
      <c r="G82" s="39">
        <f t="shared" si="4"/>
        <v>0.54029353238851208</v>
      </c>
      <c r="H82" s="39">
        <f t="shared" si="5"/>
        <v>21.011111111111109</v>
      </c>
      <c r="I82" s="431">
        <f t="shared" si="6"/>
        <v>4.7593865679534643E-2</v>
      </c>
      <c r="J82" s="431">
        <f t="shared" si="7"/>
        <v>0.62377281362430714</v>
      </c>
      <c r="K82" s="431">
        <f t="shared" si="8"/>
        <v>2.5714657808020142E-2</v>
      </c>
    </row>
    <row r="83" spans="3:14">
      <c r="C83" s="4">
        <f t="shared" si="10"/>
        <v>1300</v>
      </c>
      <c r="D83" s="37">
        <f t="shared" si="2"/>
        <v>1760</v>
      </c>
      <c r="E83" s="38">
        <f t="shared" si="3"/>
        <v>9.8909344918731712</v>
      </c>
      <c r="F83" s="37">
        <f t="shared" si="11"/>
        <v>18</v>
      </c>
      <c r="G83" s="39">
        <f t="shared" si="4"/>
        <v>0.5494963606596206</v>
      </c>
      <c r="H83" s="39">
        <f t="shared" si="5"/>
        <v>21.011111111111109</v>
      </c>
      <c r="I83" s="431">
        <f t="shared" si="6"/>
        <v>4.7593865679534643E-2</v>
      </c>
      <c r="J83" s="431">
        <f t="shared" si="7"/>
        <v>0.62377281362430714</v>
      </c>
      <c r="K83" s="431">
        <f t="shared" si="8"/>
        <v>2.6152655980627108E-2</v>
      </c>
    </row>
    <row r="84" spans="3:14">
      <c r="C84" s="4">
        <f t="shared" si="10"/>
        <v>1400</v>
      </c>
      <c r="D84" s="37">
        <f t="shared" si="2"/>
        <v>1860</v>
      </c>
      <c r="E84" s="38">
        <f t="shared" si="3"/>
        <v>10.049652026075105</v>
      </c>
      <c r="F84" s="37">
        <f t="shared" si="11"/>
        <v>18</v>
      </c>
      <c r="G84" s="39">
        <f t="shared" si="4"/>
        <v>0.55831400144861698</v>
      </c>
      <c r="H84" s="39">
        <f t="shared" si="5"/>
        <v>21.011111111111109</v>
      </c>
      <c r="I84" s="431">
        <f t="shared" si="6"/>
        <v>4.7593865679534643E-2</v>
      </c>
      <c r="J84" s="431">
        <f t="shared" si="7"/>
        <v>0.62377281362430714</v>
      </c>
      <c r="K84" s="431">
        <f t="shared" si="8"/>
        <v>2.6572321591948986E-2</v>
      </c>
    </row>
    <row r="85" spans="3:14">
      <c r="C85" s="4">
        <f t="shared" si="10"/>
        <v>1500</v>
      </c>
      <c r="D85" s="37">
        <f t="shared" si="2"/>
        <v>1960</v>
      </c>
      <c r="E85" s="38">
        <f t="shared" si="3"/>
        <v>10.201675161384022</v>
      </c>
      <c r="F85" s="37">
        <f t="shared" si="11"/>
        <v>18</v>
      </c>
      <c r="G85" s="39">
        <f t="shared" si="4"/>
        <v>0.56675973118800127</v>
      </c>
      <c r="H85" s="39">
        <f t="shared" si="5"/>
        <v>21.011111111111109</v>
      </c>
      <c r="I85" s="431">
        <f t="shared" si="6"/>
        <v>4.7593865679534643E-2</v>
      </c>
      <c r="J85" s="431">
        <f t="shared" si="7"/>
        <v>0.62377281362430714</v>
      </c>
      <c r="K85" s="431">
        <f t="shared" si="8"/>
        <v>2.6974286518730892E-2</v>
      </c>
    </row>
    <row r="86" spans="3:14">
      <c r="C86" s="4">
        <f t="shared" si="10"/>
        <v>1600</v>
      </c>
      <c r="D86" s="37">
        <f t="shared" si="2"/>
        <v>2060</v>
      </c>
      <c r="E86" s="38">
        <f t="shared" si="3"/>
        <v>10.347295119238058</v>
      </c>
      <c r="F86" s="37">
        <f t="shared" si="11"/>
        <v>18</v>
      </c>
      <c r="G86" s="39">
        <f t="shared" si="4"/>
        <v>0.57484972884655883</v>
      </c>
      <c r="H86" s="39">
        <f t="shared" si="5"/>
        <v>21.011111111111109</v>
      </c>
      <c r="I86" s="431">
        <f t="shared" si="6"/>
        <v>4.7593865679534643E-2</v>
      </c>
      <c r="J86" s="431">
        <f t="shared" si="7"/>
        <v>0.62377281362430714</v>
      </c>
      <c r="K86" s="431">
        <f t="shared" si="8"/>
        <v>2.7359320780640031E-2</v>
      </c>
    </row>
    <row r="87" spans="3:14">
      <c r="C87" s="4">
        <f t="shared" si="10"/>
        <v>1700</v>
      </c>
      <c r="D87" s="37">
        <f t="shared" si="2"/>
        <v>2160</v>
      </c>
      <c r="E87" s="38">
        <f t="shared" si="3"/>
        <v>10.486827457300954</v>
      </c>
      <c r="F87" s="37">
        <f t="shared" si="11"/>
        <v>18</v>
      </c>
      <c r="G87" s="39">
        <f t="shared" si="4"/>
        <v>0.58260152540560861</v>
      </c>
      <c r="H87" s="39">
        <f t="shared" si="5"/>
        <v>21.011111111111109</v>
      </c>
      <c r="I87" s="431">
        <f t="shared" si="6"/>
        <v>4.7593865679534643E-2</v>
      </c>
      <c r="J87" s="431">
        <f t="shared" si="7"/>
        <v>0.62377281362430714</v>
      </c>
      <c r="K87" s="431">
        <f t="shared" si="8"/>
        <v>2.7728258744846527E-2</v>
      </c>
    </row>
    <row r="88" spans="3:14">
      <c r="C88" s="4">
        <f t="shared" si="10"/>
        <v>1800</v>
      </c>
      <c r="D88" s="37">
        <f t="shared" si="2"/>
        <v>2260</v>
      </c>
      <c r="E88" s="38">
        <f t="shared" si="3"/>
        <v>10.620594687733073</v>
      </c>
      <c r="F88" s="37">
        <f t="shared" si="11"/>
        <v>18</v>
      </c>
      <c r="G88" s="39">
        <f t="shared" si="4"/>
        <v>0.59003303820739295</v>
      </c>
      <c r="H88" s="39">
        <f t="shared" si="5"/>
        <v>21.011111111111109</v>
      </c>
      <c r="I88" s="431">
        <f t="shared" si="6"/>
        <v>4.7593865679534643E-2</v>
      </c>
      <c r="J88" s="431">
        <f t="shared" si="7"/>
        <v>0.62377281362430714</v>
      </c>
      <c r="K88" s="431">
        <f t="shared" si="8"/>
        <v>2.8081953166930393E-2</v>
      </c>
    </row>
    <row r="89" spans="3:14">
      <c r="C89" s="4">
        <f t="shared" si="10"/>
        <v>1900</v>
      </c>
      <c r="D89" s="37">
        <f t="shared" si="2"/>
        <v>2360</v>
      </c>
      <c r="E89" s="38">
        <f t="shared" si="3"/>
        <v>10.748915580525086</v>
      </c>
      <c r="F89" s="37">
        <f t="shared" si="11"/>
        <v>18</v>
      </c>
      <c r="G89" s="39">
        <f t="shared" si="4"/>
        <v>0.59716197669583815</v>
      </c>
      <c r="H89" s="39">
        <f t="shared" si="5"/>
        <v>21.011111111111109</v>
      </c>
      <c r="I89" s="431">
        <f t="shared" si="6"/>
        <v>4.7593865679534643E-2</v>
      </c>
      <c r="J89" s="431">
        <f t="shared" si="7"/>
        <v>0.62377281362430714</v>
      </c>
      <c r="K89" s="431">
        <f t="shared" si="8"/>
        <v>2.8421246907787117E-2</v>
      </c>
    </row>
    <row r="90" spans="3:14">
      <c r="C90" s="4">
        <f t="shared" si="10"/>
        <v>2000</v>
      </c>
      <c r="D90" s="37">
        <f t="shared" si="2"/>
        <v>2460</v>
      </c>
      <c r="E90" s="38">
        <f t="shared" si="3"/>
        <v>10.872098747513114</v>
      </c>
      <c r="F90" s="37">
        <f t="shared" si="11"/>
        <v>18</v>
      </c>
      <c r="G90" s="39">
        <f t="shared" si="4"/>
        <v>0.60400548597295078</v>
      </c>
      <c r="H90" s="39">
        <f t="shared" si="5"/>
        <v>21.011111111111109</v>
      </c>
      <c r="I90" s="431">
        <f t="shared" si="6"/>
        <v>4.7593865679534643E-2</v>
      </c>
      <c r="J90" s="431">
        <f t="shared" si="7"/>
        <v>0.62377281362430714</v>
      </c>
      <c r="K90" s="431">
        <f t="shared" si="8"/>
        <v>2.8746955969098664E-2</v>
      </c>
    </row>
    <row r="91" spans="3:14">
      <c r="C91" s="4">
        <f t="shared" si="10"/>
        <v>2100</v>
      </c>
      <c r="D91" s="37">
        <f t="shared" si="2"/>
        <v>2560</v>
      </c>
      <c r="E91" s="38">
        <f t="shared" si="3"/>
        <v>10.990438980496736</v>
      </c>
      <c r="F91" s="37">
        <f t="shared" si="11"/>
        <v>18</v>
      </c>
      <c r="G91" s="39">
        <f t="shared" si="4"/>
        <v>0.6105799433609298</v>
      </c>
      <c r="H91" s="39">
        <f t="shared" si="5"/>
        <v>21.011111111111109</v>
      </c>
      <c r="I91" s="431">
        <f t="shared" si="6"/>
        <v>4.7593865679534643E-2</v>
      </c>
      <c r="J91" s="431">
        <f t="shared" si="7"/>
        <v>0.62377281362430714</v>
      </c>
      <c r="K91" s="431">
        <f t="shared" si="8"/>
        <v>2.9059859810937963E-2</v>
      </c>
    </row>
    <row r="92" spans="3:14">
      <c r="C92" s="4">
        <f t="shared" si="10"/>
        <v>2200</v>
      </c>
      <c r="D92" s="37">
        <f t="shared" si="2"/>
        <v>2660</v>
      </c>
      <c r="E92" s="38">
        <f t="shared" si="3"/>
        <v>11.104215362312942</v>
      </c>
      <c r="F92" s="37">
        <f t="shared" si="11"/>
        <v>18</v>
      </c>
      <c r="G92" s="39">
        <f t="shared" si="4"/>
        <v>0.6169008534618301</v>
      </c>
      <c r="H92" s="39">
        <f t="shared" si="5"/>
        <v>21.011111111111109</v>
      </c>
      <c r="I92" s="431">
        <f t="shared" si="6"/>
        <v>4.7593865679534643E-2</v>
      </c>
      <c r="J92" s="431">
        <f t="shared" si="7"/>
        <v>0.62377281362430714</v>
      </c>
      <c r="K92" s="431">
        <f t="shared" si="8"/>
        <v>2.9360696357252625E-2</v>
      </c>
    </row>
    <row r="93" spans="3:14">
      <c r="C93" s="4">
        <f t="shared" si="10"/>
        <v>2300</v>
      </c>
      <c r="D93" s="37">
        <f t="shared" si="2"/>
        <v>2760</v>
      </c>
      <c r="E93" s="38">
        <f t="shared" si="3"/>
        <v>11.213690514016628</v>
      </c>
      <c r="F93" s="37">
        <f t="shared" si="11"/>
        <v>18</v>
      </c>
      <c r="G93" s="39">
        <f t="shared" si="4"/>
        <v>0.62298280633425707</v>
      </c>
      <c r="H93" s="39">
        <f t="shared" si="5"/>
        <v>21.011111111111109</v>
      </c>
      <c r="I93" s="431">
        <f t="shared" si="6"/>
        <v>4.7593865679534643E-2</v>
      </c>
      <c r="J93" s="431">
        <f t="shared" si="7"/>
        <v>0.62377281362430714</v>
      </c>
      <c r="K93" s="431">
        <f t="shared" si="8"/>
        <v>2.9650160005332174E-2</v>
      </c>
    </row>
    <row r="94" spans="3:14">
      <c r="C94" s="440">
        <f>'Av.Ht.Solid - current '!C88</f>
        <v>0</v>
      </c>
      <c r="D94" s="441">
        <f t="shared" si="2"/>
        <v>460</v>
      </c>
      <c r="E94" s="442">
        <f t="shared" si="3"/>
        <v>8.3290793001135874</v>
      </c>
      <c r="F94" s="441">
        <f t="shared" si="11"/>
        <v>18</v>
      </c>
      <c r="G94" s="443">
        <f t="shared" si="4"/>
        <v>0.46272662778408818</v>
      </c>
      <c r="H94" s="443">
        <f t="shared" si="5"/>
        <v>21.011111111111109</v>
      </c>
      <c r="I94" s="444">
        <f t="shared" si="6"/>
        <v>4.7593865679534643E-2</v>
      </c>
      <c r="J94" s="444">
        <f t="shared" si="7"/>
        <v>0.62377281362430714</v>
      </c>
      <c r="K94" s="444">
        <f t="shared" si="8"/>
        <v>2.2022948969099915E-2</v>
      </c>
    </row>
    <row r="95" spans="3:14">
      <c r="C95" s="445"/>
      <c r="D95" s="446"/>
      <c r="E95" s="447"/>
      <c r="F95" s="446"/>
      <c r="G95" s="448"/>
      <c r="H95" s="448"/>
      <c r="I95" s="449"/>
      <c r="J95" s="449"/>
      <c r="K95" s="449"/>
    </row>
    <row r="96" spans="3:14">
      <c r="C96" s="445"/>
      <c r="D96" s="446"/>
      <c r="E96" s="447"/>
      <c r="F96" s="446"/>
      <c r="G96" s="448"/>
      <c r="H96" s="448"/>
      <c r="I96" s="449"/>
      <c r="J96" s="449"/>
      <c r="K96" s="449"/>
    </row>
    <row r="97" spans="3:11">
      <c r="C97" s="445"/>
      <c r="D97" s="446"/>
      <c r="E97" s="447"/>
      <c r="F97" s="446"/>
      <c r="G97" s="448"/>
      <c r="H97" s="448"/>
      <c r="I97" s="449"/>
      <c r="J97" s="449"/>
      <c r="K97" s="449"/>
    </row>
    <row r="100" spans="3:11">
      <c r="C100" s="99">
        <v>300</v>
      </c>
      <c r="D100" s="99">
        <v>0.44849749926931831</v>
      </c>
      <c r="E100" s="99">
        <f t="shared" ref="E100:E120" si="12">0.424+6*10^-5*C100+7*10^-8*C100^2-4*10^-11*C100^3+8*10^-15*C100^4</f>
        <v>0.44728479999999998</v>
      </c>
      <c r="F100" s="450">
        <f t="shared" ref="F100:F120" si="13">(D100-E100)/D100</f>
        <v>2.7039153424356448E-3</v>
      </c>
    </row>
    <row r="101" spans="3:11">
      <c r="C101" s="99">
        <v>400</v>
      </c>
      <c r="D101" s="99">
        <v>0.4568555110758058</v>
      </c>
      <c r="E101" s="99">
        <f t="shared" si="12"/>
        <v>0.4568448</v>
      </c>
      <c r="F101" s="450">
        <f t="shared" si="13"/>
        <v>2.3445215272942999E-5</v>
      </c>
    </row>
    <row r="102" spans="3:11">
      <c r="C102" s="99">
        <v>500</v>
      </c>
      <c r="D102" s="99">
        <v>0.46691154736767221</v>
      </c>
      <c r="E102" s="99">
        <f t="shared" si="12"/>
        <v>0.46700000000000003</v>
      </c>
      <c r="F102" s="450">
        <f t="shared" si="13"/>
        <v>-1.894419463953958E-4</v>
      </c>
    </row>
    <row r="103" spans="3:11">
      <c r="C103" s="99">
        <v>600</v>
      </c>
      <c r="D103" s="99">
        <v>0.47770902558998685</v>
      </c>
      <c r="E103" s="99">
        <f t="shared" si="12"/>
        <v>0.47759679999999999</v>
      </c>
      <c r="F103" s="450">
        <f t="shared" si="13"/>
        <v>2.349245753694021E-4</v>
      </c>
    </row>
    <row r="104" spans="3:11">
      <c r="C104" s="99">
        <v>700</v>
      </c>
      <c r="D104" s="99">
        <v>0.4887218716036339</v>
      </c>
      <c r="E104" s="99">
        <f t="shared" si="12"/>
        <v>0.48850079999999996</v>
      </c>
      <c r="F104" s="450">
        <f t="shared" si="13"/>
        <v>4.5234644995227987E-4</v>
      </c>
    </row>
    <row r="105" spans="3:11">
      <c r="C105" s="99">
        <v>800</v>
      </c>
      <c r="D105" s="99">
        <v>0.49965618240463744</v>
      </c>
      <c r="E105" s="99">
        <f t="shared" si="12"/>
        <v>0.49959679999999995</v>
      </c>
      <c r="F105" s="450">
        <f t="shared" si="13"/>
        <v>1.1884653233290155E-4</v>
      </c>
    </row>
    <row r="106" spans="3:11">
      <c r="C106" s="99">
        <v>900</v>
      </c>
      <c r="D106" s="99">
        <v>0.51034835931309575</v>
      </c>
      <c r="E106" s="99">
        <f t="shared" si="12"/>
        <v>0.51078880000000004</v>
      </c>
      <c r="F106" s="450">
        <f t="shared" si="13"/>
        <v>-8.6301969795123763E-4</v>
      </c>
    </row>
    <row r="107" spans="3:11">
      <c r="C107" s="99">
        <v>1000</v>
      </c>
      <c r="D107" s="99">
        <v>0.52071012289177676</v>
      </c>
      <c r="E107" s="99">
        <f t="shared" si="12"/>
        <v>0.52200000000000002</v>
      </c>
      <c r="F107" s="450">
        <f t="shared" si="13"/>
        <v>-2.4771500524320396E-3</v>
      </c>
    </row>
    <row r="108" spans="3:11">
      <c r="C108" s="99">
        <v>1100</v>
      </c>
      <c r="D108" s="99">
        <v>0.53069762522047681</v>
      </c>
      <c r="E108" s="99">
        <f t="shared" si="12"/>
        <v>0.5331728</v>
      </c>
      <c r="F108" s="450">
        <f t="shared" si="13"/>
        <v>-4.6640019888818766E-3</v>
      </c>
    </row>
    <row r="109" spans="3:11">
      <c r="C109" s="99">
        <v>1200</v>
      </c>
      <c r="D109" s="99">
        <v>0.54029353238851208</v>
      </c>
      <c r="E109" s="99">
        <f t="shared" si="12"/>
        <v>0.5442688</v>
      </c>
      <c r="F109" s="450">
        <f t="shared" si="13"/>
        <v>-7.357607250847862E-3</v>
      </c>
    </row>
    <row r="110" spans="3:11">
      <c r="C110" s="99">
        <v>1300</v>
      </c>
      <c r="D110" s="99">
        <v>0.5494963606596206</v>
      </c>
      <c r="E110" s="99">
        <f t="shared" si="12"/>
        <v>0.55526880000000001</v>
      </c>
      <c r="F110" s="450">
        <f t="shared" si="13"/>
        <v>-1.0504963733426948E-2</v>
      </c>
    </row>
    <row r="111" spans="3:11">
      <c r="C111" s="99">
        <v>1400</v>
      </c>
      <c r="D111" s="99">
        <v>0.55831400144861698</v>
      </c>
      <c r="E111" s="99">
        <f t="shared" si="12"/>
        <v>0.56617280000000003</v>
      </c>
      <c r="F111" s="450">
        <f t="shared" si="13"/>
        <v>-1.4075947461450715E-2</v>
      </c>
    </row>
    <row r="112" spans="3:11">
      <c r="C112" s="99">
        <v>1500</v>
      </c>
      <c r="D112" s="99">
        <v>0.56675973118800127</v>
      </c>
      <c r="E112" s="99">
        <f t="shared" si="12"/>
        <v>0.57699999999999996</v>
      </c>
      <c r="F112" s="450">
        <f t="shared" si="13"/>
        <v>-1.8068095258874105E-2</v>
      </c>
    </row>
    <row r="113" spans="2:11">
      <c r="C113">
        <v>1600</v>
      </c>
      <c r="D113">
        <v>0.57484972884655883</v>
      </c>
      <c r="E113">
        <f t="shared" si="12"/>
        <v>0.58778880000000011</v>
      </c>
      <c r="F113" s="451">
        <f t="shared" si="13"/>
        <v>-2.2508614867756217E-2</v>
      </c>
    </row>
    <row r="114" spans="2:11">
      <c r="C114">
        <v>1700</v>
      </c>
      <c r="D114">
        <v>0.58260152540560861</v>
      </c>
      <c r="E114">
        <f t="shared" si="12"/>
        <v>0.59859680000000004</v>
      </c>
      <c r="F114" s="451">
        <f t="shared" si="13"/>
        <v>-2.74549136877997E-2</v>
      </c>
    </row>
    <row r="115" spans="2:11">
      <c r="C115">
        <v>1800</v>
      </c>
      <c r="D115">
        <v>0.59003303820739295</v>
      </c>
      <c r="E115">
        <f t="shared" si="12"/>
        <v>0.60950079999999995</v>
      </c>
      <c r="F115" s="451">
        <f t="shared" si="13"/>
        <v>-3.2994358844299514E-2</v>
      </c>
    </row>
    <row r="116" spans="2:11">
      <c r="C116">
        <v>1900</v>
      </c>
      <c r="D116">
        <v>0.59716197669583815</v>
      </c>
      <c r="E116">
        <f t="shared" si="12"/>
        <v>0.62059680000000006</v>
      </c>
      <c r="F116" s="451">
        <f t="shared" si="13"/>
        <v>-3.9243662889973885E-2</v>
      </c>
    </row>
    <row r="117" spans="2:11">
      <c r="C117">
        <v>2000</v>
      </c>
      <c r="D117">
        <v>0.60400548597295078</v>
      </c>
      <c r="E117">
        <f t="shared" si="12"/>
        <v>0.63200000000000001</v>
      </c>
      <c r="F117" s="451">
        <f t="shared" si="13"/>
        <v>-4.6348112189667931E-2</v>
      </c>
    </row>
    <row r="118" spans="2:11">
      <c r="C118">
        <v>2100</v>
      </c>
      <c r="D118">
        <v>0.6105799433609298</v>
      </c>
      <c r="E118">
        <f t="shared" si="12"/>
        <v>0.64384480000000011</v>
      </c>
      <c r="F118" s="451">
        <f t="shared" si="13"/>
        <v>-5.448075555178624E-2</v>
      </c>
    </row>
    <row r="119" spans="2:11">
      <c r="C119">
        <v>2200</v>
      </c>
      <c r="D119">
        <v>0.6169008534618301</v>
      </c>
      <c r="E119">
        <f t="shared" si="12"/>
        <v>0.65628480000000011</v>
      </c>
      <c r="F119" s="451">
        <f t="shared" si="13"/>
        <v>-6.3841614608184105E-2</v>
      </c>
    </row>
    <row r="120" spans="2:11">
      <c r="C120">
        <v>2300</v>
      </c>
      <c r="D120">
        <v>0.62298280633425707</v>
      </c>
      <c r="E120">
        <f t="shared" si="12"/>
        <v>0.66949280000000022</v>
      </c>
      <c r="F120" s="451">
        <f t="shared" si="13"/>
        <v>-7.465694589456863E-2</v>
      </c>
    </row>
    <row r="125" spans="2:11">
      <c r="F125" s="452"/>
    </row>
    <row r="126" spans="2:11">
      <c r="D126" t="s">
        <v>1066</v>
      </c>
      <c r="E126" t="s">
        <v>416</v>
      </c>
      <c r="G126" t="s">
        <v>417</v>
      </c>
    </row>
    <row r="127" spans="2:11">
      <c r="B127">
        <f t="shared" ref="B127:B142" si="14">B128-100</f>
        <v>0</v>
      </c>
      <c r="C127">
        <f t="shared" ref="C127:C150" si="15">B127+460</f>
        <v>460</v>
      </c>
      <c r="D127" s="453">
        <f t="shared" ref="D127:D150" si="16">(19.86-597/C127^0.5+7500/C127)/(18*21.011)</f>
        <v>2.202306543163525E-2</v>
      </c>
      <c r="E127" s="453">
        <f t="shared" ref="E127:E150" si="17">(19.86-597/C127^0.5+7500/C127)/18</f>
        <v>0.46272662778408818</v>
      </c>
      <c r="G127">
        <f t="shared" ref="G127:G150" si="18">($K$73+(D127-$K$73)/2)</f>
        <v>2.1684397584733187E-2</v>
      </c>
      <c r="I127" s="426">
        <f t="shared" ref="I127:I150" si="19">(D127+$D$127)/2</f>
        <v>2.202306543163525E-2</v>
      </c>
      <c r="K127" s="426">
        <f t="shared" ref="K127:K150" si="20">(D127-I127)/D127</f>
        <v>0</v>
      </c>
    </row>
    <row r="128" spans="2:11">
      <c r="B128">
        <f t="shared" si="14"/>
        <v>100</v>
      </c>
      <c r="C128">
        <f t="shared" si="15"/>
        <v>560</v>
      </c>
      <c r="D128" s="453">
        <f t="shared" si="16"/>
        <v>2.1219050971213283E-2</v>
      </c>
      <c r="E128" s="453">
        <f t="shared" si="17"/>
        <v>0.44583347995616229</v>
      </c>
      <c r="G128">
        <f t="shared" si="18"/>
        <v>2.1282390354522202E-2</v>
      </c>
      <c r="I128" s="426">
        <f t="shared" si="19"/>
        <v>2.1621058201424265E-2</v>
      </c>
      <c r="K128" s="454">
        <f t="shared" si="20"/>
        <v>-1.8945580118373939E-2</v>
      </c>
    </row>
    <row r="129" spans="2:11">
      <c r="B129">
        <f t="shared" si="14"/>
        <v>200</v>
      </c>
      <c r="C129">
        <f t="shared" si="15"/>
        <v>660</v>
      </c>
      <c r="D129" s="453">
        <f t="shared" si="16"/>
        <v>2.1114450315482633E-2</v>
      </c>
      <c r="E129" s="453">
        <f t="shared" si="17"/>
        <v>0.44363571557860559</v>
      </c>
      <c r="G129">
        <f t="shared" si="18"/>
        <v>2.1230090026656878E-2</v>
      </c>
      <c r="I129" s="426">
        <f t="shared" si="19"/>
        <v>2.1568757873558941E-2</v>
      </c>
      <c r="K129" s="454">
        <f t="shared" si="20"/>
        <v>-2.1516428383796353E-2</v>
      </c>
    </row>
    <row r="130" spans="2:11">
      <c r="B130">
        <f t="shared" si="14"/>
        <v>300</v>
      </c>
      <c r="C130">
        <f t="shared" si="15"/>
        <v>760</v>
      </c>
      <c r="D130" s="453">
        <f t="shared" si="16"/>
        <v>2.1345842619071836E-2</v>
      </c>
      <c r="E130" s="453">
        <f t="shared" si="17"/>
        <v>0.44849749926931831</v>
      </c>
      <c r="G130">
        <f t="shared" si="18"/>
        <v>2.1345786178451481E-2</v>
      </c>
      <c r="I130" s="426">
        <f t="shared" si="19"/>
        <v>2.1684454025353544E-2</v>
      </c>
      <c r="K130" s="454">
        <f t="shared" si="20"/>
        <v>-1.5863107974907028E-2</v>
      </c>
    </row>
    <row r="131" spans="2:11">
      <c r="B131">
        <f t="shared" si="14"/>
        <v>400</v>
      </c>
      <c r="C131">
        <f t="shared" si="15"/>
        <v>860</v>
      </c>
      <c r="D131" s="453">
        <f t="shared" si="16"/>
        <v>2.1743634813945353E-2</v>
      </c>
      <c r="E131" s="453">
        <f t="shared" si="17"/>
        <v>0.4568555110758058</v>
      </c>
      <c r="G131">
        <f t="shared" si="18"/>
        <v>2.1544682275888238E-2</v>
      </c>
      <c r="I131" s="426">
        <f t="shared" si="19"/>
        <v>2.1883350122790302E-2</v>
      </c>
      <c r="K131" s="454">
        <f t="shared" si="20"/>
        <v>-6.4255728189171633E-3</v>
      </c>
    </row>
    <row r="132" spans="2:11">
      <c r="B132">
        <f t="shared" si="14"/>
        <v>500</v>
      </c>
      <c r="C132">
        <f t="shared" si="15"/>
        <v>960</v>
      </c>
      <c r="D132" s="453">
        <f t="shared" si="16"/>
        <v>2.2222242985468193E-2</v>
      </c>
      <c r="E132" s="453">
        <f t="shared" si="17"/>
        <v>0.46691154736767221</v>
      </c>
      <c r="G132">
        <f t="shared" si="18"/>
        <v>2.178398636164966E-2</v>
      </c>
      <c r="I132" s="426">
        <f t="shared" si="19"/>
        <v>2.2122654208551723E-2</v>
      </c>
      <c r="K132" s="454">
        <f t="shared" si="20"/>
        <v>4.4814907739778552E-3</v>
      </c>
    </row>
    <row r="133" spans="2:11">
      <c r="B133">
        <f t="shared" si="14"/>
        <v>600</v>
      </c>
      <c r="C133">
        <f t="shared" si="15"/>
        <v>1060</v>
      </c>
      <c r="D133" s="453">
        <f t="shared" si="16"/>
        <v>2.2736139431249674E-2</v>
      </c>
      <c r="E133" s="453">
        <f t="shared" si="17"/>
        <v>0.47770902558998685</v>
      </c>
      <c r="G133">
        <f t="shared" si="18"/>
        <v>2.20409345845404E-2</v>
      </c>
      <c r="I133" s="426">
        <f t="shared" si="19"/>
        <v>2.2379602431442464E-2</v>
      </c>
      <c r="K133" s="454">
        <f t="shared" si="20"/>
        <v>1.5681510085972124E-2</v>
      </c>
    </row>
    <row r="134" spans="2:11">
      <c r="B134">
        <f t="shared" si="14"/>
        <v>700</v>
      </c>
      <c r="C134">
        <f t="shared" si="15"/>
        <v>1160</v>
      </c>
      <c r="D134" s="453">
        <f t="shared" si="16"/>
        <v>2.3260286116968915E-2</v>
      </c>
      <c r="E134" s="453">
        <f t="shared" si="17"/>
        <v>0.4887218716036339</v>
      </c>
      <c r="G134">
        <f t="shared" si="18"/>
        <v>2.2303007927400018E-2</v>
      </c>
      <c r="I134" s="426">
        <f t="shared" si="19"/>
        <v>2.2641675774302081E-2</v>
      </c>
      <c r="K134" s="454">
        <f t="shared" si="20"/>
        <v>2.6595130410521646E-2</v>
      </c>
    </row>
    <row r="135" spans="2:11">
      <c r="B135">
        <f t="shared" si="14"/>
        <v>800</v>
      </c>
      <c r="C135">
        <f t="shared" si="15"/>
        <v>1260</v>
      </c>
      <c r="D135" s="453">
        <f t="shared" si="16"/>
        <v>2.3780694988560159E-2</v>
      </c>
      <c r="E135" s="453">
        <f t="shared" si="17"/>
        <v>0.49965618240463744</v>
      </c>
      <c r="G135">
        <f t="shared" si="18"/>
        <v>2.2563212363195639E-2</v>
      </c>
      <c r="I135" s="426">
        <f t="shared" si="19"/>
        <v>2.2901880210097703E-2</v>
      </c>
      <c r="K135" s="454">
        <f t="shared" si="20"/>
        <v>3.6954966155750085E-2</v>
      </c>
    </row>
    <row r="136" spans="2:11">
      <c r="B136">
        <f t="shared" si="14"/>
        <v>900</v>
      </c>
      <c r="C136">
        <f t="shared" si="15"/>
        <v>1360</v>
      </c>
      <c r="D136" s="453">
        <f t="shared" si="16"/>
        <v>2.4289579711251046E-2</v>
      </c>
      <c r="E136" s="453">
        <f t="shared" si="17"/>
        <v>0.51034835931309575</v>
      </c>
      <c r="G136">
        <f t="shared" si="18"/>
        <v>2.2817654724541087E-2</v>
      </c>
      <c r="I136" s="426">
        <f t="shared" si="19"/>
        <v>2.315632257144315E-2</v>
      </c>
      <c r="K136" s="454">
        <f t="shared" si="20"/>
        <v>4.6656103287080204E-2</v>
      </c>
    </row>
    <row r="137" spans="2:11">
      <c r="B137">
        <f t="shared" si="14"/>
        <v>1000</v>
      </c>
      <c r="C137">
        <f t="shared" si="15"/>
        <v>1460</v>
      </c>
      <c r="D137" s="453">
        <f t="shared" si="16"/>
        <v>2.4782738703144867E-2</v>
      </c>
      <c r="E137" s="453">
        <f t="shared" si="17"/>
        <v>0.52071012289177676</v>
      </c>
      <c r="G137">
        <f t="shared" si="18"/>
        <v>2.3064234220487995E-2</v>
      </c>
      <c r="I137" s="426">
        <f t="shared" si="19"/>
        <v>2.3402902067390059E-2</v>
      </c>
      <c r="K137" s="454">
        <f t="shared" si="20"/>
        <v>5.5677326557121425E-2</v>
      </c>
    </row>
    <row r="138" spans="2:11">
      <c r="B138">
        <f t="shared" si="14"/>
        <v>1100</v>
      </c>
      <c r="C138">
        <f t="shared" si="15"/>
        <v>1560</v>
      </c>
      <c r="D138" s="453">
        <f t="shared" si="16"/>
        <v>2.5258085061181136E-2</v>
      </c>
      <c r="E138" s="453">
        <f t="shared" si="17"/>
        <v>0.53069762522047681</v>
      </c>
      <c r="G138">
        <f t="shared" si="18"/>
        <v>2.330190739950613E-2</v>
      </c>
      <c r="I138" s="426">
        <f t="shared" si="19"/>
        <v>2.3640575246408193E-2</v>
      </c>
      <c r="K138" s="454">
        <f t="shared" si="20"/>
        <v>6.4039289235702027E-2</v>
      </c>
    </row>
    <row r="139" spans="2:11">
      <c r="B139">
        <f t="shared" si="14"/>
        <v>1200</v>
      </c>
      <c r="C139">
        <f t="shared" si="15"/>
        <v>1660</v>
      </c>
      <c r="D139" s="453">
        <f t="shared" si="16"/>
        <v>2.5714793793180341E-2</v>
      </c>
      <c r="E139" s="453">
        <f t="shared" si="17"/>
        <v>0.54029353238851208</v>
      </c>
      <c r="G139">
        <f t="shared" si="18"/>
        <v>2.3530261765505732E-2</v>
      </c>
      <c r="I139" s="426">
        <f t="shared" si="19"/>
        <v>2.3868929612407795E-2</v>
      </c>
      <c r="K139" s="454">
        <f t="shared" si="20"/>
        <v>7.1782188712789741E-2</v>
      </c>
    </row>
    <row r="140" spans="2:11">
      <c r="B140">
        <f t="shared" si="14"/>
        <v>1300</v>
      </c>
      <c r="C140">
        <f t="shared" si="15"/>
        <v>1760</v>
      </c>
      <c r="D140" s="453">
        <f t="shared" si="16"/>
        <v>2.6152794282024685E-2</v>
      </c>
      <c r="E140" s="453">
        <f t="shared" si="17"/>
        <v>0.5494963606596206</v>
      </c>
      <c r="G140">
        <f t="shared" si="18"/>
        <v>2.3749262009927906E-2</v>
      </c>
      <c r="I140" s="426">
        <f t="shared" si="19"/>
        <v>2.4087929856829969E-2</v>
      </c>
      <c r="K140" s="454">
        <f t="shared" si="20"/>
        <v>7.8953874026911786E-2</v>
      </c>
    </row>
    <row r="141" spans="2:11">
      <c r="B141">
        <f t="shared" si="14"/>
        <v>1400</v>
      </c>
      <c r="C141">
        <f t="shared" si="15"/>
        <v>1860</v>
      </c>
      <c r="D141" s="453">
        <f t="shared" si="16"/>
        <v>2.6572462112637047E-2</v>
      </c>
      <c r="E141" s="453">
        <f t="shared" si="17"/>
        <v>0.55831400144861698</v>
      </c>
      <c r="G141">
        <f t="shared" si="18"/>
        <v>2.3959095925234083E-2</v>
      </c>
      <c r="I141" s="426">
        <f t="shared" si="19"/>
        <v>2.4297763772136147E-2</v>
      </c>
      <c r="K141" s="454">
        <f t="shared" si="20"/>
        <v>8.5603597094569703E-2</v>
      </c>
    </row>
    <row r="142" spans="2:11">
      <c r="B142">
        <f t="shared" si="14"/>
        <v>1500</v>
      </c>
      <c r="C142">
        <f t="shared" si="15"/>
        <v>1960</v>
      </c>
      <c r="D142" s="453">
        <f t="shared" si="16"/>
        <v>2.6974429165104053E-2</v>
      </c>
      <c r="E142" s="453">
        <f t="shared" si="17"/>
        <v>0.56675973118800127</v>
      </c>
      <c r="G142">
        <f t="shared" si="18"/>
        <v>2.4160079451467587E-2</v>
      </c>
      <c r="I142" s="426">
        <f t="shared" si="19"/>
        <v>2.449874729836965E-2</v>
      </c>
      <c r="K142" s="454">
        <f t="shared" si="20"/>
        <v>9.1778841790547058E-2</v>
      </c>
    </row>
    <row r="143" spans="2:11">
      <c r="B143">
        <v>1600</v>
      </c>
      <c r="C143">
        <f t="shared" si="15"/>
        <v>2060</v>
      </c>
      <c r="D143" s="453">
        <f t="shared" si="16"/>
        <v>2.7359465463164954E-2</v>
      </c>
      <c r="E143" s="453">
        <f t="shared" si="17"/>
        <v>0.57484972884655883</v>
      </c>
      <c r="G143">
        <f t="shared" si="18"/>
        <v>2.4352597600498037E-2</v>
      </c>
      <c r="I143" s="426">
        <f t="shared" si="19"/>
        <v>2.46912654474001E-2</v>
      </c>
      <c r="K143" s="454">
        <f t="shared" si="20"/>
        <v>9.7523835740034787E-2</v>
      </c>
    </row>
    <row r="144" spans="2:11">
      <c r="B144">
        <v>1700</v>
      </c>
      <c r="C144">
        <f t="shared" si="15"/>
        <v>2160</v>
      </c>
      <c r="D144" s="453">
        <f t="shared" si="16"/>
        <v>2.77284053784022E-2</v>
      </c>
      <c r="E144" s="453">
        <f t="shared" si="17"/>
        <v>0.58260152540560861</v>
      </c>
      <c r="G144">
        <f t="shared" si="18"/>
        <v>2.453706755811666E-2</v>
      </c>
      <c r="I144" s="426">
        <f t="shared" si="19"/>
        <v>2.4875735405018723E-2</v>
      </c>
      <c r="K144" s="454">
        <f t="shared" si="20"/>
        <v>0.10287897679126677</v>
      </c>
    </row>
    <row r="145" spans="2:11">
      <c r="B145">
        <v>1800</v>
      </c>
      <c r="C145">
        <f t="shared" si="15"/>
        <v>2260</v>
      </c>
      <c r="D145" s="453">
        <f t="shared" si="16"/>
        <v>2.8082101670905382E-2</v>
      </c>
      <c r="E145" s="453">
        <f t="shared" si="17"/>
        <v>0.59003303820739295</v>
      </c>
      <c r="G145">
        <f t="shared" si="18"/>
        <v>2.4713915704368254E-2</v>
      </c>
      <c r="I145" s="426">
        <f t="shared" si="19"/>
        <v>2.5052583551270317E-2</v>
      </c>
      <c r="K145" s="454">
        <f t="shared" si="20"/>
        <v>0.10788074750024189</v>
      </c>
    </row>
    <row r="146" spans="2:11">
      <c r="B146">
        <v>1900</v>
      </c>
      <c r="C146">
        <f t="shared" si="15"/>
        <v>2360</v>
      </c>
      <c r="D146" s="453">
        <f t="shared" si="16"/>
        <v>2.8421397206027231E-2</v>
      </c>
      <c r="E146" s="453">
        <f t="shared" si="17"/>
        <v>0.59716197669583815</v>
      </c>
      <c r="G146">
        <f t="shared" si="18"/>
        <v>2.4883563471929177E-2</v>
      </c>
      <c r="I146" s="426">
        <f t="shared" si="19"/>
        <v>2.522223131883124E-2</v>
      </c>
      <c r="K146" s="454">
        <f t="shared" si="20"/>
        <v>0.11256187948837203</v>
      </c>
    </row>
    <row r="147" spans="2:11">
      <c r="B147">
        <v>2000</v>
      </c>
      <c r="C147">
        <f t="shared" si="15"/>
        <v>2460</v>
      </c>
      <c r="D147" s="453">
        <f t="shared" si="16"/>
        <v>2.8747107989764924E-2</v>
      </c>
      <c r="E147" s="453">
        <f t="shared" si="17"/>
        <v>0.60400548597295078</v>
      </c>
      <c r="G147">
        <f t="shared" si="18"/>
        <v>2.5046418863798024E-2</v>
      </c>
      <c r="I147" s="426">
        <f t="shared" si="19"/>
        <v>2.5385086710700087E-2</v>
      </c>
      <c r="K147" s="454">
        <f t="shared" si="20"/>
        <v>0.11695163493530709</v>
      </c>
    </row>
    <row r="148" spans="2:11">
      <c r="B148">
        <v>2100</v>
      </c>
      <c r="C148">
        <f t="shared" si="15"/>
        <v>2560</v>
      </c>
      <c r="D148" s="453">
        <f t="shared" si="16"/>
        <v>2.906001348631335E-2</v>
      </c>
      <c r="E148" s="453">
        <f t="shared" si="17"/>
        <v>0.6105799433609298</v>
      </c>
      <c r="G148">
        <f t="shared" si="18"/>
        <v>2.5202871612072235E-2</v>
      </c>
      <c r="I148" s="426">
        <f t="shared" si="19"/>
        <v>2.5541539458974298E-2</v>
      </c>
      <c r="K148" s="454">
        <f t="shared" si="20"/>
        <v>0.12107613195004807</v>
      </c>
    </row>
    <row r="149" spans="2:11">
      <c r="B149">
        <v>2200</v>
      </c>
      <c r="C149">
        <f t="shared" si="15"/>
        <v>2660</v>
      </c>
      <c r="D149" s="453">
        <f t="shared" si="16"/>
        <v>2.9360851623522449E-2</v>
      </c>
      <c r="E149" s="453">
        <f t="shared" si="17"/>
        <v>0.6169008534618301</v>
      </c>
      <c r="G149">
        <f t="shared" si="18"/>
        <v>2.5353290680676786E-2</v>
      </c>
      <c r="I149" s="426">
        <f t="shared" si="19"/>
        <v>2.569195852757885E-2</v>
      </c>
      <c r="K149" s="454">
        <f t="shared" si="20"/>
        <v>0.12495867432551805</v>
      </c>
    </row>
    <row r="150" spans="2:11">
      <c r="B150">
        <v>2300</v>
      </c>
      <c r="C150">
        <f t="shared" si="15"/>
        <v>2760</v>
      </c>
      <c r="D150" s="453">
        <f t="shared" si="16"/>
        <v>2.965031680235387E-2</v>
      </c>
      <c r="E150" s="453">
        <f t="shared" si="17"/>
        <v>0.62298280633425707</v>
      </c>
      <c r="G150">
        <f t="shared" si="18"/>
        <v>2.5498023270092499E-2</v>
      </c>
      <c r="I150" s="426">
        <f t="shared" si="19"/>
        <v>2.5836691116994562E-2</v>
      </c>
      <c r="K150" s="454">
        <f t="shared" si="20"/>
        <v>0.12862006536997789</v>
      </c>
    </row>
    <row r="154" spans="2:11">
      <c r="B154" t="s">
        <v>418</v>
      </c>
    </row>
    <row r="155" spans="2:11">
      <c r="D155" t="s">
        <v>419</v>
      </c>
    </row>
    <row r="157" spans="2:11">
      <c r="D157">
        <v>19.86</v>
      </c>
      <c r="E157">
        <v>597</v>
      </c>
      <c r="F157">
        <v>7500</v>
      </c>
    </row>
    <row r="159" spans="2:11">
      <c r="B159">
        <v>100</v>
      </c>
    </row>
  </sheetData>
  <mergeCells count="9">
    <mergeCell ref="L8:L9"/>
    <mergeCell ref="L11:L12"/>
    <mergeCell ref="L14:L15"/>
    <mergeCell ref="L17:L18"/>
    <mergeCell ref="L32:L33"/>
    <mergeCell ref="L20:L21"/>
    <mergeCell ref="L23:L24"/>
    <mergeCell ref="L26:L27"/>
    <mergeCell ref="L29:L30"/>
  </mergeCells>
  <phoneticPr fontId="5" type="noConversion"/>
  <pageMargins left="0.75" right="0.75" top="1" bottom="1" header="0.5" footer="0.5"/>
  <headerFooter alignWithMargins="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1:N159"/>
  <sheetViews>
    <sheetView workbookViewId="0"/>
  </sheetViews>
  <sheetFormatPr defaultRowHeight="12.75"/>
  <cols>
    <col min="2" max="2" width="24.85546875" customWidth="1"/>
    <col min="3" max="3" width="9.28515625" bestFit="1" customWidth="1"/>
    <col min="5" max="5" width="16.85546875" customWidth="1"/>
    <col min="7" max="7" width="12.42578125" bestFit="1" customWidth="1"/>
    <col min="9" max="9" width="12.42578125" style="426" customWidth="1"/>
    <col min="10" max="10" width="10.7109375" style="426" customWidth="1"/>
    <col min="11" max="11" width="8.85546875" style="426" customWidth="1"/>
  </cols>
  <sheetData>
    <row r="1" spans="2:12" ht="13.5" thickBot="1"/>
    <row r="2" spans="2:12">
      <c r="B2" s="22" t="s">
        <v>1191</v>
      </c>
      <c r="C2" s="23">
        <v>60</v>
      </c>
    </row>
    <row r="3" spans="2:12" ht="13.5" thickBot="1">
      <c r="B3" s="24" t="s">
        <v>1192</v>
      </c>
      <c r="C3" s="25">
        <v>1000</v>
      </c>
    </row>
    <row r="4" spans="2:12" s="4" customFormat="1">
      <c r="I4" s="427"/>
      <c r="J4" s="427"/>
      <c r="K4" s="427"/>
    </row>
    <row r="5" spans="2:12" s="4" customFormat="1" ht="13.5" thickBot="1">
      <c r="I5" s="427"/>
      <c r="J5" s="427"/>
      <c r="K5" s="427"/>
    </row>
    <row r="6" spans="2:12" s="4" customFormat="1">
      <c r="B6" s="26"/>
      <c r="C6" s="27"/>
      <c r="D6" s="27"/>
      <c r="E6" s="27" t="s">
        <v>1193</v>
      </c>
      <c r="F6" s="27"/>
      <c r="G6" s="27" t="s">
        <v>1193</v>
      </c>
      <c r="H6" s="27" t="s">
        <v>1194</v>
      </c>
      <c r="I6" s="428" t="s">
        <v>1195</v>
      </c>
      <c r="J6" s="29" t="s">
        <v>1196</v>
      </c>
      <c r="K6" s="428" t="s">
        <v>1193</v>
      </c>
      <c r="L6" s="30" t="s">
        <v>1197</v>
      </c>
    </row>
    <row r="7" spans="2:12" s="4" customFormat="1">
      <c r="B7" s="31" t="s">
        <v>1198</v>
      </c>
      <c r="C7" s="32" t="s">
        <v>1199</v>
      </c>
      <c r="D7" s="32" t="s">
        <v>1200</v>
      </c>
      <c r="E7" s="32" t="s">
        <v>1201</v>
      </c>
      <c r="F7" s="32" t="s">
        <v>1202</v>
      </c>
      <c r="G7" s="32" t="s">
        <v>1203</v>
      </c>
      <c r="H7" s="32" t="s">
        <v>1204</v>
      </c>
      <c r="I7" s="429" t="s">
        <v>1205</v>
      </c>
      <c r="J7" s="34" t="s">
        <v>1206</v>
      </c>
      <c r="K7" s="429" t="s">
        <v>1207</v>
      </c>
      <c r="L7" s="430" t="s">
        <v>1207</v>
      </c>
    </row>
    <row r="8" spans="2:12" s="4" customFormat="1">
      <c r="B8" s="36" t="s">
        <v>1208</v>
      </c>
      <c r="C8" s="37">
        <f>C2</f>
        <v>60</v>
      </c>
      <c r="D8" s="37">
        <f>460+C8</f>
        <v>520</v>
      </c>
      <c r="E8" s="38">
        <f>11.515-172/D8^0.5 +1530/D8</f>
        <v>6.9146087262672413</v>
      </c>
      <c r="F8" s="37">
        <v>32</v>
      </c>
      <c r="G8" s="39">
        <f>E8/F8</f>
        <v>0.21608152269585129</v>
      </c>
      <c r="H8" s="39">
        <f>378.2/F8</f>
        <v>11.81875</v>
      </c>
      <c r="I8" s="431">
        <f>1/H8</f>
        <v>8.4611316763617134E-2</v>
      </c>
      <c r="J8" s="431">
        <f>I8/0.0763</f>
        <v>1.1089294464432127</v>
      </c>
      <c r="K8" s="431">
        <f>G8/H8</f>
        <v>1.82829421635834E-2</v>
      </c>
      <c r="L8" s="2599">
        <f>(K8+K9)/2</f>
        <v>1.8159907895190751E-2</v>
      </c>
    </row>
    <row r="9" spans="2:12" s="4" customFormat="1">
      <c r="B9" s="41" t="s">
        <v>1208</v>
      </c>
      <c r="C9" s="432">
        <f>'Av.Ht.Solid - modified'!C88</f>
        <v>0</v>
      </c>
      <c r="D9" s="42">
        <f>460+C9</f>
        <v>460</v>
      </c>
      <c r="E9" s="43">
        <f>11.515-172/D9^0.5 +1530/D9</f>
        <v>6.8215456056550403</v>
      </c>
      <c r="F9" s="42">
        <v>32</v>
      </c>
      <c r="G9" s="44">
        <f>E9/F9</f>
        <v>0.21317330017672001</v>
      </c>
      <c r="H9" s="44">
        <f>378.2/F9</f>
        <v>11.81875</v>
      </c>
      <c r="I9" s="433">
        <f>1/H9</f>
        <v>8.4611316763617134E-2</v>
      </c>
      <c r="J9" s="434">
        <f>I9/0.0763</f>
        <v>1.1089294464432127</v>
      </c>
      <c r="K9" s="433">
        <f>G9/H9</f>
        <v>1.8036873626798098E-2</v>
      </c>
      <c r="L9" s="2600"/>
    </row>
    <row r="10" spans="2:12" s="4" customFormat="1">
      <c r="B10" s="46"/>
      <c r="C10" s="47"/>
      <c r="D10" s="47"/>
      <c r="E10" s="48"/>
      <c r="F10" s="47"/>
      <c r="G10" s="49"/>
      <c r="H10" s="49"/>
      <c r="I10" s="435"/>
      <c r="J10" s="435"/>
      <c r="K10" s="435"/>
      <c r="L10" s="51"/>
    </row>
    <row r="11" spans="2:12" s="4" customFormat="1">
      <c r="B11" s="36" t="s">
        <v>1209</v>
      </c>
      <c r="C11" s="37">
        <f>C8</f>
        <v>60</v>
      </c>
      <c r="D11" s="37">
        <f>460+C11</f>
        <v>520</v>
      </c>
      <c r="E11" s="38">
        <f>9.47-3.47*10^3/D11 +1.07*10^6/D11^2</f>
        <v>6.7540236686390536</v>
      </c>
      <c r="F11" s="37">
        <v>28</v>
      </c>
      <c r="G11" s="39">
        <f>E11/F11</f>
        <v>0.24121513102282335</v>
      </c>
      <c r="H11" s="39">
        <f>378.2/F11</f>
        <v>13.507142857142856</v>
      </c>
      <c r="I11" s="431">
        <f>1/H11</f>
        <v>7.4034902168164995E-2</v>
      </c>
      <c r="J11" s="431">
        <f>I11/0.0763</f>
        <v>0.97031326563781117</v>
      </c>
      <c r="K11" s="431">
        <f>G11/H11</f>
        <v>1.7858338626755829E-2</v>
      </c>
      <c r="L11" s="2599">
        <f>(K11+K12)/2</f>
        <v>1.8161364599176031E-2</v>
      </c>
    </row>
    <row r="12" spans="2:12" s="4" customFormat="1">
      <c r="B12" s="41" t="s">
        <v>1209</v>
      </c>
      <c r="C12" s="42">
        <f>C9</f>
        <v>0</v>
      </c>
      <c r="D12" s="42">
        <f>460+C12</f>
        <v>460</v>
      </c>
      <c r="E12" s="43">
        <f>9.47-3.47*10^3/D12 +1.07*10^6/D12^2</f>
        <v>6.9832325141776943</v>
      </c>
      <c r="F12" s="42">
        <v>28</v>
      </c>
      <c r="G12" s="44">
        <f>E12/F12</f>
        <v>0.24940116122063194</v>
      </c>
      <c r="H12" s="44">
        <f>378.2/F12</f>
        <v>13.507142857142856</v>
      </c>
      <c r="I12" s="433">
        <f>1/H12</f>
        <v>7.4034902168164995E-2</v>
      </c>
      <c r="J12" s="434">
        <f>I12/0.0763</f>
        <v>0.97031326563781117</v>
      </c>
      <c r="K12" s="433">
        <f>G12/H12</f>
        <v>1.8464390571596233E-2</v>
      </c>
      <c r="L12" s="2600"/>
    </row>
    <row r="13" spans="2:12" s="4" customFormat="1">
      <c r="B13" s="46"/>
      <c r="C13" s="47"/>
      <c r="D13" s="47"/>
      <c r="E13" s="48"/>
      <c r="F13" s="47"/>
      <c r="G13" s="49"/>
      <c r="H13" s="49"/>
      <c r="I13" s="435"/>
      <c r="J13" s="435"/>
      <c r="K13" s="435"/>
      <c r="L13" s="51"/>
    </row>
    <row r="14" spans="2:12" s="4" customFormat="1">
      <c r="B14" s="36" t="s">
        <v>1210</v>
      </c>
      <c r="C14" s="37">
        <f>C11</f>
        <v>60</v>
      </c>
      <c r="D14" s="37">
        <f>460+C14</f>
        <v>520</v>
      </c>
      <c r="E14" s="38">
        <f>9.46-3.29*10^3/D14+1.07*10^6/D14^2</f>
        <v>7.0901775147929005</v>
      </c>
      <c r="F14" s="37">
        <v>28</v>
      </c>
      <c r="G14" s="39">
        <f>E14/F14</f>
        <v>0.25322062552831787</v>
      </c>
      <c r="H14" s="39">
        <f>378.2/F14</f>
        <v>13.507142857142856</v>
      </c>
      <c r="I14" s="431">
        <f>1/H14</f>
        <v>7.4034902168164995E-2</v>
      </c>
      <c r="J14" s="431">
        <f>I14/0.0763</f>
        <v>0.97031326563781117</v>
      </c>
      <c r="K14" s="431">
        <f>G14/H14</f>
        <v>1.8747164237950559E-2</v>
      </c>
      <c r="L14" s="2599">
        <f>(K14+K15)/2</f>
        <v>1.9109881513480545E-2</v>
      </c>
    </row>
    <row r="15" spans="2:12" s="4" customFormat="1">
      <c r="B15" s="41" t="s">
        <v>1210</v>
      </c>
      <c r="C15" s="42">
        <f>C12</f>
        <v>0</v>
      </c>
      <c r="D15" s="42">
        <f>460+C15</f>
        <v>460</v>
      </c>
      <c r="E15" s="43">
        <f>9.46-3.29*10^3/D15+1.07*10^6/D15^2</f>
        <v>7.3645368620037814</v>
      </c>
      <c r="F15" s="42">
        <v>28</v>
      </c>
      <c r="G15" s="44">
        <f>E15/F15</f>
        <v>0.26301917364299221</v>
      </c>
      <c r="H15" s="44">
        <f>378.2/F15</f>
        <v>13.507142857142856</v>
      </c>
      <c r="I15" s="433">
        <f>1/H15</f>
        <v>7.4034902168164995E-2</v>
      </c>
      <c r="J15" s="434">
        <f>I15/0.0763</f>
        <v>0.97031326563781117</v>
      </c>
      <c r="K15" s="433">
        <f>G15/H15</f>
        <v>1.9472598789010531E-2</v>
      </c>
      <c r="L15" s="2600"/>
    </row>
    <row r="16" spans="2:12" s="4" customFormat="1">
      <c r="B16" s="46"/>
      <c r="C16" s="47"/>
      <c r="D16" s="47"/>
      <c r="E16" s="48"/>
      <c r="F16" s="47"/>
      <c r="G16" s="49"/>
      <c r="H16" s="49"/>
      <c r="I16" s="435"/>
      <c r="J16" s="435"/>
      <c r="K16" s="435"/>
      <c r="L16" s="51"/>
    </row>
    <row r="17" spans="2:12" s="4" customFormat="1">
      <c r="B17" s="36" t="s">
        <v>1211</v>
      </c>
      <c r="C17" s="37">
        <f>C14</f>
        <v>60</v>
      </c>
      <c r="D17" s="37">
        <f>460+C17</f>
        <v>520</v>
      </c>
      <c r="E17" s="38">
        <f>5.76+0.578*D17/10^3+20/D17^0.5</f>
        <v>6.9376180193070294</v>
      </c>
      <c r="F17" s="37">
        <v>2</v>
      </c>
      <c r="G17" s="39">
        <f>E17/F17</f>
        <v>3.4688090096535147</v>
      </c>
      <c r="H17" s="39">
        <f>378.2/F17</f>
        <v>189.1</v>
      </c>
      <c r="I17" s="431">
        <f>1/H17</f>
        <v>5.2882072977260709E-3</v>
      </c>
      <c r="J17" s="431">
        <f>I17/0.0763</f>
        <v>6.9308090402700792E-2</v>
      </c>
      <c r="K17" s="431">
        <f>G17/H17</f>
        <v>1.8343781119267662E-2</v>
      </c>
      <c r="L17" s="2599">
        <f>(K17+K18)/2</f>
        <v>1.8371235890464493E-2</v>
      </c>
    </row>
    <row r="18" spans="2:12" s="4" customFormat="1">
      <c r="B18" s="41" t="s">
        <v>1211</v>
      </c>
      <c r="C18" s="42">
        <f>C15</f>
        <v>0</v>
      </c>
      <c r="D18" s="42">
        <f>460+C18</f>
        <v>460</v>
      </c>
      <c r="E18" s="43">
        <f>5.76+0.578*D18/10^3+20/D18^0.5</f>
        <v>6.9583848082403135</v>
      </c>
      <c r="F18" s="42">
        <v>2</v>
      </c>
      <c r="G18" s="44">
        <f>E18/F18</f>
        <v>3.4791924041201567</v>
      </c>
      <c r="H18" s="44">
        <f>378.2/F18</f>
        <v>189.1</v>
      </c>
      <c r="I18" s="433">
        <f>1/H18</f>
        <v>5.2882072977260709E-3</v>
      </c>
      <c r="J18" s="434">
        <f>I18/0.0763</f>
        <v>6.9308090402700792E-2</v>
      </c>
      <c r="K18" s="433">
        <f>G18/H18</f>
        <v>1.8398690661661325E-2</v>
      </c>
      <c r="L18" s="2600"/>
    </row>
    <row r="19" spans="2:12" s="4" customFormat="1">
      <c r="B19" s="46"/>
      <c r="C19" s="47"/>
      <c r="D19" s="47"/>
      <c r="E19" s="48"/>
      <c r="F19" s="47"/>
      <c r="G19" s="49"/>
      <c r="H19" s="49"/>
      <c r="I19" s="435"/>
      <c r="J19" s="435"/>
      <c r="K19" s="435"/>
      <c r="L19" s="51"/>
    </row>
    <row r="20" spans="2:12" s="4" customFormat="1">
      <c r="B20" s="36" t="s">
        <v>1212</v>
      </c>
      <c r="C20" s="37">
        <f>C17</f>
        <v>60</v>
      </c>
      <c r="D20" s="37">
        <f>460+C20</f>
        <v>520</v>
      </c>
      <c r="E20" s="38">
        <f>19.86-597/D20^0.5+7500/D20</f>
        <v>8.1028950467621002</v>
      </c>
      <c r="F20" s="37">
        <v>18</v>
      </c>
      <c r="G20" s="39">
        <f>E20/F20</f>
        <v>0.4501608359312278</v>
      </c>
      <c r="H20" s="39">
        <f>378.2/F20</f>
        <v>21.011111111111109</v>
      </c>
      <c r="I20" s="431">
        <f>1/H20</f>
        <v>4.7593865679534643E-2</v>
      </c>
      <c r="J20" s="431">
        <f>I20/0.0763</f>
        <v>0.62377281362430714</v>
      </c>
      <c r="K20" s="431">
        <f>G20/H20</f>
        <v>2.1424894359497886E-2</v>
      </c>
      <c r="L20" s="2599">
        <f>(K20+K21)/2</f>
        <v>2.1723921664298901E-2</v>
      </c>
    </row>
    <row r="21" spans="2:12" s="4" customFormat="1">
      <c r="B21" s="41" t="s">
        <v>1212</v>
      </c>
      <c r="C21" s="42">
        <f>C18</f>
        <v>0</v>
      </c>
      <c r="D21" s="42">
        <f>460+C21</f>
        <v>460</v>
      </c>
      <c r="E21" s="43">
        <f>19.86-597/D21^0.5+7500/D21</f>
        <v>8.3290793001135874</v>
      </c>
      <c r="F21" s="42">
        <v>18</v>
      </c>
      <c r="G21" s="44">
        <f>E21/F21</f>
        <v>0.46272662778408818</v>
      </c>
      <c r="H21" s="44">
        <f>378.2/F21</f>
        <v>21.011111111111109</v>
      </c>
      <c r="I21" s="433">
        <f>1/H21</f>
        <v>4.7593865679534643E-2</v>
      </c>
      <c r="J21" s="434">
        <f>I21/0.0763</f>
        <v>0.62377281362430714</v>
      </c>
      <c r="K21" s="433">
        <f>G21/H21</f>
        <v>2.2022948969099915E-2</v>
      </c>
      <c r="L21" s="2600"/>
    </row>
    <row r="22" spans="2:12" s="4" customFormat="1">
      <c r="B22" s="46"/>
      <c r="C22" s="47"/>
      <c r="D22" s="47"/>
      <c r="E22" s="48"/>
      <c r="F22" s="47"/>
      <c r="G22" s="49"/>
      <c r="H22" s="49"/>
      <c r="I22" s="435"/>
      <c r="J22" s="435"/>
      <c r="K22" s="435"/>
      <c r="L22" s="51"/>
    </row>
    <row r="23" spans="2:12" s="4" customFormat="1">
      <c r="B23" s="36" t="s">
        <v>1213</v>
      </c>
      <c r="C23" s="37">
        <f>C20</f>
        <v>60</v>
      </c>
      <c r="D23" s="37">
        <f>460+C23</f>
        <v>520</v>
      </c>
      <c r="E23" s="38">
        <f>16.2-6.53*10^3/D23+1.41*10^6/D23^2</f>
        <v>8.8568047337278095</v>
      </c>
      <c r="F23" s="37">
        <v>44</v>
      </c>
      <c r="G23" s="39">
        <f>E23/F23</f>
        <v>0.20129101667563204</v>
      </c>
      <c r="H23" s="39">
        <f>378.2/F23</f>
        <v>8.5954545454545457</v>
      </c>
      <c r="I23" s="431">
        <f>1/H23</f>
        <v>0.11634056054997356</v>
      </c>
      <c r="J23" s="431">
        <f>I23/0.0763</f>
        <v>1.5247779888594175</v>
      </c>
      <c r="K23" s="431">
        <f>G23/H23</f>
        <v>2.3418309713717105E-2</v>
      </c>
      <c r="L23" s="2599">
        <f>(K23+K24)/2</f>
        <v>2.3168520132030267E-2</v>
      </c>
    </row>
    <row r="24" spans="2:12" s="4" customFormat="1">
      <c r="B24" s="41" t="s">
        <v>1213</v>
      </c>
      <c r="C24" s="42">
        <f>C21</f>
        <v>0</v>
      </c>
      <c r="D24" s="42">
        <f>460+C24</f>
        <v>460</v>
      </c>
      <c r="E24" s="43">
        <f>16.2-6.53*10^3/D24+1.41*10^6/D24^2</f>
        <v>8.6678638941398862</v>
      </c>
      <c r="F24" s="42">
        <v>44</v>
      </c>
      <c r="G24" s="44">
        <f>E24/F24</f>
        <v>0.19699690668499742</v>
      </c>
      <c r="H24" s="44">
        <f>378.2/F24</f>
        <v>8.5954545454545457</v>
      </c>
      <c r="I24" s="433">
        <f>1/H24</f>
        <v>0.11634056054997356</v>
      </c>
      <c r="J24" s="434">
        <f>I24/0.0763</f>
        <v>1.5247779888594175</v>
      </c>
      <c r="K24" s="433">
        <f>G24/H24</f>
        <v>2.2918730550343432E-2</v>
      </c>
      <c r="L24" s="2600"/>
    </row>
    <row r="25" spans="2:12" s="4" customFormat="1">
      <c r="B25" s="46"/>
      <c r="C25" s="47"/>
      <c r="D25" s="47"/>
      <c r="E25" s="48"/>
      <c r="F25" s="47"/>
      <c r="G25" s="49"/>
      <c r="H25" s="49"/>
      <c r="I25" s="435"/>
      <c r="J25" s="435"/>
      <c r="K25" s="435"/>
      <c r="L25" s="51"/>
    </row>
    <row r="26" spans="2:12" s="4" customFormat="1">
      <c r="B26" s="36" t="s">
        <v>1214</v>
      </c>
      <c r="C26" s="37">
        <f>C23</f>
        <v>60</v>
      </c>
      <c r="D26" s="37">
        <f>460+C26</f>
        <v>520</v>
      </c>
      <c r="E26" s="38">
        <f>4.23+0.01177*D26</f>
        <v>10.3504</v>
      </c>
      <c r="F26" s="37">
        <v>16</v>
      </c>
      <c r="G26" s="39">
        <f>E26/F26</f>
        <v>0.64690000000000003</v>
      </c>
      <c r="H26" s="39">
        <f>378.2/F26</f>
        <v>23.637499999999999</v>
      </c>
      <c r="I26" s="431">
        <f>1/H26</f>
        <v>4.2305658381808567E-2</v>
      </c>
      <c r="J26" s="434">
        <f>I26/0.0763</f>
        <v>0.55446472322160634</v>
      </c>
      <c r="K26" s="431">
        <f>G26/H26</f>
        <v>2.7367530407191965E-2</v>
      </c>
      <c r="L26" s="2599">
        <f>(K26+K27)/2</f>
        <v>2.6433897408778426E-2</v>
      </c>
    </row>
    <row r="27" spans="2:12" s="4" customFormat="1">
      <c r="B27" s="41" t="s">
        <v>1215</v>
      </c>
      <c r="C27" s="42">
        <f>C24</f>
        <v>0</v>
      </c>
      <c r="D27" s="42">
        <f>460+C27</f>
        <v>460</v>
      </c>
      <c r="E27" s="43">
        <f>4.23+0.01177*D27</f>
        <v>9.6441999999999997</v>
      </c>
      <c r="F27" s="42">
        <v>16</v>
      </c>
      <c r="G27" s="44">
        <f>E27/F27</f>
        <v>0.60276249999999998</v>
      </c>
      <c r="H27" s="44">
        <f>378.2/F27</f>
        <v>23.637499999999999</v>
      </c>
      <c r="I27" s="433">
        <f>1/H27</f>
        <v>4.2305658381808567E-2</v>
      </c>
      <c r="J27" s="434">
        <f>I27/0.0763</f>
        <v>0.55446472322160634</v>
      </c>
      <c r="K27" s="433">
        <f>G27/H27</f>
        <v>2.5500264410364886E-2</v>
      </c>
      <c r="L27" s="2600"/>
    </row>
    <row r="28" spans="2:12" s="4" customFormat="1">
      <c r="B28" s="46"/>
      <c r="C28" s="47"/>
      <c r="D28" s="47"/>
      <c r="E28" s="48"/>
      <c r="F28" s="47"/>
      <c r="G28" s="49"/>
      <c r="H28" s="49"/>
      <c r="I28" s="435"/>
      <c r="J28" s="435"/>
      <c r="K28" s="435"/>
      <c r="L28" s="51"/>
    </row>
    <row r="29" spans="2:12" s="4" customFormat="1">
      <c r="B29" s="36" t="s">
        <v>1216</v>
      </c>
      <c r="C29" s="37">
        <f>C26</f>
        <v>60</v>
      </c>
      <c r="D29" s="37">
        <f>460+C29</f>
        <v>520</v>
      </c>
      <c r="E29" s="38">
        <f>4.52+0.00737*D29</f>
        <v>8.3523999999999994</v>
      </c>
      <c r="F29" s="37">
        <v>28</v>
      </c>
      <c r="G29" s="39">
        <f>E29/F29</f>
        <v>0.29829999999999995</v>
      </c>
      <c r="H29" s="39">
        <f>378.2/F29</f>
        <v>13.507142857142856</v>
      </c>
      <c r="I29" s="431">
        <f>1/H29</f>
        <v>7.4034902168164995E-2</v>
      </c>
      <c r="J29" s="431">
        <f>I29/0.0763</f>
        <v>0.97031326563781117</v>
      </c>
      <c r="K29" s="431">
        <f>G29/H29</f>
        <v>2.2084611316763616E-2</v>
      </c>
      <c r="L29" s="2599">
        <f>(K29+K30)/2</f>
        <v>2.1499999999999998E-2</v>
      </c>
    </row>
    <row r="30" spans="2:12" s="4" customFormat="1">
      <c r="B30" s="41" t="s">
        <v>1217</v>
      </c>
      <c r="C30" s="42">
        <f>C27</f>
        <v>0</v>
      </c>
      <c r="D30" s="42">
        <f>460+C30</f>
        <v>460</v>
      </c>
      <c r="E30" s="43">
        <f>4.52+0.00737*D30</f>
        <v>7.9101999999999997</v>
      </c>
      <c r="F30" s="42">
        <v>28</v>
      </c>
      <c r="G30" s="44">
        <f>E30/F30</f>
        <v>0.28250714285714285</v>
      </c>
      <c r="H30" s="44">
        <f>378.2/F30</f>
        <v>13.507142857142856</v>
      </c>
      <c r="I30" s="433">
        <f>1/H30</f>
        <v>7.4034902168164995E-2</v>
      </c>
      <c r="J30" s="434">
        <f>I30/0.0763</f>
        <v>0.97031326563781117</v>
      </c>
      <c r="K30" s="433">
        <f>G30/H30</f>
        <v>2.0915388683236384E-2</v>
      </c>
      <c r="L30" s="2600"/>
    </row>
    <row r="31" spans="2:12" s="4" customFormat="1">
      <c r="B31" s="46"/>
      <c r="C31" s="47"/>
      <c r="D31" s="47"/>
      <c r="E31" s="48"/>
      <c r="F31" s="47"/>
      <c r="G31" s="49"/>
      <c r="H31" s="49"/>
      <c r="I31" s="435"/>
      <c r="J31" s="435"/>
      <c r="K31" s="435"/>
      <c r="L31" s="51"/>
    </row>
    <row r="32" spans="2:12" s="4" customFormat="1">
      <c r="B32" s="36" t="s">
        <v>1218</v>
      </c>
      <c r="C32" s="37">
        <f>C29</f>
        <v>60</v>
      </c>
      <c r="D32" s="37">
        <f>460+C32</f>
        <v>520</v>
      </c>
      <c r="E32" s="38">
        <f>4.04+0.01636*D32</f>
        <v>12.5472</v>
      </c>
      <c r="F32" s="37">
        <v>30</v>
      </c>
      <c r="G32" s="39">
        <f>E32/F32</f>
        <v>0.41824</v>
      </c>
      <c r="H32" s="39">
        <f>378.2/F32</f>
        <v>12.606666666666666</v>
      </c>
      <c r="I32" s="431">
        <f>1/H32</f>
        <v>7.9323109465891065E-2</v>
      </c>
      <c r="J32" s="431">
        <f>I32/0.0763</f>
        <v>1.0396213560405119</v>
      </c>
      <c r="K32" s="431">
        <f>G32/H32</f>
        <v>3.3176097303014282E-2</v>
      </c>
      <c r="L32" s="2599">
        <f>(K32+K33)/2</f>
        <v>3.18783712321523E-2</v>
      </c>
    </row>
    <row r="33" spans="2:12" s="4" customFormat="1" ht="13.5" thickBot="1">
      <c r="B33" s="52" t="s">
        <v>1219</v>
      </c>
      <c r="C33" s="53">
        <f>C30</f>
        <v>0</v>
      </c>
      <c r="D33" s="53">
        <f>460+C33</f>
        <v>460</v>
      </c>
      <c r="E33" s="54">
        <f>4.04+0.01636*D33</f>
        <v>11.5656</v>
      </c>
      <c r="F33" s="53">
        <v>30</v>
      </c>
      <c r="G33" s="55">
        <f>E33/F33</f>
        <v>0.38551999999999997</v>
      </c>
      <c r="H33" s="55">
        <f>378.2/F33</f>
        <v>12.606666666666666</v>
      </c>
      <c r="I33" s="436">
        <f>1/H33</f>
        <v>7.9323109465891065E-2</v>
      </c>
      <c r="J33" s="437">
        <f>I33/0.0763</f>
        <v>1.0396213560405119</v>
      </c>
      <c r="K33" s="436">
        <f>G33/H33</f>
        <v>3.0580645161290321E-2</v>
      </c>
      <c r="L33" s="2601"/>
    </row>
    <row r="34" spans="2:12" s="4" customFormat="1">
      <c r="E34" s="58"/>
      <c r="G34" s="59"/>
      <c r="H34" s="59"/>
      <c r="I34" s="427"/>
      <c r="J34" s="427"/>
      <c r="K34" s="427"/>
    </row>
    <row r="35" spans="2:12" s="4" customFormat="1">
      <c r="B35" s="4" t="s">
        <v>1220</v>
      </c>
      <c r="E35" s="58"/>
      <c r="G35" s="59"/>
      <c r="H35" s="59"/>
      <c r="I35" s="427"/>
      <c r="J35" s="427"/>
      <c r="K35" s="427"/>
    </row>
    <row r="36" spans="2:12" s="4" customFormat="1" ht="13.5" thickBot="1">
      <c r="E36" s="58"/>
      <c r="G36" s="59"/>
      <c r="H36" s="59"/>
      <c r="I36" s="427"/>
      <c r="J36" s="427"/>
      <c r="K36" s="427"/>
    </row>
    <row r="37" spans="2:12" s="4" customFormat="1" ht="15.75" thickBot="1">
      <c r="B37" s="60" t="s">
        <v>1221</v>
      </c>
      <c r="C37" s="61"/>
      <c r="D37" s="61"/>
      <c r="E37" s="62"/>
      <c r="G37" s="59"/>
      <c r="H37" s="59"/>
      <c r="I37" s="427"/>
      <c r="J37" s="427"/>
      <c r="K37" s="427"/>
    </row>
    <row r="38" spans="2:12" s="4" customFormat="1" ht="13.5" thickBot="1">
      <c r="B38" s="63" t="s">
        <v>1222</v>
      </c>
      <c r="C38" s="64" t="s">
        <v>1223</v>
      </c>
      <c r="D38" s="64" t="s">
        <v>1224</v>
      </c>
      <c r="E38" s="65" t="s">
        <v>1225</v>
      </c>
      <c r="F38" s="4" t="s">
        <v>1226</v>
      </c>
      <c r="G38" s="59" t="s">
        <v>1227</v>
      </c>
      <c r="H38" s="59"/>
      <c r="I38" s="427"/>
      <c r="J38" s="427"/>
      <c r="K38" s="427"/>
    </row>
    <row r="39" spans="2:12" s="4" customFormat="1">
      <c r="B39" s="63" t="s">
        <v>1228</v>
      </c>
      <c r="C39" s="64">
        <v>20.7</v>
      </c>
      <c r="D39" s="64"/>
      <c r="E39" s="438">
        <f>L8</f>
        <v>1.8159907895190751E-2</v>
      </c>
      <c r="F39" s="67">
        <f>K8</f>
        <v>1.82829421635834E-2</v>
      </c>
      <c r="G39" s="59">
        <f>K9</f>
        <v>1.8036873626798098E-2</v>
      </c>
      <c r="H39" s="59"/>
      <c r="I39" s="427"/>
      <c r="J39" s="427"/>
      <c r="K39" s="427"/>
    </row>
    <row r="40" spans="2:12" s="4" customFormat="1">
      <c r="B40" s="68" t="s">
        <v>1213</v>
      </c>
      <c r="C40" s="18">
        <v>0</v>
      </c>
      <c r="D40" s="18"/>
      <c r="E40" s="69">
        <f>L23</f>
        <v>2.3168520132030267E-2</v>
      </c>
      <c r="F40" s="67">
        <f>K23</f>
        <v>2.3418309713717105E-2</v>
      </c>
      <c r="G40" s="59">
        <f>K24</f>
        <v>2.2918730550343432E-2</v>
      </c>
      <c r="I40" s="427"/>
      <c r="J40" s="427"/>
      <c r="K40" s="427"/>
    </row>
    <row r="41" spans="2:12" s="4" customFormat="1">
      <c r="B41" s="68" t="s">
        <v>1229</v>
      </c>
      <c r="C41" s="18">
        <v>78.3</v>
      </c>
      <c r="D41" s="18"/>
      <c r="E41" s="69">
        <f>L11</f>
        <v>1.8161364599176031E-2</v>
      </c>
      <c r="F41" s="67">
        <f>K11</f>
        <v>1.7858338626755829E-2</v>
      </c>
      <c r="G41" s="59">
        <f>K12</f>
        <v>1.8464390571596233E-2</v>
      </c>
      <c r="I41" s="427"/>
      <c r="J41" s="427"/>
      <c r="K41" s="427"/>
    </row>
    <row r="42" spans="2:12" s="4" customFormat="1">
      <c r="B42" s="68" t="s">
        <v>1230</v>
      </c>
      <c r="C42" s="18">
        <v>1</v>
      </c>
      <c r="D42" s="18"/>
      <c r="E42" s="69">
        <f>L20</f>
        <v>2.1723921664298901E-2</v>
      </c>
      <c r="F42" s="67">
        <f>K20</f>
        <v>2.1424894359497886E-2</v>
      </c>
      <c r="G42" s="59">
        <f>K21</f>
        <v>2.2022948969099915E-2</v>
      </c>
      <c r="I42" s="427"/>
      <c r="J42" s="427"/>
      <c r="K42" s="427"/>
    </row>
    <row r="43" spans="2:12" s="4" customFormat="1">
      <c r="B43" s="68"/>
      <c r="C43" s="18"/>
      <c r="D43" s="18"/>
      <c r="E43" s="70"/>
      <c r="G43" s="59"/>
      <c r="I43" s="427"/>
      <c r="J43" s="427"/>
      <c r="K43" s="427"/>
    </row>
    <row r="44" spans="2:12" s="4" customFormat="1">
      <c r="B44" s="68" t="s">
        <v>1172</v>
      </c>
      <c r="C44" s="18">
        <f>SUM(C39:C43)</f>
        <v>100</v>
      </c>
      <c r="D44" s="18"/>
      <c r="E44" s="70"/>
      <c r="I44" s="427"/>
      <c r="J44" s="427"/>
      <c r="K44" s="427"/>
    </row>
    <row r="45" spans="2:12" s="4" customFormat="1" ht="13.5" thickBot="1">
      <c r="B45" s="71" t="s">
        <v>1231</v>
      </c>
      <c r="C45" s="72"/>
      <c r="D45" s="72"/>
      <c r="E45" s="73">
        <f>($C$39*E39+$C$40*E40+$C$41*E41+$C$42*E42)/100</f>
        <v>1.8196688632102304E-2</v>
      </c>
      <c r="F45" s="73">
        <f>($C$39*F39+$C$40*F40+$C$41*F41+$C$42*F42)/100</f>
        <v>1.7981897116206558E-2</v>
      </c>
      <c r="G45" s="73">
        <f>($C$39*G39+$C$40*G40+$C$41*G41+$C$42*G42)/100</f>
        <v>1.8411480147998052E-2</v>
      </c>
      <c r="I45" s="427"/>
      <c r="J45" s="427"/>
      <c r="K45" s="427"/>
    </row>
    <row r="46" spans="2:12" s="4" customFormat="1">
      <c r="I46" s="427"/>
      <c r="J46" s="427"/>
      <c r="K46" s="427"/>
    </row>
    <row r="47" spans="2:12" s="4" customFormat="1">
      <c r="F47" s="4" t="s">
        <v>1182</v>
      </c>
      <c r="G47" s="4">
        <f>(G45-F45)/(1000-60)</f>
        <v>4.570032253100998E-7</v>
      </c>
      <c r="I47" s="427"/>
      <c r="J47" s="427"/>
      <c r="K47" s="427"/>
    </row>
    <row r="48" spans="2:12" s="4" customFormat="1">
      <c r="F48" s="4" t="s">
        <v>1181</v>
      </c>
      <c r="G48" s="4">
        <f>G45-G47*1000</f>
        <v>1.7954476922687951E-2</v>
      </c>
      <c r="I48" s="427"/>
      <c r="J48" s="427"/>
      <c r="K48" s="427"/>
    </row>
    <row r="49" spans="5:11" s="4" customFormat="1">
      <c r="I49" s="427"/>
      <c r="J49" s="427"/>
      <c r="K49" s="427"/>
    </row>
    <row r="50" spans="5:11" s="4" customFormat="1">
      <c r="E50" s="4" t="s">
        <v>1232</v>
      </c>
      <c r="I50" s="427"/>
      <c r="J50" s="427"/>
      <c r="K50" s="427"/>
    </row>
    <row r="51" spans="5:11" s="4" customFormat="1">
      <c r="E51" s="4" t="s">
        <v>1183</v>
      </c>
      <c r="F51" s="4" t="s">
        <v>414</v>
      </c>
      <c r="I51" s="427"/>
      <c r="J51" s="427"/>
      <c r="K51" s="427"/>
    </row>
    <row r="52" spans="5:11" s="4" customFormat="1">
      <c r="E52" s="4">
        <v>60</v>
      </c>
      <c r="F52" s="4">
        <f t="shared" ref="F52:F68" si="0">$G$48+$G$47*E52</f>
        <v>1.7981897116206558E-2</v>
      </c>
      <c r="I52" s="427"/>
      <c r="J52" s="427"/>
      <c r="K52" s="427"/>
    </row>
    <row r="53" spans="5:11" s="4" customFormat="1">
      <c r="E53" s="4">
        <v>100</v>
      </c>
      <c r="F53" s="4">
        <f t="shared" si="0"/>
        <v>1.8000177245218962E-2</v>
      </c>
      <c r="I53" s="427"/>
      <c r="J53" s="427"/>
      <c r="K53" s="427"/>
    </row>
    <row r="54" spans="5:11" s="4" customFormat="1">
      <c r="E54" s="4">
        <f t="shared" ref="E54:E67" si="1">100+E53</f>
        <v>200</v>
      </c>
      <c r="F54" s="4">
        <f t="shared" si="0"/>
        <v>1.804587756774997E-2</v>
      </c>
      <c r="I54" s="427"/>
      <c r="J54" s="427"/>
      <c r="K54" s="427"/>
    </row>
    <row r="55" spans="5:11" s="4" customFormat="1">
      <c r="E55" s="4">
        <f t="shared" si="1"/>
        <v>300</v>
      </c>
      <c r="F55" s="4">
        <f t="shared" si="0"/>
        <v>1.8091577890280982E-2</v>
      </c>
      <c r="I55" s="427"/>
      <c r="J55" s="427"/>
      <c r="K55" s="427"/>
    </row>
    <row r="56" spans="5:11" s="4" customFormat="1">
      <c r="E56" s="4">
        <f t="shared" si="1"/>
        <v>400</v>
      </c>
      <c r="F56" s="4">
        <f t="shared" si="0"/>
        <v>1.813727821281199E-2</v>
      </c>
      <c r="I56" s="427"/>
      <c r="J56" s="427"/>
      <c r="K56" s="427"/>
    </row>
    <row r="57" spans="5:11" s="4" customFormat="1">
      <c r="E57" s="4">
        <f t="shared" si="1"/>
        <v>500</v>
      </c>
      <c r="F57" s="4">
        <f t="shared" si="0"/>
        <v>1.8182978535343002E-2</v>
      </c>
      <c r="I57" s="427"/>
      <c r="J57" s="427"/>
      <c r="K57" s="427"/>
    </row>
    <row r="58" spans="5:11" s="4" customFormat="1">
      <c r="E58" s="4">
        <f t="shared" si="1"/>
        <v>600</v>
      </c>
      <c r="F58" s="4">
        <f t="shared" si="0"/>
        <v>1.822867885787401E-2</v>
      </c>
      <c r="I58" s="427"/>
      <c r="J58" s="427"/>
      <c r="K58" s="427"/>
    </row>
    <row r="59" spans="5:11" s="4" customFormat="1">
      <c r="E59" s="4">
        <f t="shared" si="1"/>
        <v>700</v>
      </c>
      <c r="F59" s="4">
        <f t="shared" si="0"/>
        <v>1.8274379180405021E-2</v>
      </c>
      <c r="I59" s="427"/>
      <c r="J59" s="427"/>
      <c r="K59" s="427"/>
    </row>
    <row r="60" spans="5:11" s="4" customFormat="1">
      <c r="E60" s="4">
        <f t="shared" si="1"/>
        <v>800</v>
      </c>
      <c r="F60" s="4">
        <f t="shared" si="0"/>
        <v>1.8320079502936029E-2</v>
      </c>
      <c r="I60" s="427"/>
      <c r="J60" s="427"/>
      <c r="K60" s="427"/>
    </row>
    <row r="61" spans="5:11" s="4" customFormat="1">
      <c r="E61" s="4">
        <f t="shared" si="1"/>
        <v>900</v>
      </c>
      <c r="F61" s="4">
        <f t="shared" si="0"/>
        <v>1.8365779825467041E-2</v>
      </c>
      <c r="I61" s="427"/>
      <c r="J61" s="427"/>
      <c r="K61" s="427"/>
    </row>
    <row r="62" spans="5:11" s="4" customFormat="1">
      <c r="E62" s="4">
        <f t="shared" si="1"/>
        <v>1000</v>
      </c>
      <c r="F62" s="4">
        <f t="shared" si="0"/>
        <v>1.8411480147998052E-2</v>
      </c>
      <c r="I62" s="427"/>
      <c r="J62" s="427"/>
      <c r="K62" s="427"/>
    </row>
    <row r="63" spans="5:11" s="4" customFormat="1">
      <c r="E63" s="4">
        <f t="shared" si="1"/>
        <v>1100</v>
      </c>
      <c r="F63" s="4">
        <f t="shared" si="0"/>
        <v>1.845718047052906E-2</v>
      </c>
      <c r="I63" s="427"/>
      <c r="J63" s="427"/>
      <c r="K63" s="427"/>
    </row>
    <row r="64" spans="5:11" s="4" customFormat="1">
      <c r="E64" s="4">
        <f t="shared" si="1"/>
        <v>1200</v>
      </c>
      <c r="F64" s="4">
        <f t="shared" si="0"/>
        <v>1.8502880793060072E-2</v>
      </c>
      <c r="I64" s="427"/>
      <c r="J64" s="427"/>
      <c r="K64" s="427"/>
    </row>
    <row r="65" spans="2:14" s="4" customFormat="1">
      <c r="E65" s="4">
        <f t="shared" si="1"/>
        <v>1300</v>
      </c>
      <c r="F65" s="4">
        <f t="shared" si="0"/>
        <v>1.854858111559108E-2</v>
      </c>
      <c r="I65" s="427"/>
      <c r="J65" s="427"/>
      <c r="K65" s="427"/>
    </row>
    <row r="66" spans="2:14" s="4" customFormat="1">
      <c r="E66" s="4">
        <f t="shared" si="1"/>
        <v>1400</v>
      </c>
      <c r="F66" s="4">
        <f t="shared" si="0"/>
        <v>1.8594281438122091E-2</v>
      </c>
      <c r="I66" s="427"/>
      <c r="J66" s="427"/>
      <c r="K66" s="427"/>
    </row>
    <row r="67" spans="2:14" s="4" customFormat="1">
      <c r="E67" s="4">
        <f t="shared" si="1"/>
        <v>1500</v>
      </c>
      <c r="F67" s="4">
        <f t="shared" si="0"/>
        <v>1.8639981760653099E-2</v>
      </c>
      <c r="I67" s="427"/>
      <c r="J67" s="427"/>
      <c r="K67" s="427"/>
    </row>
    <row r="68" spans="2:14" s="4" customFormat="1">
      <c r="E68" s="439">
        <f>'Av.Ht.Solid - modified'!C86</f>
        <v>0</v>
      </c>
      <c r="F68" s="165">
        <f t="shared" si="0"/>
        <v>1.7954476922687951E-2</v>
      </c>
      <c r="G68" s="4" t="s">
        <v>415</v>
      </c>
      <c r="I68" s="427"/>
      <c r="J68" s="427"/>
      <c r="K68" s="427"/>
    </row>
    <row r="69" spans="2:14" s="4" customFormat="1">
      <c r="I69" s="427"/>
      <c r="J69" s="427"/>
      <c r="K69" s="427"/>
    </row>
    <row r="70" spans="2:14" s="4" customFormat="1" ht="13.5" thickBot="1">
      <c r="E70" s="4">
        <f>100+E67</f>
        <v>1600</v>
      </c>
      <c r="F70" s="4">
        <f>$G$48+$G$47*E70</f>
        <v>1.8685682083184111E-2</v>
      </c>
      <c r="I70" s="427"/>
      <c r="J70" s="427"/>
      <c r="K70" s="427"/>
    </row>
    <row r="71" spans="2:14" s="4" customFormat="1">
      <c r="B71" s="26"/>
      <c r="C71" s="27"/>
      <c r="D71" s="27"/>
      <c r="E71" s="27" t="s">
        <v>1193</v>
      </c>
      <c r="F71" s="27"/>
      <c r="G71" s="27" t="s">
        <v>1193</v>
      </c>
      <c r="H71" s="27" t="s">
        <v>1194</v>
      </c>
      <c r="I71" s="428" t="s">
        <v>1195</v>
      </c>
      <c r="J71" s="29" t="s">
        <v>1196</v>
      </c>
      <c r="K71" s="428" t="s">
        <v>1193</v>
      </c>
      <c r="L71" s="30" t="s">
        <v>1197</v>
      </c>
    </row>
    <row r="72" spans="2:14" s="4" customFormat="1">
      <c r="B72" s="31" t="s">
        <v>1198</v>
      </c>
      <c r="C72" s="32" t="s">
        <v>1199</v>
      </c>
      <c r="D72" s="32" t="s">
        <v>1200</v>
      </c>
      <c r="E72" s="32" t="s">
        <v>1201</v>
      </c>
      <c r="F72" s="32" t="s">
        <v>1202</v>
      </c>
      <c r="G72" s="32" t="s">
        <v>1203</v>
      </c>
      <c r="H72" s="32" t="s">
        <v>1204</v>
      </c>
      <c r="I72" s="429" t="s">
        <v>1205</v>
      </c>
      <c r="J72" s="34" t="s">
        <v>1206</v>
      </c>
      <c r="K72" s="429" t="s">
        <v>1207</v>
      </c>
      <c r="L72" s="430" t="s">
        <v>1207</v>
      </c>
    </row>
    <row r="73" spans="2:14" s="4" customFormat="1">
      <c r="B73" s="36" t="s">
        <v>1212</v>
      </c>
      <c r="C73" s="37">
        <v>300</v>
      </c>
      <c r="D73" s="37">
        <f t="shared" ref="D73:D94" si="2">460+C73</f>
        <v>760</v>
      </c>
      <c r="E73" s="38">
        <f t="shared" ref="E73:E94" si="3">19.86-597/D73^0.5+7500/D73</f>
        <v>8.0729549868477299</v>
      </c>
      <c r="F73" s="37">
        <v>18</v>
      </c>
      <c r="G73" s="39">
        <f t="shared" ref="G73:G94" si="4">E73/F73</f>
        <v>0.44849749926931831</v>
      </c>
      <c r="H73" s="39">
        <f t="shared" ref="H73:H94" si="5">378.2/F73</f>
        <v>21.011111111111109</v>
      </c>
      <c r="I73" s="431">
        <f t="shared" ref="I73:I94" si="6">1/H73</f>
        <v>4.7593865679534643E-2</v>
      </c>
      <c r="J73" s="431">
        <f t="shared" ref="J73:J94" si="7">I73/0.0763</f>
        <v>0.62377281362430714</v>
      </c>
      <c r="K73" s="431">
        <f t="shared" ref="K73:K94" si="8">G73/H73</f>
        <v>2.1345729737831123E-2</v>
      </c>
      <c r="N73" s="338">
        <f t="shared" ref="N73:N81" si="9">E73/(18*21.011)</f>
        <v>2.1345842619071836E-2</v>
      </c>
    </row>
    <row r="74" spans="2:14" s="4" customFormat="1">
      <c r="C74" s="4">
        <f t="shared" ref="C74:C93" si="10">C73+100</f>
        <v>400</v>
      </c>
      <c r="D74" s="37">
        <f t="shared" si="2"/>
        <v>860</v>
      </c>
      <c r="E74" s="38">
        <f t="shared" si="3"/>
        <v>8.2233991993645041</v>
      </c>
      <c r="F74" s="37">
        <f t="shared" ref="F74:F94" si="11">F73</f>
        <v>18</v>
      </c>
      <c r="G74" s="39">
        <f t="shared" si="4"/>
        <v>0.4568555110758058</v>
      </c>
      <c r="H74" s="39">
        <f t="shared" si="5"/>
        <v>21.011111111111109</v>
      </c>
      <c r="I74" s="431">
        <f t="shared" si="6"/>
        <v>4.7593865679534643E-2</v>
      </c>
      <c r="J74" s="431">
        <f t="shared" si="7"/>
        <v>0.62377281362430714</v>
      </c>
      <c r="K74" s="431">
        <f t="shared" si="8"/>
        <v>2.1743519829097051E-2</v>
      </c>
      <c r="N74" s="338">
        <f t="shared" si="9"/>
        <v>2.1743634813945353E-2</v>
      </c>
    </row>
    <row r="75" spans="2:14" s="4" customFormat="1">
      <c r="C75" s="4">
        <f t="shared" si="10"/>
        <v>500</v>
      </c>
      <c r="D75" s="37">
        <f t="shared" si="2"/>
        <v>960</v>
      </c>
      <c r="E75" s="38">
        <f t="shared" si="3"/>
        <v>8.4044078526180996</v>
      </c>
      <c r="F75" s="37">
        <f t="shared" si="11"/>
        <v>18</v>
      </c>
      <c r="G75" s="39">
        <f t="shared" si="4"/>
        <v>0.46691154736767221</v>
      </c>
      <c r="H75" s="39">
        <f t="shared" si="5"/>
        <v>21.011111111111109</v>
      </c>
      <c r="I75" s="431">
        <f t="shared" si="6"/>
        <v>4.7593865679534643E-2</v>
      </c>
      <c r="J75" s="431">
        <f t="shared" si="7"/>
        <v>0.62377281362430714</v>
      </c>
      <c r="K75" s="431">
        <f t="shared" si="8"/>
        <v>2.2222125469640669E-2</v>
      </c>
      <c r="N75" s="338">
        <f t="shared" si="9"/>
        <v>2.2222242985468193E-2</v>
      </c>
    </row>
    <row r="76" spans="2:14" s="4" customFormat="1">
      <c r="C76" s="4">
        <f t="shared" si="10"/>
        <v>600</v>
      </c>
      <c r="D76" s="37">
        <f t="shared" si="2"/>
        <v>1060</v>
      </c>
      <c r="E76" s="38">
        <f t="shared" si="3"/>
        <v>8.5987624606197635</v>
      </c>
      <c r="F76" s="37">
        <f t="shared" si="11"/>
        <v>18</v>
      </c>
      <c r="G76" s="39">
        <f t="shared" si="4"/>
        <v>0.47770902558998685</v>
      </c>
      <c r="H76" s="39">
        <f t="shared" si="5"/>
        <v>21.011111111111109</v>
      </c>
      <c r="I76" s="431">
        <f t="shared" si="6"/>
        <v>4.7593865679534643E-2</v>
      </c>
      <c r="J76" s="431">
        <f t="shared" si="7"/>
        <v>0.62377281362430714</v>
      </c>
      <c r="K76" s="431">
        <f t="shared" si="8"/>
        <v>2.2736019197831209E-2</v>
      </c>
      <c r="N76" s="338">
        <f t="shared" si="9"/>
        <v>2.2736139431249674E-2</v>
      </c>
    </row>
    <row r="77" spans="2:14" s="4" customFormat="1">
      <c r="C77" s="4">
        <f t="shared" si="10"/>
        <v>700</v>
      </c>
      <c r="D77" s="37">
        <f t="shared" si="2"/>
        <v>1160</v>
      </c>
      <c r="E77" s="38">
        <f t="shared" si="3"/>
        <v>8.7969936888654097</v>
      </c>
      <c r="F77" s="37">
        <f t="shared" si="11"/>
        <v>18</v>
      </c>
      <c r="G77" s="39">
        <f t="shared" si="4"/>
        <v>0.4887218716036339</v>
      </c>
      <c r="H77" s="39">
        <f t="shared" si="5"/>
        <v>21.011111111111109</v>
      </c>
      <c r="I77" s="431">
        <f t="shared" si="6"/>
        <v>4.7593865679534643E-2</v>
      </c>
      <c r="J77" s="431">
        <f t="shared" si="7"/>
        <v>0.62377281362430714</v>
      </c>
      <c r="K77" s="431">
        <f t="shared" si="8"/>
        <v>2.3260163111754127E-2</v>
      </c>
      <c r="N77" s="338">
        <f t="shared" si="9"/>
        <v>2.3260286116968915E-2</v>
      </c>
    </row>
    <row r="78" spans="2:14" s="4" customFormat="1">
      <c r="C78" s="4">
        <f t="shared" si="10"/>
        <v>800</v>
      </c>
      <c r="D78" s="37">
        <f t="shared" si="2"/>
        <v>1260</v>
      </c>
      <c r="E78" s="38">
        <f t="shared" si="3"/>
        <v>8.993811283283474</v>
      </c>
      <c r="F78" s="37">
        <f t="shared" si="11"/>
        <v>18</v>
      </c>
      <c r="G78" s="39">
        <f t="shared" si="4"/>
        <v>0.49965618240463744</v>
      </c>
      <c r="H78" s="39">
        <f t="shared" si="5"/>
        <v>21.011111111111109</v>
      </c>
      <c r="I78" s="431">
        <f t="shared" si="6"/>
        <v>4.7593865679534643E-2</v>
      </c>
      <c r="J78" s="431">
        <f t="shared" si="7"/>
        <v>0.62377281362430714</v>
      </c>
      <c r="K78" s="431">
        <f t="shared" si="8"/>
        <v>2.3780569231315375E-2</v>
      </c>
      <c r="N78" s="338">
        <f t="shared" si="9"/>
        <v>2.3780694988560159E-2</v>
      </c>
    </row>
    <row r="79" spans="2:14" s="4" customFormat="1">
      <c r="C79" s="4">
        <f t="shared" si="10"/>
        <v>900</v>
      </c>
      <c r="D79" s="37">
        <f t="shared" si="2"/>
        <v>1360</v>
      </c>
      <c r="E79" s="38">
        <f t="shared" si="3"/>
        <v>9.1862704676357225</v>
      </c>
      <c r="F79" s="37">
        <f t="shared" si="11"/>
        <v>18</v>
      </c>
      <c r="G79" s="39">
        <f t="shared" si="4"/>
        <v>0.51034835931309575</v>
      </c>
      <c r="H79" s="39">
        <f t="shared" si="5"/>
        <v>21.011111111111109</v>
      </c>
      <c r="I79" s="431">
        <f t="shared" si="6"/>
        <v>4.7593865679534643E-2</v>
      </c>
      <c r="J79" s="431">
        <f t="shared" si="7"/>
        <v>0.62377281362430714</v>
      </c>
      <c r="K79" s="431">
        <f t="shared" si="8"/>
        <v>2.4289451262918361E-2</v>
      </c>
      <c r="N79" s="338">
        <f t="shared" si="9"/>
        <v>2.4289579711251046E-2</v>
      </c>
    </row>
    <row r="80" spans="2:14" s="4" customFormat="1">
      <c r="C80" s="4">
        <f t="shared" si="10"/>
        <v>1000</v>
      </c>
      <c r="D80" s="37">
        <f t="shared" si="2"/>
        <v>1460</v>
      </c>
      <c r="E80" s="38">
        <f t="shared" si="3"/>
        <v>9.3727822120519821</v>
      </c>
      <c r="F80" s="37">
        <f t="shared" si="11"/>
        <v>18</v>
      </c>
      <c r="G80" s="39">
        <f t="shared" si="4"/>
        <v>0.52071012289177676</v>
      </c>
      <c r="H80" s="39">
        <f t="shared" si="5"/>
        <v>21.011111111111109</v>
      </c>
      <c r="I80" s="431">
        <f t="shared" si="6"/>
        <v>4.7593865679534643E-2</v>
      </c>
      <c r="J80" s="431">
        <f t="shared" si="7"/>
        <v>0.62377281362430714</v>
      </c>
      <c r="K80" s="431">
        <f t="shared" si="8"/>
        <v>2.47826076468852E-2</v>
      </c>
      <c r="N80" s="338">
        <f t="shared" si="9"/>
        <v>2.4782738703144867E-2</v>
      </c>
    </row>
    <row r="81" spans="3:14" s="4" customFormat="1">
      <c r="C81" s="4">
        <f t="shared" si="10"/>
        <v>1100</v>
      </c>
      <c r="D81" s="37">
        <f t="shared" si="2"/>
        <v>1560</v>
      </c>
      <c r="E81" s="38">
        <f t="shared" si="3"/>
        <v>9.5525572539685832</v>
      </c>
      <c r="F81" s="37">
        <f t="shared" si="11"/>
        <v>18</v>
      </c>
      <c r="G81" s="39">
        <f t="shared" si="4"/>
        <v>0.53069762522047681</v>
      </c>
      <c r="H81" s="39">
        <f t="shared" si="5"/>
        <v>21.011111111111109</v>
      </c>
      <c r="I81" s="431">
        <f t="shared" si="6"/>
        <v>4.7593865679534643E-2</v>
      </c>
      <c r="J81" s="431">
        <f t="shared" si="7"/>
        <v>0.62377281362430714</v>
      </c>
      <c r="K81" s="431">
        <f t="shared" si="8"/>
        <v>2.525795149119139E-2</v>
      </c>
      <c r="N81" s="338">
        <f t="shared" si="9"/>
        <v>2.5258085061181136E-2</v>
      </c>
    </row>
    <row r="82" spans="3:14" s="4" customFormat="1">
      <c r="C82" s="4">
        <f t="shared" si="10"/>
        <v>1200</v>
      </c>
      <c r="D82" s="37">
        <f t="shared" si="2"/>
        <v>1660</v>
      </c>
      <c r="E82" s="38">
        <f t="shared" si="3"/>
        <v>9.7252835829932174</v>
      </c>
      <c r="F82" s="37">
        <f t="shared" si="11"/>
        <v>18</v>
      </c>
      <c r="G82" s="39">
        <f t="shared" si="4"/>
        <v>0.54029353238851208</v>
      </c>
      <c r="H82" s="39">
        <f t="shared" si="5"/>
        <v>21.011111111111109</v>
      </c>
      <c r="I82" s="431">
        <f t="shared" si="6"/>
        <v>4.7593865679534643E-2</v>
      </c>
      <c r="J82" s="431">
        <f t="shared" si="7"/>
        <v>0.62377281362430714</v>
      </c>
      <c r="K82" s="431">
        <f t="shared" si="8"/>
        <v>2.5714657808020142E-2</v>
      </c>
    </row>
    <row r="83" spans="3:14">
      <c r="C83" s="4">
        <f t="shared" si="10"/>
        <v>1300</v>
      </c>
      <c r="D83" s="37">
        <f t="shared" si="2"/>
        <v>1760</v>
      </c>
      <c r="E83" s="38">
        <f t="shared" si="3"/>
        <v>9.8909344918731712</v>
      </c>
      <c r="F83" s="37">
        <f t="shared" si="11"/>
        <v>18</v>
      </c>
      <c r="G83" s="39">
        <f t="shared" si="4"/>
        <v>0.5494963606596206</v>
      </c>
      <c r="H83" s="39">
        <f t="shared" si="5"/>
        <v>21.011111111111109</v>
      </c>
      <c r="I83" s="431">
        <f t="shared" si="6"/>
        <v>4.7593865679534643E-2</v>
      </c>
      <c r="J83" s="431">
        <f t="shared" si="7"/>
        <v>0.62377281362430714</v>
      </c>
      <c r="K83" s="431">
        <f t="shared" si="8"/>
        <v>2.6152655980627108E-2</v>
      </c>
    </row>
    <row r="84" spans="3:14">
      <c r="C84" s="4">
        <f t="shared" si="10"/>
        <v>1400</v>
      </c>
      <c r="D84" s="37">
        <f t="shared" si="2"/>
        <v>1860</v>
      </c>
      <c r="E84" s="38">
        <f t="shared" si="3"/>
        <v>10.049652026075105</v>
      </c>
      <c r="F84" s="37">
        <f t="shared" si="11"/>
        <v>18</v>
      </c>
      <c r="G84" s="39">
        <f t="shared" si="4"/>
        <v>0.55831400144861698</v>
      </c>
      <c r="H84" s="39">
        <f t="shared" si="5"/>
        <v>21.011111111111109</v>
      </c>
      <c r="I84" s="431">
        <f t="shared" si="6"/>
        <v>4.7593865679534643E-2</v>
      </c>
      <c r="J84" s="431">
        <f t="shared" si="7"/>
        <v>0.62377281362430714</v>
      </c>
      <c r="K84" s="431">
        <f t="shared" si="8"/>
        <v>2.6572321591948986E-2</v>
      </c>
    </row>
    <row r="85" spans="3:14">
      <c r="C85" s="4">
        <f t="shared" si="10"/>
        <v>1500</v>
      </c>
      <c r="D85" s="37">
        <f t="shared" si="2"/>
        <v>1960</v>
      </c>
      <c r="E85" s="38">
        <f t="shared" si="3"/>
        <v>10.201675161384022</v>
      </c>
      <c r="F85" s="37">
        <f t="shared" si="11"/>
        <v>18</v>
      </c>
      <c r="G85" s="39">
        <f t="shared" si="4"/>
        <v>0.56675973118800127</v>
      </c>
      <c r="H85" s="39">
        <f t="shared" si="5"/>
        <v>21.011111111111109</v>
      </c>
      <c r="I85" s="431">
        <f t="shared" si="6"/>
        <v>4.7593865679534643E-2</v>
      </c>
      <c r="J85" s="431">
        <f t="shared" si="7"/>
        <v>0.62377281362430714</v>
      </c>
      <c r="K85" s="431">
        <f t="shared" si="8"/>
        <v>2.6974286518730892E-2</v>
      </c>
    </row>
    <row r="86" spans="3:14">
      <c r="C86" s="4">
        <f t="shared" si="10"/>
        <v>1600</v>
      </c>
      <c r="D86" s="37">
        <f t="shared" si="2"/>
        <v>2060</v>
      </c>
      <c r="E86" s="38">
        <f t="shared" si="3"/>
        <v>10.347295119238058</v>
      </c>
      <c r="F86" s="37">
        <f t="shared" si="11"/>
        <v>18</v>
      </c>
      <c r="G86" s="39">
        <f t="shared" si="4"/>
        <v>0.57484972884655883</v>
      </c>
      <c r="H86" s="39">
        <f t="shared" si="5"/>
        <v>21.011111111111109</v>
      </c>
      <c r="I86" s="431">
        <f t="shared" si="6"/>
        <v>4.7593865679534643E-2</v>
      </c>
      <c r="J86" s="431">
        <f t="shared" si="7"/>
        <v>0.62377281362430714</v>
      </c>
      <c r="K86" s="431">
        <f t="shared" si="8"/>
        <v>2.7359320780640031E-2</v>
      </c>
    </row>
    <row r="87" spans="3:14">
      <c r="C87" s="4">
        <f t="shared" si="10"/>
        <v>1700</v>
      </c>
      <c r="D87" s="37">
        <f t="shared" si="2"/>
        <v>2160</v>
      </c>
      <c r="E87" s="38">
        <f t="shared" si="3"/>
        <v>10.486827457300954</v>
      </c>
      <c r="F87" s="37">
        <f t="shared" si="11"/>
        <v>18</v>
      </c>
      <c r="G87" s="39">
        <f t="shared" si="4"/>
        <v>0.58260152540560861</v>
      </c>
      <c r="H87" s="39">
        <f t="shared" si="5"/>
        <v>21.011111111111109</v>
      </c>
      <c r="I87" s="431">
        <f t="shared" si="6"/>
        <v>4.7593865679534643E-2</v>
      </c>
      <c r="J87" s="431">
        <f t="shared" si="7"/>
        <v>0.62377281362430714</v>
      </c>
      <c r="K87" s="431">
        <f t="shared" si="8"/>
        <v>2.7728258744846527E-2</v>
      </c>
    </row>
    <row r="88" spans="3:14">
      <c r="C88" s="4">
        <f t="shared" si="10"/>
        <v>1800</v>
      </c>
      <c r="D88" s="37">
        <f t="shared" si="2"/>
        <v>2260</v>
      </c>
      <c r="E88" s="38">
        <f t="shared" si="3"/>
        <v>10.620594687733073</v>
      </c>
      <c r="F88" s="37">
        <f t="shared" si="11"/>
        <v>18</v>
      </c>
      <c r="G88" s="39">
        <f t="shared" si="4"/>
        <v>0.59003303820739295</v>
      </c>
      <c r="H88" s="39">
        <f t="shared" si="5"/>
        <v>21.011111111111109</v>
      </c>
      <c r="I88" s="431">
        <f t="shared" si="6"/>
        <v>4.7593865679534643E-2</v>
      </c>
      <c r="J88" s="431">
        <f t="shared" si="7"/>
        <v>0.62377281362430714</v>
      </c>
      <c r="K88" s="431">
        <f t="shared" si="8"/>
        <v>2.8081953166930393E-2</v>
      </c>
    </row>
    <row r="89" spans="3:14">
      <c r="C89" s="4">
        <f t="shared" si="10"/>
        <v>1900</v>
      </c>
      <c r="D89" s="37">
        <f t="shared" si="2"/>
        <v>2360</v>
      </c>
      <c r="E89" s="38">
        <f t="shared" si="3"/>
        <v>10.748915580525086</v>
      </c>
      <c r="F89" s="37">
        <f t="shared" si="11"/>
        <v>18</v>
      </c>
      <c r="G89" s="39">
        <f t="shared" si="4"/>
        <v>0.59716197669583815</v>
      </c>
      <c r="H89" s="39">
        <f t="shared" si="5"/>
        <v>21.011111111111109</v>
      </c>
      <c r="I89" s="431">
        <f t="shared" si="6"/>
        <v>4.7593865679534643E-2</v>
      </c>
      <c r="J89" s="431">
        <f t="shared" si="7"/>
        <v>0.62377281362430714</v>
      </c>
      <c r="K89" s="431">
        <f t="shared" si="8"/>
        <v>2.8421246907787117E-2</v>
      </c>
    </row>
    <row r="90" spans="3:14">
      <c r="C90" s="4">
        <f t="shared" si="10"/>
        <v>2000</v>
      </c>
      <c r="D90" s="37">
        <f t="shared" si="2"/>
        <v>2460</v>
      </c>
      <c r="E90" s="38">
        <f t="shared" si="3"/>
        <v>10.872098747513114</v>
      </c>
      <c r="F90" s="37">
        <f t="shared" si="11"/>
        <v>18</v>
      </c>
      <c r="G90" s="39">
        <f t="shared" si="4"/>
        <v>0.60400548597295078</v>
      </c>
      <c r="H90" s="39">
        <f t="shared" si="5"/>
        <v>21.011111111111109</v>
      </c>
      <c r="I90" s="431">
        <f t="shared" si="6"/>
        <v>4.7593865679534643E-2</v>
      </c>
      <c r="J90" s="431">
        <f t="shared" si="7"/>
        <v>0.62377281362430714</v>
      </c>
      <c r="K90" s="431">
        <f t="shared" si="8"/>
        <v>2.8746955969098664E-2</v>
      </c>
    </row>
    <row r="91" spans="3:14">
      <c r="C91" s="4">
        <f t="shared" si="10"/>
        <v>2100</v>
      </c>
      <c r="D91" s="37">
        <f t="shared" si="2"/>
        <v>2560</v>
      </c>
      <c r="E91" s="38">
        <f t="shared" si="3"/>
        <v>10.990438980496736</v>
      </c>
      <c r="F91" s="37">
        <f t="shared" si="11"/>
        <v>18</v>
      </c>
      <c r="G91" s="39">
        <f t="shared" si="4"/>
        <v>0.6105799433609298</v>
      </c>
      <c r="H91" s="39">
        <f t="shared" si="5"/>
        <v>21.011111111111109</v>
      </c>
      <c r="I91" s="431">
        <f t="shared" si="6"/>
        <v>4.7593865679534643E-2</v>
      </c>
      <c r="J91" s="431">
        <f t="shared" si="7"/>
        <v>0.62377281362430714</v>
      </c>
      <c r="K91" s="431">
        <f t="shared" si="8"/>
        <v>2.9059859810937963E-2</v>
      </c>
    </row>
    <row r="92" spans="3:14">
      <c r="C92" s="4">
        <f t="shared" si="10"/>
        <v>2200</v>
      </c>
      <c r="D92" s="37">
        <f t="shared" si="2"/>
        <v>2660</v>
      </c>
      <c r="E92" s="38">
        <f t="shared" si="3"/>
        <v>11.104215362312942</v>
      </c>
      <c r="F92" s="37">
        <f t="shared" si="11"/>
        <v>18</v>
      </c>
      <c r="G92" s="39">
        <f t="shared" si="4"/>
        <v>0.6169008534618301</v>
      </c>
      <c r="H92" s="39">
        <f t="shared" si="5"/>
        <v>21.011111111111109</v>
      </c>
      <c r="I92" s="431">
        <f t="shared" si="6"/>
        <v>4.7593865679534643E-2</v>
      </c>
      <c r="J92" s="431">
        <f t="shared" si="7"/>
        <v>0.62377281362430714</v>
      </c>
      <c r="K92" s="431">
        <f t="shared" si="8"/>
        <v>2.9360696357252625E-2</v>
      </c>
    </row>
    <row r="93" spans="3:14">
      <c r="C93" s="4">
        <f t="shared" si="10"/>
        <v>2300</v>
      </c>
      <c r="D93" s="37">
        <f t="shared" si="2"/>
        <v>2760</v>
      </c>
      <c r="E93" s="38">
        <f t="shared" si="3"/>
        <v>11.213690514016628</v>
      </c>
      <c r="F93" s="37">
        <f t="shared" si="11"/>
        <v>18</v>
      </c>
      <c r="G93" s="39">
        <f t="shared" si="4"/>
        <v>0.62298280633425707</v>
      </c>
      <c r="H93" s="39">
        <f t="shared" si="5"/>
        <v>21.011111111111109</v>
      </c>
      <c r="I93" s="431">
        <f t="shared" si="6"/>
        <v>4.7593865679534643E-2</v>
      </c>
      <c r="J93" s="431">
        <f t="shared" si="7"/>
        <v>0.62377281362430714</v>
      </c>
      <c r="K93" s="431">
        <f t="shared" si="8"/>
        <v>2.9650160005332174E-2</v>
      </c>
    </row>
    <row r="94" spans="3:14">
      <c r="C94" s="440">
        <f>'Av.Ht.Solid - current '!C88</f>
        <v>0</v>
      </c>
      <c r="D94" s="441">
        <f t="shared" si="2"/>
        <v>460</v>
      </c>
      <c r="E94" s="442">
        <f t="shared" si="3"/>
        <v>8.3290793001135874</v>
      </c>
      <c r="F94" s="441">
        <f t="shared" si="11"/>
        <v>18</v>
      </c>
      <c r="G94" s="443">
        <f t="shared" si="4"/>
        <v>0.46272662778408818</v>
      </c>
      <c r="H94" s="443">
        <f t="shared" si="5"/>
        <v>21.011111111111109</v>
      </c>
      <c r="I94" s="444">
        <f t="shared" si="6"/>
        <v>4.7593865679534643E-2</v>
      </c>
      <c r="J94" s="444">
        <f t="shared" si="7"/>
        <v>0.62377281362430714</v>
      </c>
      <c r="K94" s="444">
        <f t="shared" si="8"/>
        <v>2.2022948969099915E-2</v>
      </c>
    </row>
    <row r="95" spans="3:14">
      <c r="C95" s="445"/>
      <c r="D95" s="446"/>
      <c r="E95" s="447"/>
      <c r="F95" s="446"/>
      <c r="G95" s="448"/>
      <c r="H95" s="448"/>
      <c r="I95" s="449"/>
      <c r="J95" s="449"/>
      <c r="K95" s="449"/>
    </row>
    <row r="96" spans="3:14">
      <c r="C96" s="445"/>
      <c r="D96" s="446"/>
      <c r="E96" s="447"/>
      <c r="F96" s="446"/>
      <c r="G96" s="448"/>
      <c r="H96" s="448"/>
      <c r="I96" s="449"/>
      <c r="J96" s="449"/>
      <c r="K96" s="449"/>
    </row>
    <row r="97" spans="3:11">
      <c r="C97" s="445"/>
      <c r="D97" s="446"/>
      <c r="E97" s="447"/>
      <c r="F97" s="446"/>
      <c r="G97" s="448"/>
      <c r="H97" s="448"/>
      <c r="I97" s="449"/>
      <c r="J97" s="449"/>
      <c r="K97" s="449"/>
    </row>
    <row r="100" spans="3:11">
      <c r="C100" s="99">
        <v>300</v>
      </c>
      <c r="D100" s="99">
        <v>0.44849749926931831</v>
      </c>
      <c r="E100" s="99">
        <f t="shared" ref="E100:E120" si="12">0.424+6*10^-5*C100+7*10^-8*C100^2-4*10^-11*C100^3+8*10^-15*C100^4</f>
        <v>0.44728479999999998</v>
      </c>
      <c r="F100" s="450">
        <f t="shared" ref="F100:F120" si="13">(D100-E100)/D100</f>
        <v>2.7039153424356448E-3</v>
      </c>
    </row>
    <row r="101" spans="3:11">
      <c r="C101" s="99">
        <v>400</v>
      </c>
      <c r="D101" s="99">
        <v>0.4568555110758058</v>
      </c>
      <c r="E101" s="99">
        <f t="shared" si="12"/>
        <v>0.4568448</v>
      </c>
      <c r="F101" s="450">
        <f t="shared" si="13"/>
        <v>2.3445215272942999E-5</v>
      </c>
    </row>
    <row r="102" spans="3:11">
      <c r="C102" s="99">
        <v>500</v>
      </c>
      <c r="D102" s="99">
        <v>0.46691154736767221</v>
      </c>
      <c r="E102" s="99">
        <f t="shared" si="12"/>
        <v>0.46700000000000003</v>
      </c>
      <c r="F102" s="450">
        <f t="shared" si="13"/>
        <v>-1.894419463953958E-4</v>
      </c>
    </row>
    <row r="103" spans="3:11">
      <c r="C103" s="99">
        <v>600</v>
      </c>
      <c r="D103" s="99">
        <v>0.47770902558998685</v>
      </c>
      <c r="E103" s="99">
        <f t="shared" si="12"/>
        <v>0.47759679999999999</v>
      </c>
      <c r="F103" s="450">
        <f t="shared" si="13"/>
        <v>2.349245753694021E-4</v>
      </c>
    </row>
    <row r="104" spans="3:11">
      <c r="C104" s="99">
        <v>700</v>
      </c>
      <c r="D104" s="99">
        <v>0.4887218716036339</v>
      </c>
      <c r="E104" s="99">
        <f t="shared" si="12"/>
        <v>0.48850079999999996</v>
      </c>
      <c r="F104" s="450">
        <f t="shared" si="13"/>
        <v>4.5234644995227987E-4</v>
      </c>
    </row>
    <row r="105" spans="3:11">
      <c r="C105" s="99">
        <v>800</v>
      </c>
      <c r="D105" s="99">
        <v>0.49965618240463744</v>
      </c>
      <c r="E105" s="99">
        <f t="shared" si="12"/>
        <v>0.49959679999999995</v>
      </c>
      <c r="F105" s="450">
        <f t="shared" si="13"/>
        <v>1.1884653233290155E-4</v>
      </c>
    </row>
    <row r="106" spans="3:11">
      <c r="C106" s="99">
        <v>900</v>
      </c>
      <c r="D106" s="99">
        <v>0.51034835931309575</v>
      </c>
      <c r="E106" s="99">
        <f t="shared" si="12"/>
        <v>0.51078880000000004</v>
      </c>
      <c r="F106" s="450">
        <f t="shared" si="13"/>
        <v>-8.6301969795123763E-4</v>
      </c>
    </row>
    <row r="107" spans="3:11">
      <c r="C107" s="99">
        <v>1000</v>
      </c>
      <c r="D107" s="99">
        <v>0.52071012289177676</v>
      </c>
      <c r="E107" s="99">
        <f t="shared" si="12"/>
        <v>0.52200000000000002</v>
      </c>
      <c r="F107" s="450">
        <f t="shared" si="13"/>
        <v>-2.4771500524320396E-3</v>
      </c>
    </row>
    <row r="108" spans="3:11">
      <c r="C108" s="99">
        <v>1100</v>
      </c>
      <c r="D108" s="99">
        <v>0.53069762522047681</v>
      </c>
      <c r="E108" s="99">
        <f t="shared" si="12"/>
        <v>0.5331728</v>
      </c>
      <c r="F108" s="450">
        <f t="shared" si="13"/>
        <v>-4.6640019888818766E-3</v>
      </c>
    </row>
    <row r="109" spans="3:11">
      <c r="C109" s="99">
        <v>1200</v>
      </c>
      <c r="D109" s="99">
        <v>0.54029353238851208</v>
      </c>
      <c r="E109" s="99">
        <f t="shared" si="12"/>
        <v>0.5442688</v>
      </c>
      <c r="F109" s="450">
        <f t="shared" si="13"/>
        <v>-7.357607250847862E-3</v>
      </c>
    </row>
    <row r="110" spans="3:11">
      <c r="C110" s="99">
        <v>1300</v>
      </c>
      <c r="D110" s="99">
        <v>0.5494963606596206</v>
      </c>
      <c r="E110" s="99">
        <f t="shared" si="12"/>
        <v>0.55526880000000001</v>
      </c>
      <c r="F110" s="450">
        <f t="shared" si="13"/>
        <v>-1.0504963733426948E-2</v>
      </c>
    </row>
    <row r="111" spans="3:11">
      <c r="C111" s="99">
        <v>1400</v>
      </c>
      <c r="D111" s="99">
        <v>0.55831400144861698</v>
      </c>
      <c r="E111" s="99">
        <f t="shared" si="12"/>
        <v>0.56617280000000003</v>
      </c>
      <c r="F111" s="450">
        <f t="shared" si="13"/>
        <v>-1.4075947461450715E-2</v>
      </c>
    </row>
    <row r="112" spans="3:11">
      <c r="C112" s="99">
        <v>1500</v>
      </c>
      <c r="D112" s="99">
        <v>0.56675973118800127</v>
      </c>
      <c r="E112" s="99">
        <f t="shared" si="12"/>
        <v>0.57699999999999996</v>
      </c>
      <c r="F112" s="450">
        <f t="shared" si="13"/>
        <v>-1.8068095258874105E-2</v>
      </c>
    </row>
    <row r="113" spans="2:11">
      <c r="C113">
        <v>1600</v>
      </c>
      <c r="D113">
        <v>0.57484972884655883</v>
      </c>
      <c r="E113">
        <f t="shared" si="12"/>
        <v>0.58778880000000011</v>
      </c>
      <c r="F113" s="451">
        <f t="shared" si="13"/>
        <v>-2.2508614867756217E-2</v>
      </c>
    </row>
    <row r="114" spans="2:11">
      <c r="C114">
        <v>1700</v>
      </c>
      <c r="D114">
        <v>0.58260152540560861</v>
      </c>
      <c r="E114">
        <f t="shared" si="12"/>
        <v>0.59859680000000004</v>
      </c>
      <c r="F114" s="451">
        <f t="shared" si="13"/>
        <v>-2.74549136877997E-2</v>
      </c>
    </row>
    <row r="115" spans="2:11">
      <c r="C115">
        <v>1800</v>
      </c>
      <c r="D115">
        <v>0.59003303820739295</v>
      </c>
      <c r="E115">
        <f t="shared" si="12"/>
        <v>0.60950079999999995</v>
      </c>
      <c r="F115" s="451">
        <f t="shared" si="13"/>
        <v>-3.2994358844299514E-2</v>
      </c>
    </row>
    <row r="116" spans="2:11">
      <c r="C116">
        <v>1900</v>
      </c>
      <c r="D116">
        <v>0.59716197669583815</v>
      </c>
      <c r="E116">
        <f t="shared" si="12"/>
        <v>0.62059680000000006</v>
      </c>
      <c r="F116" s="451">
        <f t="shared" si="13"/>
        <v>-3.9243662889973885E-2</v>
      </c>
    </row>
    <row r="117" spans="2:11">
      <c r="C117">
        <v>2000</v>
      </c>
      <c r="D117">
        <v>0.60400548597295078</v>
      </c>
      <c r="E117">
        <f t="shared" si="12"/>
        <v>0.63200000000000001</v>
      </c>
      <c r="F117" s="451">
        <f t="shared" si="13"/>
        <v>-4.6348112189667931E-2</v>
      </c>
    </row>
    <row r="118" spans="2:11">
      <c r="C118">
        <v>2100</v>
      </c>
      <c r="D118">
        <v>0.6105799433609298</v>
      </c>
      <c r="E118">
        <f t="shared" si="12"/>
        <v>0.64384480000000011</v>
      </c>
      <c r="F118" s="451">
        <f t="shared" si="13"/>
        <v>-5.448075555178624E-2</v>
      </c>
    </row>
    <row r="119" spans="2:11">
      <c r="C119">
        <v>2200</v>
      </c>
      <c r="D119">
        <v>0.6169008534618301</v>
      </c>
      <c r="E119">
        <f t="shared" si="12"/>
        <v>0.65628480000000011</v>
      </c>
      <c r="F119" s="451">
        <f t="shared" si="13"/>
        <v>-6.3841614608184105E-2</v>
      </c>
    </row>
    <row r="120" spans="2:11">
      <c r="C120">
        <v>2300</v>
      </c>
      <c r="D120">
        <v>0.62298280633425707</v>
      </c>
      <c r="E120">
        <f t="shared" si="12"/>
        <v>0.66949280000000022</v>
      </c>
      <c r="F120" s="451">
        <f t="shared" si="13"/>
        <v>-7.465694589456863E-2</v>
      </c>
    </row>
    <row r="125" spans="2:11">
      <c r="F125" s="452"/>
    </row>
    <row r="126" spans="2:11">
      <c r="D126" t="s">
        <v>1066</v>
      </c>
      <c r="E126" t="s">
        <v>416</v>
      </c>
      <c r="G126" t="s">
        <v>417</v>
      </c>
    </row>
    <row r="127" spans="2:11">
      <c r="B127">
        <f t="shared" ref="B127:B142" si="14">B128-100</f>
        <v>0</v>
      </c>
      <c r="C127">
        <f t="shared" ref="C127:C150" si="15">B127+460</f>
        <v>460</v>
      </c>
      <c r="D127" s="453">
        <f t="shared" ref="D127:D150" si="16">(19.86-597/C127^0.5+7500/C127)/(18*21.011)</f>
        <v>2.202306543163525E-2</v>
      </c>
      <c r="E127" s="453">
        <f t="shared" ref="E127:E150" si="17">(19.86-597/C127^0.5+7500/C127)/18</f>
        <v>0.46272662778408818</v>
      </c>
      <c r="G127">
        <f t="shared" ref="G127:G150" si="18">($K$73+(D127-$K$73)/2)</f>
        <v>2.1684397584733187E-2</v>
      </c>
      <c r="I127" s="426">
        <f t="shared" ref="I127:I150" si="19">(D127+$D$127)/2</f>
        <v>2.202306543163525E-2</v>
      </c>
      <c r="K127" s="426">
        <f t="shared" ref="K127:K150" si="20">(D127-I127)/D127</f>
        <v>0</v>
      </c>
    </row>
    <row r="128" spans="2:11">
      <c r="B128">
        <f t="shared" si="14"/>
        <v>100</v>
      </c>
      <c r="C128">
        <f t="shared" si="15"/>
        <v>560</v>
      </c>
      <c r="D128" s="453">
        <f t="shared" si="16"/>
        <v>2.1219050971213283E-2</v>
      </c>
      <c r="E128" s="453">
        <f t="shared" si="17"/>
        <v>0.44583347995616229</v>
      </c>
      <c r="G128">
        <f t="shared" si="18"/>
        <v>2.1282390354522202E-2</v>
      </c>
      <c r="I128" s="426">
        <f t="shared" si="19"/>
        <v>2.1621058201424265E-2</v>
      </c>
      <c r="K128" s="454">
        <f t="shared" si="20"/>
        <v>-1.8945580118373939E-2</v>
      </c>
    </row>
    <row r="129" spans="2:11">
      <c r="B129">
        <f t="shared" si="14"/>
        <v>200</v>
      </c>
      <c r="C129">
        <f t="shared" si="15"/>
        <v>660</v>
      </c>
      <c r="D129" s="453">
        <f t="shared" si="16"/>
        <v>2.1114450315482633E-2</v>
      </c>
      <c r="E129" s="453">
        <f t="shared" si="17"/>
        <v>0.44363571557860559</v>
      </c>
      <c r="G129">
        <f t="shared" si="18"/>
        <v>2.1230090026656878E-2</v>
      </c>
      <c r="I129" s="426">
        <f t="shared" si="19"/>
        <v>2.1568757873558941E-2</v>
      </c>
      <c r="K129" s="454">
        <f t="shared" si="20"/>
        <v>-2.1516428383796353E-2</v>
      </c>
    </row>
    <row r="130" spans="2:11">
      <c r="B130">
        <f t="shared" si="14"/>
        <v>300</v>
      </c>
      <c r="C130">
        <f t="shared" si="15"/>
        <v>760</v>
      </c>
      <c r="D130" s="453">
        <f t="shared" si="16"/>
        <v>2.1345842619071836E-2</v>
      </c>
      <c r="E130" s="453">
        <f t="shared" si="17"/>
        <v>0.44849749926931831</v>
      </c>
      <c r="G130">
        <f t="shared" si="18"/>
        <v>2.1345786178451481E-2</v>
      </c>
      <c r="I130" s="426">
        <f t="shared" si="19"/>
        <v>2.1684454025353544E-2</v>
      </c>
      <c r="K130" s="454">
        <f t="shared" si="20"/>
        <v>-1.5863107974907028E-2</v>
      </c>
    </row>
    <row r="131" spans="2:11">
      <c r="B131">
        <f t="shared" si="14"/>
        <v>400</v>
      </c>
      <c r="C131">
        <f t="shared" si="15"/>
        <v>860</v>
      </c>
      <c r="D131" s="453">
        <f t="shared" si="16"/>
        <v>2.1743634813945353E-2</v>
      </c>
      <c r="E131" s="453">
        <f t="shared" si="17"/>
        <v>0.4568555110758058</v>
      </c>
      <c r="G131">
        <f t="shared" si="18"/>
        <v>2.1544682275888238E-2</v>
      </c>
      <c r="I131" s="426">
        <f t="shared" si="19"/>
        <v>2.1883350122790302E-2</v>
      </c>
      <c r="K131" s="454">
        <f t="shared" si="20"/>
        <v>-6.4255728189171633E-3</v>
      </c>
    </row>
    <row r="132" spans="2:11">
      <c r="B132">
        <f t="shared" si="14"/>
        <v>500</v>
      </c>
      <c r="C132">
        <f t="shared" si="15"/>
        <v>960</v>
      </c>
      <c r="D132" s="453">
        <f t="shared" si="16"/>
        <v>2.2222242985468193E-2</v>
      </c>
      <c r="E132" s="453">
        <f t="shared" si="17"/>
        <v>0.46691154736767221</v>
      </c>
      <c r="G132">
        <f t="shared" si="18"/>
        <v>2.178398636164966E-2</v>
      </c>
      <c r="I132" s="426">
        <f t="shared" si="19"/>
        <v>2.2122654208551723E-2</v>
      </c>
      <c r="K132" s="454">
        <f t="shared" si="20"/>
        <v>4.4814907739778552E-3</v>
      </c>
    </row>
    <row r="133" spans="2:11">
      <c r="B133">
        <f t="shared" si="14"/>
        <v>600</v>
      </c>
      <c r="C133">
        <f t="shared" si="15"/>
        <v>1060</v>
      </c>
      <c r="D133" s="453">
        <f t="shared" si="16"/>
        <v>2.2736139431249674E-2</v>
      </c>
      <c r="E133" s="453">
        <f t="shared" si="17"/>
        <v>0.47770902558998685</v>
      </c>
      <c r="G133">
        <f t="shared" si="18"/>
        <v>2.20409345845404E-2</v>
      </c>
      <c r="I133" s="426">
        <f t="shared" si="19"/>
        <v>2.2379602431442464E-2</v>
      </c>
      <c r="K133" s="454">
        <f t="shared" si="20"/>
        <v>1.5681510085972124E-2</v>
      </c>
    </row>
    <row r="134" spans="2:11">
      <c r="B134">
        <f t="shared" si="14"/>
        <v>700</v>
      </c>
      <c r="C134">
        <f t="shared" si="15"/>
        <v>1160</v>
      </c>
      <c r="D134" s="453">
        <f t="shared" si="16"/>
        <v>2.3260286116968915E-2</v>
      </c>
      <c r="E134" s="453">
        <f t="shared" si="17"/>
        <v>0.4887218716036339</v>
      </c>
      <c r="G134">
        <f t="shared" si="18"/>
        <v>2.2303007927400018E-2</v>
      </c>
      <c r="I134" s="426">
        <f t="shared" si="19"/>
        <v>2.2641675774302081E-2</v>
      </c>
      <c r="K134" s="454">
        <f t="shared" si="20"/>
        <v>2.6595130410521646E-2</v>
      </c>
    </row>
    <row r="135" spans="2:11">
      <c r="B135">
        <f t="shared" si="14"/>
        <v>800</v>
      </c>
      <c r="C135">
        <f t="shared" si="15"/>
        <v>1260</v>
      </c>
      <c r="D135" s="453">
        <f t="shared" si="16"/>
        <v>2.3780694988560159E-2</v>
      </c>
      <c r="E135" s="453">
        <f t="shared" si="17"/>
        <v>0.49965618240463744</v>
      </c>
      <c r="G135">
        <f t="shared" si="18"/>
        <v>2.2563212363195639E-2</v>
      </c>
      <c r="I135" s="426">
        <f t="shared" si="19"/>
        <v>2.2901880210097703E-2</v>
      </c>
      <c r="K135" s="454">
        <f t="shared" si="20"/>
        <v>3.6954966155750085E-2</v>
      </c>
    </row>
    <row r="136" spans="2:11">
      <c r="B136">
        <f t="shared" si="14"/>
        <v>900</v>
      </c>
      <c r="C136">
        <f t="shared" si="15"/>
        <v>1360</v>
      </c>
      <c r="D136" s="453">
        <f t="shared" si="16"/>
        <v>2.4289579711251046E-2</v>
      </c>
      <c r="E136" s="453">
        <f t="shared" si="17"/>
        <v>0.51034835931309575</v>
      </c>
      <c r="G136">
        <f t="shared" si="18"/>
        <v>2.2817654724541087E-2</v>
      </c>
      <c r="I136" s="426">
        <f t="shared" si="19"/>
        <v>2.315632257144315E-2</v>
      </c>
      <c r="K136" s="454">
        <f t="shared" si="20"/>
        <v>4.6656103287080204E-2</v>
      </c>
    </row>
    <row r="137" spans="2:11">
      <c r="B137">
        <f t="shared" si="14"/>
        <v>1000</v>
      </c>
      <c r="C137">
        <f t="shared" si="15"/>
        <v>1460</v>
      </c>
      <c r="D137" s="453">
        <f t="shared" si="16"/>
        <v>2.4782738703144867E-2</v>
      </c>
      <c r="E137" s="453">
        <f t="shared" si="17"/>
        <v>0.52071012289177676</v>
      </c>
      <c r="G137">
        <f t="shared" si="18"/>
        <v>2.3064234220487995E-2</v>
      </c>
      <c r="I137" s="426">
        <f t="shared" si="19"/>
        <v>2.3402902067390059E-2</v>
      </c>
      <c r="K137" s="454">
        <f t="shared" si="20"/>
        <v>5.5677326557121425E-2</v>
      </c>
    </row>
    <row r="138" spans="2:11">
      <c r="B138">
        <f t="shared" si="14"/>
        <v>1100</v>
      </c>
      <c r="C138">
        <f t="shared" si="15"/>
        <v>1560</v>
      </c>
      <c r="D138" s="453">
        <f t="shared" si="16"/>
        <v>2.5258085061181136E-2</v>
      </c>
      <c r="E138" s="453">
        <f t="shared" si="17"/>
        <v>0.53069762522047681</v>
      </c>
      <c r="G138">
        <f t="shared" si="18"/>
        <v>2.330190739950613E-2</v>
      </c>
      <c r="I138" s="426">
        <f t="shared" si="19"/>
        <v>2.3640575246408193E-2</v>
      </c>
      <c r="K138" s="454">
        <f t="shared" si="20"/>
        <v>6.4039289235702027E-2</v>
      </c>
    </row>
    <row r="139" spans="2:11">
      <c r="B139">
        <f t="shared" si="14"/>
        <v>1200</v>
      </c>
      <c r="C139">
        <f t="shared" si="15"/>
        <v>1660</v>
      </c>
      <c r="D139" s="453">
        <f t="shared" si="16"/>
        <v>2.5714793793180341E-2</v>
      </c>
      <c r="E139" s="453">
        <f t="shared" si="17"/>
        <v>0.54029353238851208</v>
      </c>
      <c r="G139">
        <f t="shared" si="18"/>
        <v>2.3530261765505732E-2</v>
      </c>
      <c r="I139" s="426">
        <f t="shared" si="19"/>
        <v>2.3868929612407795E-2</v>
      </c>
      <c r="K139" s="454">
        <f t="shared" si="20"/>
        <v>7.1782188712789741E-2</v>
      </c>
    </row>
    <row r="140" spans="2:11">
      <c r="B140">
        <f t="shared" si="14"/>
        <v>1300</v>
      </c>
      <c r="C140">
        <f t="shared" si="15"/>
        <v>1760</v>
      </c>
      <c r="D140" s="453">
        <f t="shared" si="16"/>
        <v>2.6152794282024685E-2</v>
      </c>
      <c r="E140" s="453">
        <f t="shared" si="17"/>
        <v>0.5494963606596206</v>
      </c>
      <c r="G140">
        <f t="shared" si="18"/>
        <v>2.3749262009927906E-2</v>
      </c>
      <c r="I140" s="426">
        <f t="shared" si="19"/>
        <v>2.4087929856829969E-2</v>
      </c>
      <c r="K140" s="454">
        <f t="shared" si="20"/>
        <v>7.8953874026911786E-2</v>
      </c>
    </row>
    <row r="141" spans="2:11">
      <c r="B141">
        <f t="shared" si="14"/>
        <v>1400</v>
      </c>
      <c r="C141">
        <f t="shared" si="15"/>
        <v>1860</v>
      </c>
      <c r="D141" s="453">
        <f t="shared" si="16"/>
        <v>2.6572462112637047E-2</v>
      </c>
      <c r="E141" s="453">
        <f t="shared" si="17"/>
        <v>0.55831400144861698</v>
      </c>
      <c r="G141">
        <f t="shared" si="18"/>
        <v>2.3959095925234083E-2</v>
      </c>
      <c r="I141" s="426">
        <f t="shared" si="19"/>
        <v>2.4297763772136147E-2</v>
      </c>
      <c r="K141" s="454">
        <f t="shared" si="20"/>
        <v>8.5603597094569703E-2</v>
      </c>
    </row>
    <row r="142" spans="2:11">
      <c r="B142">
        <f t="shared" si="14"/>
        <v>1500</v>
      </c>
      <c r="C142">
        <f t="shared" si="15"/>
        <v>1960</v>
      </c>
      <c r="D142" s="453">
        <f t="shared" si="16"/>
        <v>2.6974429165104053E-2</v>
      </c>
      <c r="E142" s="453">
        <f t="shared" si="17"/>
        <v>0.56675973118800127</v>
      </c>
      <c r="G142">
        <f t="shared" si="18"/>
        <v>2.4160079451467587E-2</v>
      </c>
      <c r="I142" s="426">
        <f t="shared" si="19"/>
        <v>2.449874729836965E-2</v>
      </c>
      <c r="K142" s="454">
        <f t="shared" si="20"/>
        <v>9.1778841790547058E-2</v>
      </c>
    </row>
    <row r="143" spans="2:11">
      <c r="B143">
        <v>1600</v>
      </c>
      <c r="C143">
        <f t="shared" si="15"/>
        <v>2060</v>
      </c>
      <c r="D143" s="453">
        <f t="shared" si="16"/>
        <v>2.7359465463164954E-2</v>
      </c>
      <c r="E143" s="453">
        <f t="shared" si="17"/>
        <v>0.57484972884655883</v>
      </c>
      <c r="G143">
        <f t="shared" si="18"/>
        <v>2.4352597600498037E-2</v>
      </c>
      <c r="I143" s="426">
        <f t="shared" si="19"/>
        <v>2.46912654474001E-2</v>
      </c>
      <c r="K143" s="454">
        <f t="shared" si="20"/>
        <v>9.7523835740034787E-2</v>
      </c>
    </row>
    <row r="144" spans="2:11">
      <c r="B144">
        <v>1700</v>
      </c>
      <c r="C144">
        <f t="shared" si="15"/>
        <v>2160</v>
      </c>
      <c r="D144" s="453">
        <f t="shared" si="16"/>
        <v>2.77284053784022E-2</v>
      </c>
      <c r="E144" s="453">
        <f t="shared" si="17"/>
        <v>0.58260152540560861</v>
      </c>
      <c r="G144">
        <f t="shared" si="18"/>
        <v>2.453706755811666E-2</v>
      </c>
      <c r="I144" s="426">
        <f t="shared" si="19"/>
        <v>2.4875735405018723E-2</v>
      </c>
      <c r="K144" s="454">
        <f t="shared" si="20"/>
        <v>0.10287897679126677</v>
      </c>
    </row>
    <row r="145" spans="2:11">
      <c r="B145">
        <v>1800</v>
      </c>
      <c r="C145">
        <f t="shared" si="15"/>
        <v>2260</v>
      </c>
      <c r="D145" s="453">
        <f t="shared" si="16"/>
        <v>2.8082101670905382E-2</v>
      </c>
      <c r="E145" s="453">
        <f t="shared" si="17"/>
        <v>0.59003303820739295</v>
      </c>
      <c r="G145">
        <f t="shared" si="18"/>
        <v>2.4713915704368254E-2</v>
      </c>
      <c r="I145" s="426">
        <f t="shared" si="19"/>
        <v>2.5052583551270317E-2</v>
      </c>
      <c r="K145" s="454">
        <f t="shared" si="20"/>
        <v>0.10788074750024189</v>
      </c>
    </row>
    <row r="146" spans="2:11">
      <c r="B146">
        <v>1900</v>
      </c>
      <c r="C146">
        <f t="shared" si="15"/>
        <v>2360</v>
      </c>
      <c r="D146" s="453">
        <f t="shared" si="16"/>
        <v>2.8421397206027231E-2</v>
      </c>
      <c r="E146" s="453">
        <f t="shared" si="17"/>
        <v>0.59716197669583815</v>
      </c>
      <c r="G146">
        <f t="shared" si="18"/>
        <v>2.4883563471929177E-2</v>
      </c>
      <c r="I146" s="426">
        <f t="shared" si="19"/>
        <v>2.522223131883124E-2</v>
      </c>
      <c r="K146" s="454">
        <f t="shared" si="20"/>
        <v>0.11256187948837203</v>
      </c>
    </row>
    <row r="147" spans="2:11">
      <c r="B147">
        <v>2000</v>
      </c>
      <c r="C147">
        <f t="shared" si="15"/>
        <v>2460</v>
      </c>
      <c r="D147" s="453">
        <f t="shared" si="16"/>
        <v>2.8747107989764924E-2</v>
      </c>
      <c r="E147" s="453">
        <f t="shared" si="17"/>
        <v>0.60400548597295078</v>
      </c>
      <c r="G147">
        <f t="shared" si="18"/>
        <v>2.5046418863798024E-2</v>
      </c>
      <c r="I147" s="426">
        <f t="shared" si="19"/>
        <v>2.5385086710700087E-2</v>
      </c>
      <c r="K147" s="454">
        <f t="shared" si="20"/>
        <v>0.11695163493530709</v>
      </c>
    </row>
    <row r="148" spans="2:11">
      <c r="B148">
        <v>2100</v>
      </c>
      <c r="C148">
        <f t="shared" si="15"/>
        <v>2560</v>
      </c>
      <c r="D148" s="453">
        <f t="shared" si="16"/>
        <v>2.906001348631335E-2</v>
      </c>
      <c r="E148" s="453">
        <f t="shared" si="17"/>
        <v>0.6105799433609298</v>
      </c>
      <c r="G148">
        <f t="shared" si="18"/>
        <v>2.5202871612072235E-2</v>
      </c>
      <c r="I148" s="426">
        <f t="shared" si="19"/>
        <v>2.5541539458974298E-2</v>
      </c>
      <c r="K148" s="454">
        <f t="shared" si="20"/>
        <v>0.12107613195004807</v>
      </c>
    </row>
    <row r="149" spans="2:11">
      <c r="B149">
        <v>2200</v>
      </c>
      <c r="C149">
        <f t="shared" si="15"/>
        <v>2660</v>
      </c>
      <c r="D149" s="453">
        <f t="shared" si="16"/>
        <v>2.9360851623522449E-2</v>
      </c>
      <c r="E149" s="453">
        <f t="shared" si="17"/>
        <v>0.6169008534618301</v>
      </c>
      <c r="G149">
        <f t="shared" si="18"/>
        <v>2.5353290680676786E-2</v>
      </c>
      <c r="I149" s="426">
        <f t="shared" si="19"/>
        <v>2.569195852757885E-2</v>
      </c>
      <c r="K149" s="454">
        <f t="shared" si="20"/>
        <v>0.12495867432551805</v>
      </c>
    </row>
    <row r="150" spans="2:11">
      <c r="B150">
        <v>2300</v>
      </c>
      <c r="C150">
        <f t="shared" si="15"/>
        <v>2760</v>
      </c>
      <c r="D150" s="453">
        <f t="shared" si="16"/>
        <v>2.965031680235387E-2</v>
      </c>
      <c r="E150" s="453">
        <f t="shared" si="17"/>
        <v>0.62298280633425707</v>
      </c>
      <c r="G150">
        <f t="shared" si="18"/>
        <v>2.5498023270092499E-2</v>
      </c>
      <c r="I150" s="426">
        <f t="shared" si="19"/>
        <v>2.5836691116994562E-2</v>
      </c>
      <c r="K150" s="454">
        <f t="shared" si="20"/>
        <v>0.12862006536997789</v>
      </c>
    </row>
    <row r="154" spans="2:11">
      <c r="B154" t="s">
        <v>418</v>
      </c>
    </row>
    <row r="155" spans="2:11">
      <c r="D155" t="s">
        <v>419</v>
      </c>
    </row>
    <row r="157" spans="2:11">
      <c r="D157">
        <v>19.86</v>
      </c>
      <c r="E157">
        <v>597</v>
      </c>
      <c r="F157">
        <v>7500</v>
      </c>
    </row>
    <row r="159" spans="2:11">
      <c r="B159">
        <v>100</v>
      </c>
    </row>
  </sheetData>
  <mergeCells count="9">
    <mergeCell ref="L26:L27"/>
    <mergeCell ref="L29:L30"/>
    <mergeCell ref="L32:L33"/>
    <mergeCell ref="L8:L9"/>
    <mergeCell ref="L11:L12"/>
    <mergeCell ref="L14:L15"/>
    <mergeCell ref="L17:L18"/>
    <mergeCell ref="L20:L21"/>
    <mergeCell ref="L23:L24"/>
  </mergeCells>
  <phoneticPr fontId="0" type="noConversion"/>
  <pageMargins left="0.75" right="0.75" top="1" bottom="1" header="0.5" footer="0.5"/>
  <headerFooter alignWithMargins="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U169"/>
  <sheetViews>
    <sheetView topLeftCell="A32" workbookViewId="0">
      <selection activeCell="H6" sqref="H6"/>
    </sheetView>
  </sheetViews>
  <sheetFormatPr defaultColWidth="0" defaultRowHeight="20.100000000000001" customHeight="1" zeroHeight="1"/>
  <cols>
    <col min="1" max="1" width="10.7109375" style="1428" customWidth="1"/>
    <col min="2" max="2" width="50.7109375" style="1429" customWidth="1"/>
    <col min="3" max="3" width="11.7109375" style="1428" customWidth="1"/>
    <col min="4" max="5" width="19.7109375" style="1428" customWidth="1"/>
    <col min="6" max="7" width="4.7109375" style="1697" customWidth="1"/>
    <col min="8" max="8" width="21.7109375" style="1697" customWidth="1"/>
    <col min="9" max="9" width="12" style="1698" hidden="1" customWidth="1"/>
    <col min="10" max="10" width="10.85546875" style="1561" hidden="1" customWidth="1"/>
    <col min="11" max="11" width="5.28515625" style="1561" hidden="1" customWidth="1"/>
    <col min="12" max="13" width="2.28515625" style="1561" hidden="1" customWidth="1"/>
    <col min="14" max="14" width="8.85546875" style="1561" hidden="1" customWidth="1"/>
    <col min="15" max="15" width="38.5703125" style="1561" hidden="1" customWidth="1"/>
    <col min="16" max="16" width="22.5703125" style="1561" hidden="1" customWidth="1"/>
    <col min="17" max="17" width="8.85546875" style="1561" hidden="1" customWidth="1"/>
    <col min="18" max="21" width="0" style="1561" hidden="1" customWidth="1"/>
    <col min="22" max="16384" width="9.140625" style="1561" hidden="1"/>
  </cols>
  <sheetData>
    <row r="1" spans="1:12" ht="18.75" hidden="1" customHeight="1"/>
    <row r="2" spans="1:12" ht="20.100000000000001" hidden="1" customHeight="1">
      <c r="A2" s="1428">
        <v>1.1000000000182899</v>
      </c>
    </row>
    <row r="3" spans="1:12" ht="20.100000000000001" hidden="1" customHeight="1">
      <c r="A3" s="1428" t="s">
        <v>1123</v>
      </c>
      <c r="D3" s="1428">
        <v>3.5000000000171898</v>
      </c>
      <c r="G3" s="1697">
        <v>2.7000000000240898</v>
      </c>
      <c r="L3" s="1561">
        <v>13.0000000000278</v>
      </c>
    </row>
    <row r="4" spans="1:12" ht="20.100000000000001" hidden="1" customHeight="1">
      <c r="A4" s="1428" t="s">
        <v>1124</v>
      </c>
      <c r="D4" s="1428" t="s">
        <v>1125</v>
      </c>
      <c r="G4" s="1697" t="s">
        <v>1126</v>
      </c>
      <c r="H4" s="1699" t="s">
        <v>776</v>
      </c>
      <c r="L4" s="1561" t="s">
        <v>1127</v>
      </c>
    </row>
    <row r="5" spans="1:12" ht="20.100000000000001" hidden="1" customHeight="1">
      <c r="A5" s="1428" t="s">
        <v>1128</v>
      </c>
      <c r="D5" s="1428" t="s">
        <v>1129</v>
      </c>
      <c r="G5" s="1697" t="s">
        <v>1130</v>
      </c>
      <c r="H5" s="1245" t="s">
        <v>8</v>
      </c>
      <c r="L5" s="1561" t="s">
        <v>1131</v>
      </c>
    </row>
    <row r="6" spans="1:12" ht="20.100000000000001" hidden="1" customHeight="1">
      <c r="D6" s="1428" t="s">
        <v>1132</v>
      </c>
      <c r="G6" s="1697" t="s">
        <v>1133</v>
      </c>
      <c r="H6" s="1700" t="s">
        <v>6</v>
      </c>
      <c r="L6" s="1561" t="s">
        <v>1134</v>
      </c>
    </row>
    <row r="7" spans="1:12" ht="20.100000000000001" hidden="1" customHeight="1">
      <c r="A7" s="1428" t="s">
        <v>1122</v>
      </c>
      <c r="D7" s="1428" t="s">
        <v>1122</v>
      </c>
      <c r="G7" s="1697" t="s">
        <v>1122</v>
      </c>
      <c r="H7" s="1699" t="s">
        <v>7</v>
      </c>
      <c r="L7" s="1561" t="s">
        <v>1122</v>
      </c>
    </row>
    <row r="8" spans="1:12" ht="20.100000000000001" hidden="1" customHeight="1">
      <c r="H8" s="1699" t="s">
        <v>774</v>
      </c>
    </row>
    <row r="9" spans="1:12" ht="20.100000000000001" hidden="1" customHeight="1">
      <c r="A9" s="1428">
        <v>29.499999998982101</v>
      </c>
      <c r="D9" s="1428">
        <v>23.999999996563901</v>
      </c>
      <c r="G9" s="1697">
        <v>35.4999999992976</v>
      </c>
      <c r="H9" s="1697" t="e">
        <f xml:space="preserve"> IF('Control page'!J2 = "English",#REF!,#REF!)</f>
        <v>#REF!</v>
      </c>
      <c r="L9" s="1561">
        <v>26.999999990356699</v>
      </c>
    </row>
    <row r="10" spans="1:12" ht="20.100000000000001" hidden="1" customHeight="1">
      <c r="A10" s="1428" t="s">
        <v>1135</v>
      </c>
      <c r="D10" s="1428" t="s">
        <v>1136</v>
      </c>
      <c r="G10" s="1697" t="s">
        <v>1137</v>
      </c>
      <c r="L10" s="1561" t="s">
        <v>1138</v>
      </c>
    </row>
    <row r="11" spans="1:12" ht="20.100000000000001" hidden="1" customHeight="1">
      <c r="A11" s="1428" t="s">
        <v>1139</v>
      </c>
      <c r="D11" s="1428" t="s">
        <v>1140</v>
      </c>
      <c r="G11" s="1697" t="s">
        <v>1141</v>
      </c>
      <c r="L11" s="1561" t="s">
        <v>1142</v>
      </c>
    </row>
    <row r="12" spans="1:12" ht="20.100000000000001" hidden="1" customHeight="1">
      <c r="A12" s="1428" t="s">
        <v>1143</v>
      </c>
      <c r="D12" s="1428" t="s">
        <v>1144</v>
      </c>
      <c r="G12" s="1697" t="s">
        <v>1145</v>
      </c>
      <c r="L12" s="1561" t="s">
        <v>1146</v>
      </c>
    </row>
    <row r="13" spans="1:12" ht="20.100000000000001" hidden="1" customHeight="1">
      <c r="A13" s="1428" t="s">
        <v>1147</v>
      </c>
      <c r="D13" s="1428" t="s">
        <v>1148</v>
      </c>
      <c r="G13" s="1697" t="s">
        <v>1149</v>
      </c>
      <c r="L13" s="1561" t="s">
        <v>1150</v>
      </c>
    </row>
    <row r="14" spans="1:12" ht="20.100000000000001" hidden="1" customHeight="1">
      <c r="A14" s="1428" t="s">
        <v>1151</v>
      </c>
      <c r="D14" s="1428" t="s">
        <v>1152</v>
      </c>
      <c r="G14" s="1697" t="s">
        <v>1153</v>
      </c>
      <c r="L14" s="1561" t="s">
        <v>1154</v>
      </c>
    </row>
    <row r="15" spans="1:12" ht="20.100000000000001" hidden="1" customHeight="1"/>
    <row r="16" spans="1:12" ht="20.100000000000001" hidden="1" customHeight="1"/>
    <row r="17" spans="1:5" ht="20.100000000000001" hidden="1" customHeight="1">
      <c r="A17" s="1428" t="s">
        <v>1155</v>
      </c>
      <c r="B17" s="1429" t="s">
        <v>1156</v>
      </c>
      <c r="C17" s="1428" t="s">
        <v>1157</v>
      </c>
      <c r="D17" s="1428" t="s">
        <v>1158</v>
      </c>
    </row>
    <row r="18" spans="1:5" ht="20.100000000000001" hidden="1" customHeight="1">
      <c r="A18" s="1428">
        <v>0</v>
      </c>
      <c r="B18" s="1701">
        <f xml:space="preserve"> +     1.10000000001829
 +     92.8571428570049 *A18
 -    57.5892857139671 * A18^2
 +    15.6249999998005 *A18^3</f>
        <v>1.1000000000182899</v>
      </c>
      <c r="C18" s="1438">
        <f xml:space="preserve"> +     3.50000000001719
 +     89.5833333332039 * A18
 -     49.9999999997023 * A18^2
 +    10.4166666664804 * A18^3</f>
        <v>3.5000000000171898</v>
      </c>
      <c r="D18" s="1438">
        <f xml:space="preserve"> +    2.70000000002409
 +    112.678571428391 * A18
 -     70.9821428567315 * A18^2
 +    15.6249999997447 * A18^3</f>
        <v>2.7000000000240898</v>
      </c>
      <c r="E18" s="1438"/>
    </row>
    <row r="19" spans="1:5" ht="20.100000000000001" hidden="1" customHeight="1">
      <c r="A19" s="1428">
        <v>0.2</v>
      </c>
      <c r="B19" s="1701">
        <f xml:space="preserve"> +     1.10000000001829
 +     92.8571428570049 *A19
 -    57.5892857139671 * A19^2
 +    15.6249999998005 *A19^3</f>
        <v>17.492857142858995</v>
      </c>
      <c r="C19" s="1438">
        <f xml:space="preserve"> +     3.50000000001719
 +     89.5833333332039 * A19
 -     49.9999999997023 * A19^2
 +    10.4166666664804 * A19^3</f>
        <v>19.50000000000172</v>
      </c>
      <c r="D19" s="1438">
        <f xml:space="preserve"> +    2.70000000002409
 +    112.678571428391 * A19
 -     70.9821428567315 * A19^2
 +    15.6249999997447 * A19^3</f>
        <v>22.521428571430988</v>
      </c>
      <c r="E19" s="1438"/>
    </row>
    <row r="20" spans="1:5" ht="20.100000000000001" hidden="1" customHeight="1">
      <c r="A20" s="1428">
        <v>0.4</v>
      </c>
      <c r="B20" s="1701">
        <f xml:space="preserve"> +     1.10000000001829
 +     92.8571428570049 *A20
 -    57.5892857139671 * A20^2
 +    15.6249999998005 *A20^3</f>
        <v>30.02857142857275</v>
      </c>
      <c r="C20" s="1438">
        <f xml:space="preserve"> +     3.50000000001719
 +     89.5833333332039 * A20
 -     49.9999999997023 * A20^2
 +    10.4166666664804 * A20^3</f>
        <v>32.000000000001123</v>
      </c>
      <c r="D20" s="1438">
        <f xml:space="preserve"> +    2.70000000002409
 +    112.678571428391 * A20
 -     70.9821428567315 * A20^2
 +    15.6249999997447 * A20^3</f>
        <v>37.414285714287104</v>
      </c>
      <c r="E20" s="1438"/>
    </row>
    <row r="21" spans="1:5" ht="20.100000000000001" hidden="1" customHeight="1">
      <c r="A21" s="1428">
        <v>0.6</v>
      </c>
      <c r="B21" s="1701">
        <f xml:space="preserve"> +     1.10000000001829
 +     92.8571428570049 *A21
 -    57.5892857139671 * A21^2
 +    15.6249999998005 *A21^3</f>
        <v>39.457142857149982</v>
      </c>
      <c r="C21" s="1438">
        <f xml:space="preserve"> +     3.50000000001719
 +     89.5833333332039 * A21
 -     49.9999999997023 * A21^2
 +    10.4166666664804 * A21^3</f>
        <v>41.500000000006466</v>
      </c>
      <c r="D21" s="1438">
        <f xml:space="preserve"> +    2.70000000002409
 +    112.678571428391 * A21
 -     70.9821428567315 * A21^2
 +    15.6249999997447 * A21^3</f>
        <v>48.128571428580194</v>
      </c>
      <c r="E21" s="1438"/>
    </row>
    <row r="22" spans="1:5" ht="20.100000000000001" hidden="1" customHeight="1">
      <c r="A22" s="1428">
        <v>0.8</v>
      </c>
      <c r="B22" s="1701">
        <f xml:space="preserve"> +     1.10000000001829
 +     92.8571428570049 *A22
 -    57.5892857139671 * A22^2
 +    15.6249999998005 *A22^3</f>
        <v>46.528571428581124</v>
      </c>
      <c r="C22" s="1438">
        <f xml:space="preserve"> +     3.50000000001719
 +     89.5833333332039 * A22
 -     49.9999999997023 * A22^2
 +    10.4166666664804 * A22^3</f>
        <v>48.500000000008804</v>
      </c>
      <c r="D22" s="1438">
        <f xml:space="preserve"> +    2.70000000002409
 +    112.678571428391 * A22
 -     70.9821428567315 * A22^2
 +    15.6249999997447 * A22^3</f>
        <v>55.414285714298011</v>
      </c>
      <c r="E22" s="1438"/>
    </row>
    <row r="23" spans="1:5" ht="20.100000000000001" hidden="1" customHeight="1">
      <c r="A23" s="1428">
        <v>1</v>
      </c>
      <c r="B23" s="1701">
        <f t="shared" ref="B23:B28" si="0" xml:space="preserve"> +    29.4999999989821
 +     26.8416666684161 * A23
 -     4.35416666785322 * A23^2
 -    0.0833333330461522 *A23^3
 +   0.104166666655532 * A23^4
 -  0.00833333333686747 *A23^5</f>
        <v>51.99999999981749</v>
      </c>
      <c r="C23" s="1438">
        <f t="shared" ref="C23:C28" si="1" xml:space="preserve"> +      23.9999999965639
 +     39.3916666718743 * A23
 -    11.6041666697487 * A23^2
 +    1.85416666706894 *A23^3
 -   0.145833333217932 * A23^4
 +  0.00416666663902102 *A23^5</f>
        <v>53.499999999179529</v>
      </c>
      <c r="D23" s="1438">
        <f t="shared" ref="D23:D28" si="2" xml:space="preserve">  +      35.4999999992976
 +    29.4583333347815 * A23
 -     4.52083333446976 *A23^2
 -    0.687499999606652 *A23^3
 +    0.270833333273064 *A23^4
 -  0.0208333333303721 * A23^5</f>
        <v>59.999999999945388</v>
      </c>
      <c r="E23" s="1438"/>
    </row>
    <row r="24" spans="1:5" ht="20.100000000000001" hidden="1" customHeight="1">
      <c r="A24" s="1428">
        <v>2</v>
      </c>
      <c r="B24" s="1701">
        <f t="shared" si="0"/>
        <v>66.49999999974095</v>
      </c>
      <c r="C24" s="1438">
        <f t="shared" si="1"/>
        <v>68.999999998830972</v>
      </c>
      <c r="D24" s="1438">
        <f t="shared" si="2"/>
        <v>74.49999999992545</v>
      </c>
      <c r="E24" s="1438"/>
    </row>
    <row r="25" spans="1:5" ht="20.100000000000001" hidden="1" customHeight="1">
      <c r="A25" s="1428">
        <v>3</v>
      </c>
      <c r="B25" s="1701">
        <f t="shared" si="0"/>
        <v>74.999999999544627</v>
      </c>
      <c r="C25" s="1438">
        <f t="shared" si="1"/>
        <v>76.999999997939469</v>
      </c>
      <c r="D25" s="1438">
        <f t="shared" si="2"/>
        <v>81.499999999872429</v>
      </c>
      <c r="E25" s="1438"/>
    </row>
    <row r="26" spans="1:5" ht="20.100000000000001" hidden="1" customHeight="1">
      <c r="A26" s="1428">
        <v>4</v>
      </c>
      <c r="B26" s="1701">
        <f t="shared" si="0"/>
        <v>79.999999998905139</v>
      </c>
      <c r="C26" s="1438">
        <f t="shared" si="1"/>
        <v>81.499999995060989</v>
      </c>
      <c r="D26" s="1438">
        <f t="shared" si="2"/>
        <v>84.999999999685059</v>
      </c>
      <c r="E26" s="1438"/>
    </row>
    <row r="27" spans="1:5" ht="20.100000000000001" hidden="1" customHeight="1">
      <c r="A27" s="1428">
        <v>5</v>
      </c>
      <c r="B27" s="1701">
        <f t="shared" si="0"/>
        <v>83.49999999595974</v>
      </c>
      <c r="C27" s="1438">
        <f t="shared" si="1"/>
        <v>84.499999981568621</v>
      </c>
      <c r="D27" s="1438">
        <f t="shared" si="2"/>
        <v>87.999999998881819</v>
      </c>
      <c r="E27" s="1438"/>
    </row>
    <row r="28" spans="1:5" ht="20.100000000000001" hidden="1" customHeight="1">
      <c r="A28" s="1428">
        <v>6</v>
      </c>
      <c r="B28" s="1701">
        <f t="shared" si="0"/>
        <v>85.999999986881932</v>
      </c>
      <c r="C28" s="1438">
        <f t="shared" si="1"/>
        <v>86.499999938335094</v>
      </c>
      <c r="D28" s="1438">
        <f t="shared" si="2"/>
        <v>89.999999996956006</v>
      </c>
      <c r="E28" s="1438"/>
    </row>
    <row r="29" spans="1:5" ht="20.100000000000001" hidden="1" customHeight="1"/>
    <row r="30" spans="1:5" ht="20.100000000000001" hidden="1" customHeight="1" thickBot="1"/>
    <row r="31" spans="1:5" ht="20.100000000000001" hidden="1" customHeight="1" thickBot="1">
      <c r="B31" s="1702" t="s">
        <v>4</v>
      </c>
      <c r="C31" s="1703">
        <f>'Control page'!D19</f>
        <v>6</v>
      </c>
      <c r="D31" s="2604" t="str">
        <f>IF('Control page'!J2="English", "from control sheet", "来自控制页面")</f>
        <v>来自控制页面</v>
      </c>
      <c r="E31" s="2605"/>
    </row>
    <row r="32" spans="1:5" ht="20.100000000000001" customHeight="1" thickBot="1">
      <c r="B32" s="1467"/>
    </row>
    <row r="33" spans="1:17" s="1706" customFormat="1" ht="43.5" customHeight="1" thickBot="1">
      <c r="A33" s="1342"/>
      <c r="B33" s="2373" t="s">
        <v>473</v>
      </c>
      <c r="C33" s="2591"/>
      <c r="D33" s="2591"/>
      <c r="E33" s="2592"/>
      <c r="F33" s="1704"/>
      <c r="G33" s="1704"/>
      <c r="H33" s="1704"/>
      <c r="I33" s="1705"/>
      <c r="O33" s="1707"/>
      <c r="P33" s="1708"/>
    </row>
    <row r="34" spans="1:17" s="1676" customFormat="1" ht="20.100000000000001" customHeight="1">
      <c r="A34" s="987"/>
      <c r="B34" s="2137" t="s">
        <v>1297</v>
      </c>
      <c r="C34" s="2610"/>
      <c r="D34" s="2610"/>
      <c r="E34" s="2611"/>
      <c r="F34" s="1451"/>
      <c r="G34" s="1451"/>
      <c r="H34" s="1451"/>
      <c r="I34" s="1709"/>
      <c r="O34" s="1561" t="s">
        <v>1299</v>
      </c>
      <c r="P34" s="1643"/>
      <c r="Q34" s="1676" t="b">
        <f>OR(C35=O$34,C35=P$34)</f>
        <v>0</v>
      </c>
    </row>
    <row r="35" spans="1:17" s="1676" customFormat="1" ht="20.100000000000001" customHeight="1">
      <c r="A35" s="2614"/>
      <c r="B35" s="1710" t="s">
        <v>1281</v>
      </c>
      <c r="C35" s="2606" t="s">
        <v>1421</v>
      </c>
      <c r="D35" s="2606"/>
      <c r="E35" s="2607"/>
      <c r="F35" s="1451"/>
      <c r="G35" s="1451"/>
      <c r="H35" s="1451"/>
      <c r="I35" s="2612" t="s">
        <v>1180</v>
      </c>
      <c r="J35" s="2613"/>
      <c r="K35" s="2613"/>
      <c r="O35" s="1561"/>
      <c r="P35" s="1643"/>
    </row>
    <row r="36" spans="1:17" s="1676" customFormat="1" ht="20.100000000000001" customHeight="1">
      <c r="A36" s="2584"/>
      <c r="B36" s="946" t="s">
        <v>1282</v>
      </c>
      <c r="C36" s="1711"/>
      <c r="D36" s="1712" t="s">
        <v>1114</v>
      </c>
      <c r="E36" s="1713" t="s">
        <v>1119</v>
      </c>
      <c r="F36" s="1451"/>
      <c r="G36" s="1451"/>
      <c r="H36" s="1451"/>
      <c r="I36" s="1709"/>
      <c r="P36" s="998"/>
    </row>
    <row r="37" spans="1:17" s="1676" customFormat="1" ht="20.100000000000001" customHeight="1" thickBot="1">
      <c r="A37" s="2584"/>
      <c r="B37" s="946" t="s">
        <v>1283</v>
      </c>
      <c r="C37" s="1711"/>
      <c r="D37" s="1023"/>
      <c r="E37" s="1024"/>
      <c r="F37" s="1451"/>
      <c r="G37" s="1451"/>
      <c r="H37" s="1451"/>
      <c r="I37" s="1709"/>
      <c r="P37" s="998"/>
    </row>
    <row r="38" spans="1:17" s="1676" customFormat="1" ht="20.100000000000001" customHeight="1">
      <c r="A38" s="2584"/>
      <c r="B38" s="946" t="s">
        <v>1284</v>
      </c>
      <c r="C38" s="942" t="s">
        <v>1174</v>
      </c>
      <c r="D38" s="1714">
        <f>IF($C35="Rectangular",D37*D42*D43/144,(D37*PI()*(D42^2)/4)/144)</f>
        <v>0</v>
      </c>
      <c r="E38" s="1715">
        <f>IF($C35="Rectangular",E37*E42*E43/144,(E37*PI()*(E42^2)/4)/144)</f>
        <v>0</v>
      </c>
      <c r="F38" s="1716"/>
      <c r="G38" s="1717"/>
      <c r="H38" s="1717"/>
      <c r="I38" s="1718" t="s">
        <v>1174</v>
      </c>
      <c r="J38" s="1719">
        <f t="shared" ref="J38:K40" si="3">D38</f>
        <v>0</v>
      </c>
      <c r="K38" s="1720">
        <f t="shared" si="3"/>
        <v>0</v>
      </c>
      <c r="P38" s="1721"/>
    </row>
    <row r="39" spans="1:17" s="1676" customFormat="1" ht="20.100000000000001" customHeight="1">
      <c r="A39" s="2584"/>
      <c r="B39" s="946" t="s">
        <v>1285</v>
      </c>
      <c r="C39" s="942" t="s">
        <v>1175</v>
      </c>
      <c r="D39" s="951"/>
      <c r="E39" s="952"/>
      <c r="F39" s="1451"/>
      <c r="G39" s="1451"/>
      <c r="H39" s="1451"/>
      <c r="I39" s="1722" t="s">
        <v>1175</v>
      </c>
      <c r="J39" s="1723">
        <f t="shared" si="3"/>
        <v>0</v>
      </c>
      <c r="K39" s="1724">
        <f t="shared" si="3"/>
        <v>0</v>
      </c>
      <c r="P39" s="1721"/>
    </row>
    <row r="40" spans="1:17" s="1676" customFormat="1" ht="20.100000000000001" customHeight="1">
      <c r="A40" s="2584"/>
      <c r="B40" s="946" t="s">
        <v>1247</v>
      </c>
      <c r="C40" s="942" t="s">
        <v>1175</v>
      </c>
      <c r="D40" s="951"/>
      <c r="E40" s="952"/>
      <c r="F40" s="1451"/>
      <c r="G40" s="1451"/>
      <c r="H40" s="1451"/>
      <c r="I40" s="1722" t="s">
        <v>1175</v>
      </c>
      <c r="J40" s="1723">
        <f t="shared" si="3"/>
        <v>0</v>
      </c>
      <c r="K40" s="1724">
        <f t="shared" si="3"/>
        <v>0</v>
      </c>
      <c r="P40" s="998"/>
    </row>
    <row r="41" spans="1:17" s="1676" customFormat="1" ht="20.100000000000001" customHeight="1">
      <c r="A41" s="2584"/>
      <c r="B41" s="946" t="s">
        <v>1286</v>
      </c>
      <c r="C41" s="942" t="s">
        <v>1437</v>
      </c>
      <c r="D41" s="1017"/>
      <c r="E41" s="1018"/>
      <c r="F41" s="1451"/>
      <c r="G41" s="1451"/>
      <c r="H41" s="1451"/>
      <c r="I41" s="1722"/>
      <c r="J41" s="1725"/>
      <c r="K41" s="1726"/>
      <c r="P41" s="1721"/>
    </row>
    <row r="42" spans="1:17" s="1676" customFormat="1" ht="20.100000000000001" customHeight="1">
      <c r="A42" s="2584"/>
      <c r="B42" s="946" t="str">
        <f>IF(C35="Round","Diameter of Opening","Length of Opening (L)")</f>
        <v>Length of Opening (L)</v>
      </c>
      <c r="C42" s="942" t="s">
        <v>1437</v>
      </c>
      <c r="D42" s="1017"/>
      <c r="E42" s="1018"/>
      <c r="F42" s="1433"/>
      <c r="G42" s="1451"/>
      <c r="H42" s="1451"/>
      <c r="I42" s="1722"/>
      <c r="J42" s="1725"/>
      <c r="K42" s="1726"/>
    </row>
    <row r="43" spans="1:17" s="1676" customFormat="1" ht="20.100000000000001" customHeight="1" thickBot="1">
      <c r="A43" s="2584"/>
      <c r="B43" s="946" t="str">
        <f>IF(C35="Round","","Height of Opening (H)")</f>
        <v>Height of Opening (H)</v>
      </c>
      <c r="C43" s="942" t="s">
        <v>1437</v>
      </c>
      <c r="D43" s="1017"/>
      <c r="E43" s="1018"/>
      <c r="F43" s="1433"/>
      <c r="G43" s="1451"/>
      <c r="H43" s="1451"/>
      <c r="I43" s="1722"/>
      <c r="J43" s="1725"/>
      <c r="K43" s="1726"/>
    </row>
    <row r="44" spans="1:17" s="1676" customFormat="1" ht="20.100000000000001" customHeight="1" thickBot="1">
      <c r="A44" s="2584"/>
      <c r="B44" s="946" t="s">
        <v>1438</v>
      </c>
      <c r="C44" s="1727"/>
      <c r="D44" s="1015"/>
      <c r="E44" s="1016"/>
      <c r="F44" s="1451"/>
      <c r="G44" s="1451"/>
      <c r="H44" s="1728" t="str">
        <f>$H$7</f>
        <v>Display Chart</v>
      </c>
      <c r="I44" s="1722"/>
      <c r="J44" s="1729">
        <f t="shared" ref="J44:K46" si="4">D44</f>
        <v>0</v>
      </c>
      <c r="K44" s="1730">
        <f t="shared" si="4"/>
        <v>0</v>
      </c>
      <c r="L44" s="1561" t="s">
        <v>9</v>
      </c>
    </row>
    <row r="45" spans="1:17" s="1676" customFormat="1" ht="20.100000000000001" customHeight="1">
      <c r="A45" s="2584"/>
      <c r="B45" s="946" t="s">
        <v>1646</v>
      </c>
      <c r="C45" s="1727"/>
      <c r="D45" s="1015"/>
      <c r="E45" s="1016"/>
      <c r="F45" s="2602" t="str">
        <f>IF(OR(D45&gt;1,E45&gt;1),"Surface emmissivity cannot be greater than 1","")</f>
        <v/>
      </c>
      <c r="G45" s="2602"/>
      <c r="H45" s="2603"/>
      <c r="I45" s="1722"/>
      <c r="J45" s="1729">
        <f t="shared" si="4"/>
        <v>0</v>
      </c>
      <c r="K45" s="1730">
        <f t="shared" si="4"/>
        <v>0</v>
      </c>
      <c r="L45" s="1561">
        <f>IF($C$31=0,0,1)</f>
        <v>1</v>
      </c>
      <c r="M45" s="1561" t="s">
        <v>3</v>
      </c>
    </row>
    <row r="46" spans="1:17" s="1676" customFormat="1" ht="20.100000000000001" customHeight="1" thickBot="1">
      <c r="A46" s="2584"/>
      <c r="B46" s="946" t="s">
        <v>1639</v>
      </c>
      <c r="C46" s="1712" t="s">
        <v>1116</v>
      </c>
      <c r="D46" s="1017"/>
      <c r="E46" s="1018"/>
      <c r="F46" s="2602"/>
      <c r="G46" s="2602"/>
      <c r="H46" s="2603"/>
      <c r="I46" s="1722"/>
      <c r="J46" s="1729">
        <f t="shared" si="4"/>
        <v>0</v>
      </c>
      <c r="K46" s="1730">
        <f t="shared" si="4"/>
        <v>0</v>
      </c>
    </row>
    <row r="47" spans="1:17" s="1676" customFormat="1" ht="20.100000000000001" hidden="1" customHeight="1">
      <c r="A47" s="2584"/>
      <c r="B47" s="1731"/>
      <c r="C47" s="1711"/>
      <c r="D47" s="1732"/>
      <c r="E47" s="1733"/>
      <c r="F47" s="1451"/>
      <c r="G47" s="1451"/>
      <c r="H47" s="1451"/>
      <c r="I47" s="1722" t="s">
        <v>1173</v>
      </c>
      <c r="J47" s="1734">
        <f>0.1713*10^-8*J45*((J39+460)^4 - (J40+460)^4)*J44*J38*D46/100</f>
        <v>0</v>
      </c>
      <c r="K47" s="1735">
        <f>0.1713*10^-8*K45*((K39+460)^4 - (K40+460)^4)*K44*K38*K46/100</f>
        <v>0</v>
      </c>
    </row>
    <row r="48" spans="1:17" s="1741" customFormat="1" ht="20.100000000000001" hidden="1" customHeight="1" thickBot="1">
      <c r="A48" s="2584"/>
      <c r="B48" s="1736"/>
      <c r="C48" s="1737"/>
      <c r="D48" s="1737"/>
      <c r="E48" s="1738"/>
      <c r="F48" s="1451"/>
      <c r="G48" s="1451"/>
      <c r="H48" s="1451"/>
      <c r="I48" s="1722" t="s">
        <v>1173</v>
      </c>
      <c r="J48" s="1739">
        <f>J47</f>
        <v>0</v>
      </c>
      <c r="K48" s="1740">
        <f>K47</f>
        <v>0</v>
      </c>
      <c r="O48" s="1676"/>
      <c r="P48" s="1676"/>
    </row>
    <row r="49" spans="1:21" s="1741" customFormat="1" ht="20.100000000000001" hidden="1" customHeight="1" thickBot="1">
      <c r="A49" s="2584"/>
      <c r="B49" s="1019" t="s">
        <v>1288</v>
      </c>
      <c r="C49" s="1020"/>
      <c r="D49" s="1021">
        <f>D44</f>
        <v>0</v>
      </c>
      <c r="E49" s="1022">
        <f>E44</f>
        <v>0</v>
      </c>
      <c r="F49" s="1451"/>
      <c r="G49" s="1451"/>
      <c r="H49" s="1451"/>
      <c r="I49" s="1742"/>
      <c r="J49" s="1743"/>
      <c r="K49" s="1744"/>
      <c r="O49" s="1676"/>
      <c r="P49" s="1676"/>
    </row>
    <row r="50" spans="1:21" s="1741" customFormat="1" ht="20.100000000000001" hidden="1" customHeight="1">
      <c r="A50" s="2584"/>
      <c r="B50" s="1006" t="s">
        <v>1289</v>
      </c>
      <c r="C50" s="1000" t="s">
        <v>1113</v>
      </c>
      <c r="D50" s="988" t="e">
        <f>IF(C35="Rectangular",(MIN(D42:D43)/(D41/1000)),D42/(D41/1000))</f>
        <v>#DIV/0!</v>
      </c>
      <c r="E50" s="989" t="e">
        <f>IF(C35="Rectangular",(MIN(E42:E43)/(E41/1000)),E42/(E41/1000))</f>
        <v>#DIV/0!</v>
      </c>
      <c r="F50" s="1451"/>
      <c r="G50" s="1451"/>
      <c r="H50" s="1451"/>
      <c r="I50" s="1745"/>
    </row>
    <row r="51" spans="1:21" s="1741" customFormat="1" ht="20.100000000000001" hidden="1" customHeight="1" thickBot="1">
      <c r="A51" s="2584"/>
      <c r="B51" s="1007" t="s">
        <v>1290</v>
      </c>
      <c r="C51" s="990" t="s">
        <v>1173</v>
      </c>
      <c r="D51" s="991">
        <f>L45*J47</f>
        <v>0</v>
      </c>
      <c r="E51" s="992">
        <f>L45*K47</f>
        <v>0</v>
      </c>
      <c r="F51" s="1451"/>
      <c r="G51" s="1451"/>
      <c r="H51" s="1451"/>
      <c r="I51" s="1745"/>
      <c r="O51" s="1676"/>
      <c r="P51" s="1676"/>
    </row>
    <row r="52" spans="1:21" s="1676" customFormat="1" ht="20.100000000000001" customHeight="1" thickBot="1">
      <c r="A52" s="2584"/>
      <c r="B52" s="1011" t="s">
        <v>1290</v>
      </c>
      <c r="C52" s="1012" t="s">
        <v>1173</v>
      </c>
      <c r="D52" s="1013">
        <f>D51</f>
        <v>0</v>
      </c>
      <c r="E52" s="1014">
        <f>E51</f>
        <v>0</v>
      </c>
      <c r="F52" s="1451"/>
      <c r="G52" s="1451"/>
      <c r="H52" s="1451"/>
      <c r="I52" s="1709"/>
      <c r="P52" s="1561"/>
    </row>
    <row r="53" spans="1:21" s="1676" customFormat="1" ht="20.100000000000001" customHeight="1">
      <c r="A53" s="987"/>
      <c r="B53" s="1746"/>
      <c r="C53" s="987"/>
      <c r="D53" s="1747"/>
      <c r="E53" s="1747"/>
      <c r="F53" s="1451"/>
      <c r="G53" s="1451"/>
      <c r="H53" s="1451"/>
      <c r="I53" s="1709"/>
      <c r="P53" s="1561"/>
    </row>
    <row r="54" spans="1:21" s="1676" customFormat="1" ht="20.100000000000001" customHeight="1" thickBot="1">
      <c r="A54" s="987"/>
      <c r="B54" s="1746"/>
      <c r="C54" s="987"/>
      <c r="D54" s="1747"/>
      <c r="E54" s="1747"/>
      <c r="F54" s="1451"/>
      <c r="G54" s="1451"/>
      <c r="H54" s="1451"/>
      <c r="I54" s="1709"/>
      <c r="P54" s="1561"/>
    </row>
    <row r="55" spans="1:21" s="1676" customFormat="1" ht="20.100000000000001" customHeight="1">
      <c r="A55" s="1748"/>
      <c r="B55" s="1172" t="s">
        <v>1297</v>
      </c>
      <c r="C55" s="2610"/>
      <c r="D55" s="2610"/>
      <c r="E55" s="2611"/>
      <c r="F55" s="1451"/>
      <c r="G55" s="1451"/>
      <c r="H55" s="1451"/>
      <c r="I55" s="1709"/>
      <c r="P55" s="1561" t="s">
        <v>1113</v>
      </c>
      <c r="Q55" s="1561"/>
      <c r="R55" s="1561"/>
      <c r="S55" s="1561"/>
      <c r="T55" s="1561"/>
      <c r="U55" s="1561"/>
    </row>
    <row r="56" spans="1:21" s="1676" customFormat="1" ht="20.100000000000001" customHeight="1">
      <c r="A56" s="987"/>
      <c r="B56" s="1710" t="s">
        <v>1281</v>
      </c>
      <c r="C56" s="2608" t="s">
        <v>1421</v>
      </c>
      <c r="D56" s="2608"/>
      <c r="E56" s="2609"/>
      <c r="F56" s="1749"/>
      <c r="G56" s="1451"/>
      <c r="H56" s="1451"/>
      <c r="I56" s="2612" t="s">
        <v>5</v>
      </c>
      <c r="J56" s="2612"/>
      <c r="K56" s="2612"/>
      <c r="P56" s="1561"/>
    </row>
    <row r="57" spans="1:21" s="1676" customFormat="1" ht="20.100000000000001" customHeight="1">
      <c r="A57" s="987"/>
      <c r="B57" s="946" t="s">
        <v>1282</v>
      </c>
      <c r="C57" s="1711"/>
      <c r="D57" s="1712" t="s">
        <v>1114</v>
      </c>
      <c r="E57" s="1713" t="s">
        <v>1119</v>
      </c>
      <c r="F57" s="1749"/>
      <c r="G57" s="1451"/>
      <c r="H57" s="1451"/>
      <c r="I57" s="1709"/>
      <c r="P57" s="1561"/>
    </row>
    <row r="58" spans="1:21" s="1676" customFormat="1" ht="20.100000000000001" customHeight="1" thickBot="1">
      <c r="A58" s="987"/>
      <c r="B58" s="946" t="s">
        <v>1283</v>
      </c>
      <c r="C58" s="1711"/>
      <c r="D58" s="1023"/>
      <c r="E58" s="1024"/>
      <c r="F58" s="1749"/>
      <c r="G58" s="1451"/>
      <c r="H58" s="1451"/>
      <c r="I58" s="1709"/>
    </row>
    <row r="59" spans="1:21" s="1676" customFormat="1" ht="20.100000000000001" customHeight="1">
      <c r="A59" s="987" t="s">
        <v>1113</v>
      </c>
      <c r="B59" s="946" t="s">
        <v>1284</v>
      </c>
      <c r="C59" s="942" t="s">
        <v>1174</v>
      </c>
      <c r="D59" s="1714">
        <f>IF($C56="Rectangular",D58*D63*D64/144,(D58*PI()*(D63^2)/4)/144)</f>
        <v>0</v>
      </c>
      <c r="E59" s="1715">
        <f>IF($C56="Rectangular",E58*E63*E64/144,(E58*PI()*(E63^2)/4)/144)</f>
        <v>0</v>
      </c>
      <c r="F59" s="1750"/>
      <c r="G59" s="1717"/>
      <c r="H59" s="1717"/>
      <c r="I59" s="1718" t="s">
        <v>1174</v>
      </c>
      <c r="J59" s="1751">
        <f t="shared" ref="J59:K61" si="5">D59</f>
        <v>0</v>
      </c>
      <c r="K59" s="1752">
        <f t="shared" si="5"/>
        <v>0</v>
      </c>
      <c r="P59" s="1561"/>
      <c r="Q59" s="1676" t="b">
        <f>OR(C56=O$34,C56=P$34)</f>
        <v>0</v>
      </c>
    </row>
    <row r="60" spans="1:21" s="1676" customFormat="1" ht="20.100000000000001" customHeight="1">
      <c r="A60" s="987"/>
      <c r="B60" s="946" t="s">
        <v>1285</v>
      </c>
      <c r="C60" s="942" t="s">
        <v>1175</v>
      </c>
      <c r="D60" s="951"/>
      <c r="E60" s="952"/>
      <c r="F60" s="1749"/>
      <c r="G60" s="1451"/>
      <c r="H60" s="1451"/>
      <c r="I60" s="1722" t="s">
        <v>1175</v>
      </c>
      <c r="J60" s="1723">
        <f t="shared" si="5"/>
        <v>0</v>
      </c>
      <c r="K60" s="1724">
        <f t="shared" si="5"/>
        <v>0</v>
      </c>
      <c r="P60" s="1561"/>
    </row>
    <row r="61" spans="1:21" s="1676" customFormat="1" ht="20.100000000000001" customHeight="1">
      <c r="A61" s="987"/>
      <c r="B61" s="946" t="s">
        <v>1247</v>
      </c>
      <c r="C61" s="942" t="s">
        <v>1175</v>
      </c>
      <c r="D61" s="951"/>
      <c r="E61" s="952"/>
      <c r="F61" s="1749"/>
      <c r="G61" s="1451"/>
      <c r="H61" s="1451"/>
      <c r="I61" s="1722" t="s">
        <v>1175</v>
      </c>
      <c r="J61" s="1723">
        <f t="shared" si="5"/>
        <v>0</v>
      </c>
      <c r="K61" s="1724">
        <f t="shared" si="5"/>
        <v>0</v>
      </c>
      <c r="P61" s="1561"/>
    </row>
    <row r="62" spans="1:21" s="1676" customFormat="1" ht="20.100000000000001" customHeight="1">
      <c r="A62" s="987"/>
      <c r="B62" s="946" t="s">
        <v>1286</v>
      </c>
      <c r="C62" s="942" t="s">
        <v>1437</v>
      </c>
      <c r="D62" s="1017"/>
      <c r="E62" s="1017"/>
      <c r="F62" s="1749"/>
      <c r="G62" s="1451"/>
      <c r="H62" s="1451"/>
      <c r="I62" s="1722"/>
      <c r="J62" s="1729">
        <f t="shared" ref="J62:K64" si="6">D65</f>
        <v>0</v>
      </c>
      <c r="K62" s="1730">
        <f t="shared" si="6"/>
        <v>0</v>
      </c>
      <c r="P62" s="1561"/>
    </row>
    <row r="63" spans="1:21" s="1676" customFormat="1" ht="20.100000000000001" customHeight="1">
      <c r="A63" s="987"/>
      <c r="B63" s="946" t="str">
        <f>IF(C56="Round","Diameter of Opening","Length of Opening (L)")</f>
        <v>Length of Opening (L)</v>
      </c>
      <c r="C63" s="942" t="s">
        <v>1437</v>
      </c>
      <c r="D63" s="1017"/>
      <c r="E63" s="1017"/>
      <c r="F63" s="1749"/>
      <c r="G63" s="1451"/>
      <c r="H63" s="1451"/>
      <c r="I63" s="1722"/>
      <c r="J63" s="1729">
        <f t="shared" si="6"/>
        <v>0</v>
      </c>
      <c r="K63" s="1730">
        <f t="shared" si="6"/>
        <v>0</v>
      </c>
      <c r="P63" s="1561"/>
    </row>
    <row r="64" spans="1:21" s="1676" customFormat="1" ht="20.100000000000001" customHeight="1" thickBot="1">
      <c r="A64" s="987"/>
      <c r="B64" s="946" t="str">
        <f>IF(C56="Round","","Height of Opening (H)")</f>
        <v>Height of Opening (H)</v>
      </c>
      <c r="C64" s="942" t="s">
        <v>1437</v>
      </c>
      <c r="D64" s="1017"/>
      <c r="E64" s="1017"/>
      <c r="F64" s="1749"/>
      <c r="G64" s="1451"/>
      <c r="H64" s="1451"/>
      <c r="I64" s="1722"/>
      <c r="J64" s="1729">
        <f t="shared" si="6"/>
        <v>0</v>
      </c>
      <c r="K64" s="1730">
        <f t="shared" si="6"/>
        <v>0</v>
      </c>
      <c r="P64" s="1561"/>
    </row>
    <row r="65" spans="1:17" s="1676" customFormat="1" ht="20.100000000000001" customHeight="1" thickBot="1">
      <c r="A65" s="987"/>
      <c r="B65" s="946" t="s">
        <v>1287</v>
      </c>
      <c r="C65" s="1727"/>
      <c r="D65" s="1015"/>
      <c r="E65" s="1016"/>
      <c r="F65" s="1749"/>
      <c r="G65" s="1451"/>
      <c r="H65" s="1728" t="str">
        <f>$H$7</f>
        <v>Display Chart</v>
      </c>
      <c r="I65" s="1722" t="s">
        <v>1173</v>
      </c>
      <c r="J65" s="1734">
        <f>0.1713*10^-8*J63*((J60+460)^4 - (J61+460)^4)*J62*J59*J64/100</f>
        <v>0</v>
      </c>
      <c r="K65" s="1734">
        <f>0.1713*10^-8*K63*((K60+460)^4 - (K61+460)^4)*K62*K59*K64/100</f>
        <v>0</v>
      </c>
      <c r="P65" s="1561"/>
    </row>
    <row r="66" spans="1:17" s="1676" customFormat="1" ht="20.100000000000001" customHeight="1">
      <c r="A66" s="987"/>
      <c r="B66" s="946" t="s">
        <v>1646</v>
      </c>
      <c r="C66" s="1727"/>
      <c r="D66" s="1015"/>
      <c r="E66" s="1016"/>
      <c r="F66" s="2585" t="str">
        <f>IF(OR(D66&gt;1,E66&gt;1),"Surface emmissivity cannot be greater than 1","")</f>
        <v/>
      </c>
      <c r="G66" s="2602"/>
      <c r="H66" s="2603"/>
      <c r="I66" s="1753" t="s">
        <v>1173</v>
      </c>
      <c r="J66" s="1754">
        <f>J65</f>
        <v>0</v>
      </c>
      <c r="K66" s="1754">
        <f>K65</f>
        <v>0</v>
      </c>
      <c r="L66" s="1561">
        <f>IF($C$31&gt;1,1,0)</f>
        <v>1</v>
      </c>
      <c r="M66" s="1561" t="s">
        <v>3</v>
      </c>
      <c r="P66" s="1561"/>
    </row>
    <row r="67" spans="1:17" s="1676" customFormat="1" ht="20.100000000000001" customHeight="1" thickBot="1">
      <c r="A67" s="987"/>
      <c r="B67" s="946" t="s">
        <v>1639</v>
      </c>
      <c r="C67" s="1712" t="s">
        <v>1116</v>
      </c>
      <c r="D67" s="1017"/>
      <c r="E67" s="1018"/>
      <c r="F67" s="2585"/>
      <c r="G67" s="2602"/>
      <c r="H67" s="2603"/>
      <c r="P67" s="1561"/>
    </row>
    <row r="68" spans="1:17" s="1676" customFormat="1" ht="20.100000000000001" hidden="1" customHeight="1">
      <c r="A68" s="987"/>
      <c r="B68" s="1731"/>
      <c r="C68" s="1711"/>
      <c r="D68" s="1732"/>
      <c r="E68" s="1733"/>
      <c r="F68" s="1749"/>
      <c r="G68" s="1451"/>
      <c r="H68" s="1451"/>
      <c r="P68" s="998"/>
    </row>
    <row r="69" spans="1:17" s="1676" customFormat="1" ht="20.100000000000001" hidden="1" customHeight="1" thickBot="1">
      <c r="A69" s="987"/>
      <c r="B69" s="1755"/>
      <c r="C69" s="1756"/>
      <c r="D69" s="1757"/>
      <c r="E69" s="1758"/>
      <c r="F69" s="1749"/>
      <c r="G69" s="1451"/>
      <c r="H69" s="1451"/>
      <c r="P69" s="97"/>
    </row>
    <row r="70" spans="1:17" s="1741" customFormat="1" ht="20.100000000000001" hidden="1" customHeight="1">
      <c r="A70" s="987"/>
      <c r="B70" s="1005" t="s">
        <v>1288</v>
      </c>
      <c r="C70" s="1001"/>
      <c r="D70" s="993">
        <f>D65</f>
        <v>0</v>
      </c>
      <c r="E70" s="994">
        <f>E65</f>
        <v>0</v>
      </c>
      <c r="F70" s="1749"/>
      <c r="G70" s="1451"/>
      <c r="H70" s="1451"/>
    </row>
    <row r="71" spans="1:17" s="1669" customFormat="1" ht="20.100000000000001" hidden="1" customHeight="1">
      <c r="A71" s="1428"/>
      <c r="B71" s="1006" t="s">
        <v>1289</v>
      </c>
      <c r="C71" s="1002" t="s">
        <v>1113</v>
      </c>
      <c r="D71" s="995" t="e">
        <f>IF(C56="Rectangular",(MIN(D63:D64)/(D62/1000)),D63/(D62/1000))</f>
        <v>#DIV/0!</v>
      </c>
      <c r="E71" s="996" t="e">
        <f>IF(C56="Rectangular",(MIN(E63:E64)/(E62/1000)),E63/(E62/1000))</f>
        <v>#DIV/0!</v>
      </c>
      <c r="F71" s="1697"/>
      <c r="G71" s="1697"/>
      <c r="H71" s="1697"/>
      <c r="I71" s="1759"/>
    </row>
    <row r="72" spans="1:17" s="1669" customFormat="1" ht="20.100000000000001" hidden="1" customHeight="1" thickBot="1">
      <c r="A72" s="1428"/>
      <c r="B72" s="1007" t="s">
        <v>1290</v>
      </c>
      <c r="C72" s="997" t="s">
        <v>1173</v>
      </c>
      <c r="D72" s="991">
        <f>J65*L66</f>
        <v>0</v>
      </c>
      <c r="E72" s="992">
        <f>K65*L66</f>
        <v>0</v>
      </c>
      <c r="F72" s="1697"/>
      <c r="G72" s="1697"/>
      <c r="H72" s="1697"/>
      <c r="I72" s="1759"/>
      <c r="M72" s="1561"/>
      <c r="N72" s="1561"/>
      <c r="O72" s="1760"/>
      <c r="P72" s="1561"/>
    </row>
    <row r="73" spans="1:17" ht="20.100000000000001" customHeight="1" thickBot="1">
      <c r="B73" s="1011" t="s">
        <v>1290</v>
      </c>
      <c r="C73" s="1012" t="s">
        <v>1173</v>
      </c>
      <c r="D73" s="1013">
        <f>D72</f>
        <v>0</v>
      </c>
      <c r="E73" s="1014">
        <f>E72</f>
        <v>0</v>
      </c>
    </row>
    <row r="74" spans="1:17" ht="20.100000000000001" customHeight="1">
      <c r="E74" s="1761"/>
    </row>
    <row r="75" spans="1:17" ht="20.100000000000001" customHeight="1" thickBot="1">
      <c r="E75" s="1761"/>
    </row>
    <row r="76" spans="1:17" ht="20.100000000000001" customHeight="1">
      <c r="B76" s="2137" t="s">
        <v>1297</v>
      </c>
      <c r="C76" s="2610"/>
      <c r="D76" s="2610"/>
      <c r="E76" s="2611"/>
      <c r="F76" s="1451"/>
      <c r="G76" s="1451"/>
      <c r="H76" s="1451"/>
      <c r="I76" s="1709"/>
      <c r="J76" s="1676"/>
      <c r="K76" s="1676"/>
      <c r="L76" s="1676"/>
      <c r="M76" s="1676"/>
    </row>
    <row r="77" spans="1:17" ht="20.100000000000001" customHeight="1">
      <c r="B77" s="1710" t="s">
        <v>1281</v>
      </c>
      <c r="C77" s="2608" t="s">
        <v>1421</v>
      </c>
      <c r="D77" s="2608"/>
      <c r="E77" s="2609"/>
      <c r="F77" s="1749"/>
      <c r="G77" s="1451"/>
      <c r="H77" s="1451"/>
      <c r="I77" s="2612" t="s">
        <v>1188</v>
      </c>
      <c r="J77" s="2613"/>
      <c r="K77" s="2613"/>
      <c r="L77" s="1676"/>
      <c r="O77" s="1760"/>
    </row>
    <row r="78" spans="1:17" ht="20.100000000000001" customHeight="1">
      <c r="B78" s="946" t="s">
        <v>1282</v>
      </c>
      <c r="C78" s="1711"/>
      <c r="D78" s="1712" t="s">
        <v>1114</v>
      </c>
      <c r="E78" s="1713" t="s">
        <v>1119</v>
      </c>
      <c r="F78" s="1749"/>
      <c r="G78" s="1451"/>
      <c r="H78" s="1451"/>
      <c r="I78" s="1709"/>
      <c r="J78" s="1676"/>
      <c r="K78" s="1676"/>
      <c r="L78" s="1676"/>
      <c r="M78" s="1676"/>
    </row>
    <row r="79" spans="1:17" ht="20.100000000000001" customHeight="1" thickBot="1">
      <c r="B79" s="946" t="s">
        <v>1283</v>
      </c>
      <c r="C79" s="1711"/>
      <c r="D79" s="1023">
        <v>0</v>
      </c>
      <c r="E79" s="1024">
        <v>0</v>
      </c>
      <c r="F79" s="1749"/>
      <c r="G79" s="1451"/>
      <c r="H79" s="1451"/>
      <c r="I79" s="1709"/>
      <c r="J79" s="1676"/>
      <c r="K79" s="1676"/>
      <c r="L79" s="1676"/>
      <c r="M79" s="1676"/>
    </row>
    <row r="80" spans="1:17" ht="20.100000000000001" customHeight="1">
      <c r="B80" s="946" t="s">
        <v>1284</v>
      </c>
      <c r="C80" s="942" t="s">
        <v>1174</v>
      </c>
      <c r="D80" s="1714">
        <f>IF($C77="Rectangular",D79*D84*D85/144,(D79*PI()*(D84^2)/4)/144)</f>
        <v>0</v>
      </c>
      <c r="E80" s="1715">
        <f>IF($C77="Rectangular",E79*E84*E85/144,(E79*PI()*(E84^2)/4)/144)</f>
        <v>0</v>
      </c>
      <c r="F80" s="1750"/>
      <c r="G80" s="1717"/>
      <c r="H80" s="1717"/>
      <c r="I80" s="1718" t="s">
        <v>1174</v>
      </c>
      <c r="J80" s="1751">
        <f t="shared" ref="J80:K82" si="7">D80</f>
        <v>0</v>
      </c>
      <c r="K80" s="1752">
        <f t="shared" si="7"/>
        <v>0</v>
      </c>
      <c r="L80" s="1676"/>
      <c r="M80" s="1676"/>
      <c r="Q80" s="1676"/>
    </row>
    <row r="81" spans="2:13" ht="20.100000000000001" customHeight="1">
      <c r="B81" s="946" t="s">
        <v>1285</v>
      </c>
      <c r="C81" s="942" t="s">
        <v>1175</v>
      </c>
      <c r="D81" s="951"/>
      <c r="E81" s="952"/>
      <c r="F81" s="1749"/>
      <c r="G81" s="1451"/>
      <c r="H81" s="1451"/>
      <c r="I81" s="1722" t="s">
        <v>1175</v>
      </c>
      <c r="J81" s="1723">
        <f t="shared" si="7"/>
        <v>0</v>
      </c>
      <c r="K81" s="1724">
        <f t="shared" si="7"/>
        <v>0</v>
      </c>
      <c r="L81" s="1676"/>
      <c r="M81" s="1676"/>
    </row>
    <row r="82" spans="2:13" ht="20.100000000000001" customHeight="1">
      <c r="B82" s="946" t="s">
        <v>1247</v>
      </c>
      <c r="C82" s="942" t="s">
        <v>1175</v>
      </c>
      <c r="D82" s="951"/>
      <c r="E82" s="952"/>
      <c r="F82" s="1749"/>
      <c r="G82" s="1451"/>
      <c r="H82" s="1451"/>
      <c r="I82" s="1722" t="s">
        <v>1175</v>
      </c>
      <c r="J82" s="1723">
        <f t="shared" si="7"/>
        <v>0</v>
      </c>
      <c r="K82" s="1724">
        <f t="shared" si="7"/>
        <v>0</v>
      </c>
      <c r="L82" s="1676"/>
      <c r="M82" s="1676"/>
    </row>
    <row r="83" spans="2:13" ht="20.100000000000001" customHeight="1">
      <c r="B83" s="946" t="s">
        <v>1286</v>
      </c>
      <c r="C83" s="942" t="s">
        <v>1437</v>
      </c>
      <c r="D83" s="1017"/>
      <c r="E83" s="1018"/>
      <c r="F83" s="1749"/>
      <c r="G83" s="1451"/>
      <c r="H83" s="1451"/>
      <c r="I83" s="1722"/>
      <c r="J83" s="1729">
        <f t="shared" ref="J83:K85" si="8">D86</f>
        <v>0</v>
      </c>
      <c r="K83" s="1730">
        <f t="shared" si="8"/>
        <v>0</v>
      </c>
      <c r="L83" s="1676"/>
      <c r="M83" s="1676"/>
    </row>
    <row r="84" spans="2:13" ht="20.100000000000001" customHeight="1">
      <c r="B84" s="946" t="str">
        <f>IF(C77="Round","Diameter of Opening","Length of Opening (L)")</f>
        <v>Length of Opening (L)</v>
      </c>
      <c r="C84" s="942" t="s">
        <v>1437</v>
      </c>
      <c r="D84" s="1017"/>
      <c r="E84" s="1018"/>
      <c r="F84" s="1749"/>
      <c r="G84" s="1451"/>
      <c r="H84" s="1451"/>
      <c r="I84" s="1722"/>
      <c r="J84" s="1729">
        <f t="shared" si="8"/>
        <v>0.9</v>
      </c>
      <c r="K84" s="1730">
        <f t="shared" si="8"/>
        <v>0.9</v>
      </c>
      <c r="L84" s="1676"/>
      <c r="M84" s="1676"/>
    </row>
    <row r="85" spans="2:13" ht="20.100000000000001" customHeight="1" thickBot="1">
      <c r="B85" s="946" t="str">
        <f>IF(C77="Round","","Height of Opening (H)")</f>
        <v>Height of Opening (H)</v>
      </c>
      <c r="C85" s="942" t="s">
        <v>1437</v>
      </c>
      <c r="D85" s="1017"/>
      <c r="E85" s="1018"/>
      <c r="F85" s="1749"/>
      <c r="G85" s="1451"/>
      <c r="H85" s="1451"/>
      <c r="I85" s="1722"/>
      <c r="J85" s="1729">
        <f t="shared" si="8"/>
        <v>100</v>
      </c>
      <c r="K85" s="1730">
        <f t="shared" si="8"/>
        <v>100</v>
      </c>
      <c r="L85" s="1676"/>
      <c r="M85" s="1676"/>
    </row>
    <row r="86" spans="2:13" ht="20.100000000000001" customHeight="1" thickBot="1">
      <c r="B86" s="946" t="s">
        <v>1287</v>
      </c>
      <c r="C86" s="1727"/>
      <c r="D86" s="1015"/>
      <c r="E86" s="1016"/>
      <c r="F86" s="1749"/>
      <c r="G86" s="1451"/>
      <c r="H86" s="1728" t="str">
        <f>$H$7</f>
        <v>Display Chart</v>
      </c>
      <c r="I86" s="1722" t="s">
        <v>1173</v>
      </c>
      <c r="J86" s="1734">
        <f>0.1713*10^-8*J84*((J81+460)^4 - (J82+460)^4)*J83*J80*J85/100</f>
        <v>0</v>
      </c>
      <c r="K86" s="1734">
        <f>0.1713*10^-8*K84*((K81+460)^4 - (K82+460)^4)*K83*K80*K85/100</f>
        <v>0</v>
      </c>
      <c r="L86" s="1676"/>
      <c r="M86" s="1676"/>
    </row>
    <row r="87" spans="2:13" ht="20.100000000000001" customHeight="1">
      <c r="B87" s="946" t="s">
        <v>1646</v>
      </c>
      <c r="C87" s="1727"/>
      <c r="D87" s="1015">
        <v>0.9</v>
      </c>
      <c r="E87" s="1016">
        <v>0.9</v>
      </c>
      <c r="F87" s="2585" t="str">
        <f>IF(OR(D87&gt;1,E87&gt;1),"Surface emmissivity cannot be greater than 1","")</f>
        <v/>
      </c>
      <c r="G87" s="2602"/>
      <c r="H87" s="2603"/>
      <c r="I87" s="1753" t="s">
        <v>1173</v>
      </c>
      <c r="J87" s="1754">
        <f>J86</f>
        <v>0</v>
      </c>
      <c r="K87" s="1754">
        <f>K86</f>
        <v>0</v>
      </c>
      <c r="L87" s="1561">
        <f>IF($C$31&gt;2,1,0)</f>
        <v>1</v>
      </c>
      <c r="M87" s="1561" t="s">
        <v>3</v>
      </c>
    </row>
    <row r="88" spans="2:13" ht="20.100000000000001" customHeight="1" thickBot="1">
      <c r="B88" s="946" t="s">
        <v>1639</v>
      </c>
      <c r="C88" s="1712" t="s">
        <v>1116</v>
      </c>
      <c r="D88" s="1017">
        <v>100</v>
      </c>
      <c r="E88" s="1018">
        <v>100</v>
      </c>
      <c r="F88" s="2585"/>
      <c r="G88" s="2602"/>
      <c r="H88" s="2603"/>
      <c r="I88" s="1676"/>
      <c r="J88" s="1676"/>
      <c r="K88" s="1676"/>
      <c r="L88" s="1676"/>
      <c r="M88" s="1676"/>
    </row>
    <row r="89" spans="2:13" ht="20.100000000000001" hidden="1" customHeight="1">
      <c r="B89" s="1731"/>
      <c r="C89" s="1711"/>
      <c r="D89" s="1732"/>
      <c r="E89" s="1733"/>
      <c r="F89" s="1749"/>
      <c r="G89" s="1451"/>
      <c r="H89" s="1451"/>
      <c r="I89" s="1676"/>
      <c r="J89" s="1676"/>
      <c r="K89" s="1676"/>
      <c r="L89" s="1676"/>
      <c r="M89" s="1676"/>
    </row>
    <row r="90" spans="2:13" ht="20.100000000000001" hidden="1" customHeight="1" thickBot="1">
      <c r="B90" s="1755"/>
      <c r="C90" s="1737"/>
      <c r="D90" s="1757"/>
      <c r="E90" s="1758"/>
      <c r="F90" s="1451"/>
      <c r="G90" s="1451"/>
      <c r="H90" s="1451"/>
      <c r="I90" s="1676"/>
      <c r="J90" s="1676"/>
      <c r="K90" s="1676"/>
      <c r="L90" s="1676"/>
      <c r="M90" s="1676"/>
    </row>
    <row r="91" spans="2:13" ht="20.100000000000001" hidden="1" customHeight="1">
      <c r="B91" s="1005" t="s">
        <v>1288</v>
      </c>
      <c r="C91" s="999"/>
      <c r="D91" s="993">
        <f>D86</f>
        <v>0</v>
      </c>
      <c r="E91" s="994">
        <f>E86</f>
        <v>0</v>
      </c>
      <c r="F91" s="1451"/>
      <c r="G91" s="1451"/>
      <c r="H91" s="1451"/>
      <c r="I91" s="1741"/>
      <c r="J91" s="1741"/>
      <c r="K91" s="1741"/>
      <c r="L91" s="1741"/>
      <c r="M91" s="1741"/>
    </row>
    <row r="92" spans="2:13" ht="20.100000000000001" hidden="1" customHeight="1">
      <c r="B92" s="1006" t="s">
        <v>1289</v>
      </c>
      <c r="C92" s="1000" t="s">
        <v>1113</v>
      </c>
      <c r="D92" s="995" t="e">
        <f>IF(C77="Rectangular",(MIN(D84:D85)/(D83/1000)),D84/(D83/1000))</f>
        <v>#DIV/0!</v>
      </c>
      <c r="E92" s="996" t="e">
        <f>IF(C77="Rectangular",(MIN(E84:E85)/(E83/1000)),E84/(E83/1000))</f>
        <v>#DIV/0!</v>
      </c>
      <c r="F92" s="1451"/>
      <c r="G92" s="1451"/>
      <c r="I92" s="1759"/>
      <c r="J92" s="1669"/>
      <c r="K92" s="1669"/>
      <c r="L92" s="1669"/>
      <c r="M92" s="1669"/>
    </row>
    <row r="93" spans="2:13" ht="20.100000000000001" hidden="1" customHeight="1" thickBot="1">
      <c r="B93" s="1007" t="s">
        <v>1290</v>
      </c>
      <c r="C93" s="990" t="s">
        <v>1173</v>
      </c>
      <c r="D93" s="991">
        <f>J86*L87</f>
        <v>0</v>
      </c>
      <c r="E93" s="992">
        <f>K86*L87</f>
        <v>0</v>
      </c>
      <c r="F93" s="1451"/>
      <c r="G93" s="1451"/>
      <c r="I93" s="1759"/>
      <c r="J93" s="1669"/>
      <c r="K93" s="1669"/>
      <c r="L93" s="1669"/>
      <c r="M93" s="1669"/>
    </row>
    <row r="94" spans="2:13" ht="20.100000000000001" customHeight="1" thickBot="1">
      <c r="B94" s="1011" t="s">
        <v>1290</v>
      </c>
      <c r="C94" s="1012" t="s">
        <v>1173</v>
      </c>
      <c r="D94" s="1013">
        <f>D93</f>
        <v>0</v>
      </c>
      <c r="E94" s="1014">
        <f>E93</f>
        <v>0</v>
      </c>
      <c r="F94" s="1451"/>
      <c r="G94" s="1451"/>
    </row>
    <row r="95" spans="2:13" ht="20.100000000000001" customHeight="1">
      <c r="B95" s="1746"/>
      <c r="C95" s="987"/>
      <c r="D95" s="1747"/>
      <c r="E95" s="1747"/>
      <c r="F95" s="1451"/>
      <c r="G95" s="1451"/>
    </row>
    <row r="96" spans="2:13" ht="20.100000000000001" customHeight="1" thickBot="1">
      <c r="E96" s="1761"/>
      <c r="F96" s="1451"/>
      <c r="G96" s="1451"/>
    </row>
    <row r="97" spans="2:17" ht="20.100000000000001" customHeight="1">
      <c r="B97" s="1172" t="s">
        <v>1297</v>
      </c>
      <c r="C97" s="2610"/>
      <c r="D97" s="2610"/>
      <c r="E97" s="2611"/>
      <c r="F97" s="1451"/>
      <c r="G97" s="1451"/>
      <c r="H97" s="1451"/>
      <c r="I97" s="1709"/>
      <c r="J97" s="1676"/>
      <c r="K97" s="1676"/>
    </row>
    <row r="98" spans="2:17" ht="20.100000000000001" customHeight="1">
      <c r="B98" s="1710" t="s">
        <v>1281</v>
      </c>
      <c r="C98" s="2608" t="s">
        <v>1421</v>
      </c>
      <c r="D98" s="2608"/>
      <c r="E98" s="2609"/>
      <c r="F98" s="1749"/>
      <c r="G98" s="1451"/>
      <c r="H98" s="1451"/>
      <c r="I98" s="2612" t="s">
        <v>1189</v>
      </c>
      <c r="J98" s="2613"/>
      <c r="K98" s="2613"/>
      <c r="O98" s="1760"/>
    </row>
    <row r="99" spans="2:17" ht="20.100000000000001" customHeight="1">
      <c r="B99" s="946" t="s">
        <v>1282</v>
      </c>
      <c r="C99" s="1711"/>
      <c r="D99" s="1712" t="s">
        <v>1114</v>
      </c>
      <c r="E99" s="1713" t="s">
        <v>1119</v>
      </c>
      <c r="F99" s="1749"/>
      <c r="G99" s="1451"/>
      <c r="H99" s="1451"/>
      <c r="I99" s="1709"/>
      <c r="J99" s="1676"/>
      <c r="K99" s="1676"/>
    </row>
    <row r="100" spans="2:17" ht="20.100000000000001" customHeight="1" thickBot="1">
      <c r="B100" s="946" t="s">
        <v>1283</v>
      </c>
      <c r="C100" s="1711"/>
      <c r="D100" s="1023">
        <v>0</v>
      </c>
      <c r="E100" s="1024">
        <v>0</v>
      </c>
      <c r="F100" s="1749"/>
      <c r="G100" s="1451"/>
      <c r="H100" s="1451"/>
      <c r="I100" s="1709"/>
      <c r="J100" s="1676"/>
      <c r="K100" s="1676"/>
    </row>
    <row r="101" spans="2:17" ht="20.100000000000001" customHeight="1">
      <c r="B101" s="946" t="s">
        <v>1284</v>
      </c>
      <c r="C101" s="942" t="s">
        <v>1174</v>
      </c>
      <c r="D101" s="1714">
        <f>IF($C98="Rectangular",D100*D105*D106/144,(D100*PI()*(D105^2)/4)/144)</f>
        <v>0</v>
      </c>
      <c r="E101" s="1715">
        <f>IF($C98="Rectangular",E100*E105*E106/144,(E100*PI()*(E105^2)/4)/144)</f>
        <v>0</v>
      </c>
      <c r="F101" s="1750"/>
      <c r="G101" s="1717"/>
      <c r="H101" s="1717"/>
      <c r="I101" s="1718" t="s">
        <v>1174</v>
      </c>
      <c r="J101" s="1751">
        <f t="shared" ref="J101:K103" si="9">D101</f>
        <v>0</v>
      </c>
      <c r="K101" s="1752">
        <f t="shared" si="9"/>
        <v>0</v>
      </c>
      <c r="Q101" s="1676"/>
    </row>
    <row r="102" spans="2:17" ht="20.100000000000001" customHeight="1">
      <c r="B102" s="946" t="s">
        <v>1285</v>
      </c>
      <c r="C102" s="942" t="s">
        <v>1175</v>
      </c>
      <c r="D102" s="951"/>
      <c r="E102" s="952"/>
      <c r="F102" s="1749"/>
      <c r="G102" s="1451"/>
      <c r="H102" s="1451"/>
      <c r="I102" s="1722" t="s">
        <v>1175</v>
      </c>
      <c r="J102" s="1723">
        <f t="shared" si="9"/>
        <v>0</v>
      </c>
      <c r="K102" s="1723">
        <f t="shared" si="9"/>
        <v>0</v>
      </c>
    </row>
    <row r="103" spans="2:17" ht="20.100000000000001" customHeight="1">
      <c r="B103" s="946" t="s">
        <v>1247</v>
      </c>
      <c r="C103" s="942" t="s">
        <v>1175</v>
      </c>
      <c r="D103" s="951"/>
      <c r="E103" s="952"/>
      <c r="F103" s="1749"/>
      <c r="G103" s="1451"/>
      <c r="H103" s="1451"/>
      <c r="I103" s="1722" t="s">
        <v>1175</v>
      </c>
      <c r="J103" s="1723">
        <f t="shared" si="9"/>
        <v>0</v>
      </c>
      <c r="K103" s="1723">
        <f t="shared" si="9"/>
        <v>0</v>
      </c>
    </row>
    <row r="104" spans="2:17" ht="20.100000000000001" customHeight="1">
      <c r="B104" s="946" t="s">
        <v>1286</v>
      </c>
      <c r="C104" s="942" t="s">
        <v>1437</v>
      </c>
      <c r="D104" s="1017"/>
      <c r="E104" s="1017"/>
      <c r="F104" s="1749"/>
      <c r="G104" s="1451"/>
      <c r="H104" s="1451"/>
      <c r="I104" s="1722"/>
      <c r="J104" s="1729">
        <f t="shared" ref="J104:K106" si="10">D107</f>
        <v>0</v>
      </c>
      <c r="K104" s="1729">
        <f t="shared" si="10"/>
        <v>0</v>
      </c>
    </row>
    <row r="105" spans="2:17" ht="20.100000000000001" customHeight="1">
      <c r="B105" s="946" t="str">
        <f>IF(C98="Round","Diameter of Opening","Length of Opening (L)")</f>
        <v>Length of Opening (L)</v>
      </c>
      <c r="C105" s="942" t="s">
        <v>1437</v>
      </c>
      <c r="D105" s="1017"/>
      <c r="E105" s="1017"/>
      <c r="F105" s="1749"/>
      <c r="G105" s="1451"/>
      <c r="H105" s="1451"/>
      <c r="I105" s="1722"/>
      <c r="J105" s="1729">
        <f t="shared" si="10"/>
        <v>0.9</v>
      </c>
      <c r="K105" s="1730">
        <f t="shared" si="10"/>
        <v>0.9</v>
      </c>
    </row>
    <row r="106" spans="2:17" ht="20.100000000000001" customHeight="1" thickBot="1">
      <c r="B106" s="946" t="str">
        <f>IF(C98="Round","","Height of Opening (H)")</f>
        <v>Height of Opening (H)</v>
      </c>
      <c r="C106" s="942" t="s">
        <v>1437</v>
      </c>
      <c r="D106" s="1017"/>
      <c r="E106" s="1017"/>
      <c r="F106" s="1749"/>
      <c r="G106" s="1451"/>
      <c r="H106" s="1451"/>
      <c r="I106" s="1722"/>
      <c r="J106" s="1729">
        <f t="shared" si="10"/>
        <v>100</v>
      </c>
      <c r="K106" s="1730">
        <f t="shared" si="10"/>
        <v>100</v>
      </c>
    </row>
    <row r="107" spans="2:17" ht="20.100000000000001" customHeight="1" thickBot="1">
      <c r="B107" s="946" t="s">
        <v>1287</v>
      </c>
      <c r="C107" s="1727"/>
      <c r="D107" s="1015"/>
      <c r="E107" s="1016"/>
      <c r="F107" s="1749"/>
      <c r="G107" s="1451"/>
      <c r="H107" s="1728" t="str">
        <f>$H$7</f>
        <v>Display Chart</v>
      </c>
      <c r="I107" s="1722" t="s">
        <v>1173</v>
      </c>
      <c r="J107" s="1734">
        <f>0.1713*10^-8*J105*((J102+460)^4 - (J103+460)^4)*J104*J101*J106/100</f>
        <v>0</v>
      </c>
      <c r="K107" s="1734">
        <f>0.1713*10^-8*K105*((K102+460)^4 - (K103+460)^4)*K104*K101*K106/100</f>
        <v>0</v>
      </c>
    </row>
    <row r="108" spans="2:17" ht="20.100000000000001" customHeight="1">
      <c r="B108" s="946" t="s">
        <v>1646</v>
      </c>
      <c r="C108" s="1727"/>
      <c r="D108" s="1015">
        <v>0.9</v>
      </c>
      <c r="E108" s="1016">
        <v>0.9</v>
      </c>
      <c r="F108" s="2585" t="str">
        <f>IF(OR(D108&gt;1,E108&gt;1),"Surface emmissivity cannot be greater than 1","")</f>
        <v/>
      </c>
      <c r="G108" s="2602"/>
      <c r="H108" s="2603"/>
      <c r="I108" s="1753" t="s">
        <v>1173</v>
      </c>
      <c r="J108" s="1754">
        <f>J107</f>
        <v>0</v>
      </c>
      <c r="K108" s="1754">
        <f>K107</f>
        <v>0</v>
      </c>
      <c r="L108" s="1561">
        <f>IF($C$31&gt;3,1,0)</f>
        <v>1</v>
      </c>
      <c r="M108" s="1561" t="s">
        <v>3</v>
      </c>
    </row>
    <row r="109" spans="2:17" ht="20.100000000000001" customHeight="1" thickBot="1">
      <c r="B109" s="946" t="s">
        <v>1639</v>
      </c>
      <c r="C109" s="1712" t="s">
        <v>1116</v>
      </c>
      <c r="D109" s="1017">
        <v>100</v>
      </c>
      <c r="E109" s="1018">
        <v>100</v>
      </c>
      <c r="F109" s="2585"/>
      <c r="G109" s="2602"/>
      <c r="H109" s="2603"/>
      <c r="I109" s="1676"/>
      <c r="J109" s="1676"/>
      <c r="K109" s="1676"/>
    </row>
    <row r="110" spans="2:17" ht="20.100000000000001" hidden="1" customHeight="1">
      <c r="B110" s="1731"/>
      <c r="C110" s="1711"/>
      <c r="D110" s="1732"/>
      <c r="E110" s="1733"/>
      <c r="F110" s="1749"/>
      <c r="G110" s="1451"/>
      <c r="H110" s="1451"/>
      <c r="I110" s="1676"/>
      <c r="J110" s="1676"/>
      <c r="K110" s="1676"/>
    </row>
    <row r="111" spans="2:17" ht="20.100000000000001" hidden="1" customHeight="1" thickBot="1">
      <c r="B111" s="1755"/>
      <c r="C111" s="1737"/>
      <c r="D111" s="1757"/>
      <c r="E111" s="1758"/>
      <c r="F111" s="1451"/>
      <c r="G111" s="1451"/>
      <c r="H111" s="1451"/>
      <c r="I111" s="1676"/>
      <c r="J111" s="1676"/>
      <c r="K111" s="1676"/>
    </row>
    <row r="112" spans="2:17" ht="20.100000000000001" hidden="1" customHeight="1">
      <c r="B112" s="1005" t="s">
        <v>1288</v>
      </c>
      <c r="C112" s="999"/>
      <c r="D112" s="993">
        <f>D107</f>
        <v>0</v>
      </c>
      <c r="E112" s="994">
        <f>E107</f>
        <v>0</v>
      </c>
      <c r="F112" s="1451"/>
      <c r="G112" s="1451"/>
      <c r="H112" s="1451"/>
      <c r="I112" s="1741"/>
      <c r="J112" s="1741"/>
      <c r="K112" s="1741"/>
    </row>
    <row r="113" spans="2:17" ht="20.100000000000001" hidden="1" customHeight="1">
      <c r="B113" s="1006" t="s">
        <v>1289</v>
      </c>
      <c r="C113" s="1000" t="s">
        <v>1113</v>
      </c>
      <c r="D113" s="995" t="e">
        <f>IF(C98="Rectangular",(MIN(D105:D106)/(D104/1000)),D105/(D104/1000))</f>
        <v>#DIV/0!</v>
      </c>
      <c r="E113" s="996" t="e">
        <f>IF(C98="Rectangular",(MIN(E105:E106)/(E104/1000)),E105/(E104/1000))</f>
        <v>#DIV/0!</v>
      </c>
      <c r="F113" s="1451"/>
      <c r="G113" s="1451"/>
      <c r="I113" s="1759"/>
      <c r="J113" s="1669"/>
      <c r="K113" s="1669"/>
    </row>
    <row r="114" spans="2:17" ht="20.100000000000001" hidden="1" customHeight="1" thickBot="1">
      <c r="B114" s="1007" t="s">
        <v>1290</v>
      </c>
      <c r="C114" s="990" t="s">
        <v>1173</v>
      </c>
      <c r="D114" s="991">
        <f>J107*L108</f>
        <v>0</v>
      </c>
      <c r="E114" s="992">
        <f>K107*L108</f>
        <v>0</v>
      </c>
      <c r="F114" s="1451"/>
      <c r="G114" s="1451"/>
      <c r="I114" s="1759"/>
      <c r="J114" s="1669"/>
      <c r="K114" s="1669"/>
    </row>
    <row r="115" spans="2:17" ht="20.100000000000001" customHeight="1" thickBot="1">
      <c r="B115" s="1011" t="s">
        <v>1290</v>
      </c>
      <c r="C115" s="1012" t="s">
        <v>1173</v>
      </c>
      <c r="D115" s="1013">
        <f>D114</f>
        <v>0</v>
      </c>
      <c r="E115" s="1014">
        <f>E114</f>
        <v>0</v>
      </c>
      <c r="F115" s="1451"/>
      <c r="G115" s="1451"/>
    </row>
    <row r="116" spans="2:17" ht="20.100000000000001" customHeight="1">
      <c r="B116" s="1746"/>
      <c r="C116" s="987"/>
      <c r="D116" s="1747"/>
      <c r="E116" s="1747"/>
      <c r="F116" s="1451"/>
      <c r="G116" s="1451"/>
    </row>
    <row r="117" spans="2:17" ht="20.100000000000001" customHeight="1" thickBot="1">
      <c r="B117" s="1746"/>
      <c r="C117" s="987"/>
      <c r="D117" s="1747"/>
      <c r="E117" s="1747"/>
      <c r="F117" s="1451"/>
      <c r="G117" s="1451"/>
    </row>
    <row r="118" spans="2:17" ht="20.100000000000001" customHeight="1">
      <c r="B118" s="2137" t="s">
        <v>1297</v>
      </c>
      <c r="C118" s="2610"/>
      <c r="D118" s="2610"/>
      <c r="E118" s="2611"/>
      <c r="F118" s="1451"/>
      <c r="G118" s="1451"/>
      <c r="O118" s="1760"/>
    </row>
    <row r="119" spans="2:17" ht="20.100000000000001" customHeight="1">
      <c r="B119" s="1710" t="s">
        <v>1281</v>
      </c>
      <c r="C119" s="2608" t="s">
        <v>1421</v>
      </c>
      <c r="D119" s="2608"/>
      <c r="E119" s="2609"/>
      <c r="F119" s="1451"/>
      <c r="G119" s="1451"/>
      <c r="I119" s="2612" t="s">
        <v>1190</v>
      </c>
      <c r="J119" s="2613"/>
      <c r="K119" s="2613"/>
    </row>
    <row r="120" spans="2:17" ht="20.100000000000001" customHeight="1">
      <c r="B120" s="946" t="s">
        <v>1282</v>
      </c>
      <c r="C120" s="1711"/>
      <c r="D120" s="1712" t="s">
        <v>1114</v>
      </c>
      <c r="E120" s="1713" t="s">
        <v>1119</v>
      </c>
      <c r="F120" s="1451"/>
      <c r="G120" s="1451"/>
      <c r="I120" s="1709"/>
      <c r="J120" s="1676"/>
      <c r="K120" s="1676"/>
    </row>
    <row r="121" spans="2:17" ht="20.100000000000001" customHeight="1" thickBot="1">
      <c r="B121" s="946" t="s">
        <v>1283</v>
      </c>
      <c r="C121" s="1711"/>
      <c r="D121" s="1023">
        <v>0</v>
      </c>
      <c r="E121" s="1024">
        <v>0</v>
      </c>
      <c r="F121" s="1451"/>
      <c r="G121" s="1451"/>
    </row>
    <row r="122" spans="2:17" ht="20.100000000000001" customHeight="1">
      <c r="B122" s="946" t="s">
        <v>1284</v>
      </c>
      <c r="C122" s="942" t="s">
        <v>1174</v>
      </c>
      <c r="D122" s="1714">
        <f>IF($C119="Rectangular",D121*D126*D127/144,(D121*PI()*(D126^2)/4)/144)</f>
        <v>0</v>
      </c>
      <c r="E122" s="1715">
        <f>IF($C119="Rectangular",E121*E126*E127/144,(E121*PI()*(E126^2)/4)/144)</f>
        <v>0</v>
      </c>
      <c r="F122" s="1451"/>
      <c r="G122" s="1451"/>
      <c r="I122" s="1718" t="s">
        <v>1174</v>
      </c>
      <c r="J122" s="1751">
        <f t="shared" ref="J122:K124" si="11">D122</f>
        <v>0</v>
      </c>
      <c r="K122" s="1751">
        <f t="shared" si="11"/>
        <v>0</v>
      </c>
      <c r="Q122" s="1676"/>
    </row>
    <row r="123" spans="2:17" ht="20.100000000000001" customHeight="1">
      <c r="B123" s="946" t="s">
        <v>1285</v>
      </c>
      <c r="C123" s="942" t="s">
        <v>1175</v>
      </c>
      <c r="D123" s="951"/>
      <c r="E123" s="952"/>
      <c r="F123" s="1451"/>
      <c r="G123" s="1451"/>
      <c r="I123" s="1722" t="s">
        <v>1175</v>
      </c>
      <c r="J123" s="1723">
        <f t="shared" si="11"/>
        <v>0</v>
      </c>
      <c r="K123" s="1723">
        <f t="shared" si="11"/>
        <v>0</v>
      </c>
    </row>
    <row r="124" spans="2:17" ht="20.100000000000001" customHeight="1">
      <c r="B124" s="946" t="s">
        <v>1247</v>
      </c>
      <c r="C124" s="942" t="s">
        <v>1175</v>
      </c>
      <c r="D124" s="951"/>
      <c r="E124" s="952"/>
      <c r="F124" s="1451"/>
      <c r="G124" s="1451"/>
      <c r="I124" s="1722" t="s">
        <v>1175</v>
      </c>
      <c r="J124" s="1723">
        <f t="shared" si="11"/>
        <v>0</v>
      </c>
      <c r="K124" s="1723">
        <f t="shared" si="11"/>
        <v>0</v>
      </c>
    </row>
    <row r="125" spans="2:17" ht="20.100000000000001" customHeight="1">
      <c r="B125" s="946" t="s">
        <v>1286</v>
      </c>
      <c r="C125" s="942" t="s">
        <v>1437</v>
      </c>
      <c r="D125" s="1017"/>
      <c r="E125" s="1018"/>
      <c r="F125" s="1451"/>
      <c r="G125" s="1451"/>
      <c r="I125" s="1722"/>
      <c r="J125" s="1729">
        <f t="shared" ref="J125:K127" si="12">D128</f>
        <v>0</v>
      </c>
      <c r="K125" s="1729">
        <f t="shared" si="12"/>
        <v>0</v>
      </c>
    </row>
    <row r="126" spans="2:17" ht="20.100000000000001" customHeight="1">
      <c r="B126" s="946" t="str">
        <f>IF(C119="Round","Diameter of Opening","Length of Opening (L)")</f>
        <v>Length of Opening (L)</v>
      </c>
      <c r="C126" s="942" t="s">
        <v>1437</v>
      </c>
      <c r="D126" s="1017"/>
      <c r="E126" s="1018"/>
      <c r="F126" s="1451"/>
      <c r="G126" s="1451"/>
      <c r="I126" s="1722"/>
      <c r="J126" s="1729">
        <f t="shared" si="12"/>
        <v>0.9</v>
      </c>
      <c r="K126" s="1729">
        <f t="shared" si="12"/>
        <v>0.9</v>
      </c>
    </row>
    <row r="127" spans="2:17" ht="20.100000000000001" customHeight="1" thickBot="1">
      <c r="B127" s="946" t="str">
        <f>IF(C119="Round","","Height of Opening (H)")</f>
        <v>Height of Opening (H)</v>
      </c>
      <c r="C127" s="942" t="s">
        <v>1437</v>
      </c>
      <c r="D127" s="1017"/>
      <c r="E127" s="1018"/>
      <c r="F127" s="1451"/>
      <c r="G127" s="1451"/>
      <c r="I127" s="1722"/>
      <c r="J127" s="1729">
        <f t="shared" si="12"/>
        <v>100</v>
      </c>
      <c r="K127" s="1729">
        <f t="shared" si="12"/>
        <v>100</v>
      </c>
    </row>
    <row r="128" spans="2:17" ht="20.100000000000001" customHeight="1" thickBot="1">
      <c r="B128" s="946" t="s">
        <v>1287</v>
      </c>
      <c r="C128" s="1727"/>
      <c r="D128" s="1015"/>
      <c r="E128" s="1016"/>
      <c r="F128" s="1451"/>
      <c r="G128" s="1451"/>
      <c r="H128" s="1728" t="str">
        <f>$H$7</f>
        <v>Display Chart</v>
      </c>
      <c r="I128" s="1722" t="s">
        <v>1173</v>
      </c>
      <c r="J128" s="1734">
        <f>0.1713*10^-8*J126*((J123+460)^4 - (J124+460)^4)*J125*J122*J127/100</f>
        <v>0</v>
      </c>
      <c r="K128" s="1734">
        <f>0.1713*10^-8*K126*((K123+460)^4 - (K124+460)^4)*K125*K122*K127/100</f>
        <v>0</v>
      </c>
    </row>
    <row r="129" spans="2:17" ht="20.100000000000001" customHeight="1">
      <c r="B129" s="946" t="s">
        <v>1646</v>
      </c>
      <c r="C129" s="1727"/>
      <c r="D129" s="1015">
        <v>0.9</v>
      </c>
      <c r="E129" s="1016">
        <v>0.9</v>
      </c>
      <c r="F129" s="2602" t="str">
        <f>IF(OR(D129&gt;1,E129&gt;1),"Surface emmissivity cannot be greater than 1","")</f>
        <v/>
      </c>
      <c r="G129" s="2602"/>
      <c r="H129" s="2603"/>
      <c r="I129" s="1753" t="s">
        <v>1118</v>
      </c>
      <c r="J129" s="1754">
        <f>J128</f>
        <v>0</v>
      </c>
      <c r="K129" s="1754">
        <f>K128</f>
        <v>0</v>
      </c>
      <c r="L129" s="1561">
        <f>IF($C$31&gt;4,1,0)</f>
        <v>1</v>
      </c>
      <c r="M129" s="1561" t="s">
        <v>3</v>
      </c>
    </row>
    <row r="130" spans="2:17" ht="20.100000000000001" customHeight="1" thickBot="1">
      <c r="B130" s="946" t="s">
        <v>1639</v>
      </c>
      <c r="C130" s="1712" t="s">
        <v>1116</v>
      </c>
      <c r="D130" s="1017">
        <v>100</v>
      </c>
      <c r="E130" s="1018">
        <v>100</v>
      </c>
      <c r="F130" s="2602"/>
      <c r="G130" s="2602"/>
      <c r="H130" s="2603"/>
    </row>
    <row r="131" spans="2:17" ht="20.100000000000001" hidden="1" customHeight="1">
      <c r="B131" s="1731"/>
      <c r="C131" s="1711"/>
      <c r="D131" s="1732"/>
      <c r="E131" s="1733"/>
      <c r="F131" s="1451"/>
      <c r="G131" s="1451"/>
    </row>
    <row r="132" spans="2:17" ht="20.100000000000001" hidden="1" customHeight="1" thickBot="1">
      <c r="B132" s="1755"/>
      <c r="C132" s="1737"/>
      <c r="D132" s="1757"/>
      <c r="E132" s="1758"/>
      <c r="F132" s="1451"/>
      <c r="G132" s="1451"/>
    </row>
    <row r="133" spans="2:17" ht="20.100000000000001" hidden="1" customHeight="1">
      <c r="B133" s="1005" t="s">
        <v>1288</v>
      </c>
      <c r="C133" s="999"/>
      <c r="D133" s="993">
        <f>D128</f>
        <v>0</v>
      </c>
      <c r="E133" s="994">
        <f>E128</f>
        <v>0</v>
      </c>
      <c r="F133" s="1451"/>
      <c r="G133" s="1451"/>
    </row>
    <row r="134" spans="2:17" ht="20.100000000000001" hidden="1" customHeight="1">
      <c r="B134" s="1006" t="s">
        <v>1289</v>
      </c>
      <c r="C134" s="1000" t="s">
        <v>1113</v>
      </c>
      <c r="D134" s="995" t="e">
        <f>IF(C119="Rectangular",(MIN(D126:D127)/(D125/1000)),D126/(D125/1000))</f>
        <v>#DIV/0!</v>
      </c>
      <c r="E134" s="996" t="e">
        <f>IF(C119="Rectangular",(MIN(E126:E127)/(E125/1000)),E126/(E125/1000))</f>
        <v>#DIV/0!</v>
      </c>
      <c r="F134" s="1451"/>
      <c r="G134" s="1451"/>
    </row>
    <row r="135" spans="2:17" ht="20.100000000000001" hidden="1" customHeight="1" thickBot="1">
      <c r="B135" s="1007" t="s">
        <v>1290</v>
      </c>
      <c r="C135" s="990" t="s">
        <v>1173</v>
      </c>
      <c r="D135" s="991">
        <f>J129*L129</f>
        <v>0</v>
      </c>
      <c r="E135" s="992">
        <f>K129*L129</f>
        <v>0</v>
      </c>
      <c r="F135" s="1451"/>
      <c r="G135" s="1451"/>
    </row>
    <row r="136" spans="2:17" ht="20.100000000000001" customHeight="1" thickBot="1">
      <c r="B136" s="1011" t="s">
        <v>1290</v>
      </c>
      <c r="C136" s="1012" t="s">
        <v>1173</v>
      </c>
      <c r="D136" s="1013">
        <f>D135</f>
        <v>0</v>
      </c>
      <c r="E136" s="1014">
        <f>E135</f>
        <v>0</v>
      </c>
      <c r="F136" s="1451"/>
      <c r="G136" s="1451"/>
    </row>
    <row r="137" spans="2:17" ht="20.100000000000001" customHeight="1">
      <c r="B137" s="1746"/>
      <c r="C137" s="987"/>
      <c r="D137" s="1747"/>
      <c r="E137" s="1747"/>
      <c r="F137" s="1451"/>
      <c r="G137" s="1451"/>
    </row>
    <row r="138" spans="2:17" ht="20.100000000000001" customHeight="1" thickBot="1">
      <c r="B138" s="1746"/>
      <c r="C138" s="987"/>
      <c r="D138" s="1747"/>
      <c r="E138" s="1747"/>
      <c r="F138" s="1451"/>
      <c r="G138" s="1451"/>
    </row>
    <row r="139" spans="2:17" ht="20.100000000000001" customHeight="1">
      <c r="B139" s="2137" t="s">
        <v>1297</v>
      </c>
      <c r="C139" s="2610"/>
      <c r="D139" s="2610"/>
      <c r="E139" s="2611"/>
      <c r="F139" s="1451"/>
      <c r="G139" s="1451"/>
      <c r="O139" s="1760"/>
    </row>
    <row r="140" spans="2:17" ht="20.100000000000001" customHeight="1">
      <c r="B140" s="1710" t="s">
        <v>1281</v>
      </c>
      <c r="C140" s="2608" t="s">
        <v>1421</v>
      </c>
      <c r="D140" s="2608"/>
      <c r="E140" s="2609"/>
      <c r="F140" s="1451"/>
      <c r="G140" s="1451"/>
      <c r="I140" s="2612" t="s">
        <v>777</v>
      </c>
      <c r="J140" s="2613"/>
      <c r="K140" s="2613"/>
    </row>
    <row r="141" spans="2:17" ht="20.100000000000001" customHeight="1">
      <c r="B141" s="946" t="s">
        <v>1282</v>
      </c>
      <c r="C141" s="1711"/>
      <c r="D141" s="1712" t="s">
        <v>1114</v>
      </c>
      <c r="E141" s="1713" t="s">
        <v>1119</v>
      </c>
      <c r="F141" s="1451"/>
      <c r="G141" s="1451"/>
      <c r="I141" s="1709"/>
      <c r="J141" s="1676"/>
      <c r="K141" s="1676"/>
    </row>
    <row r="142" spans="2:17" ht="20.100000000000001" customHeight="1" thickBot="1">
      <c r="B142" s="946" t="s">
        <v>1283</v>
      </c>
      <c r="C142" s="1711"/>
      <c r="D142" s="1023">
        <v>0</v>
      </c>
      <c r="E142" s="1024">
        <v>0</v>
      </c>
      <c r="F142" s="1451"/>
      <c r="G142" s="1451"/>
    </row>
    <row r="143" spans="2:17" ht="20.100000000000001" customHeight="1">
      <c r="B143" s="946" t="s">
        <v>1284</v>
      </c>
      <c r="C143" s="942" t="s">
        <v>1174</v>
      </c>
      <c r="D143" s="1714">
        <f>IF($C140="Rectangular",D142*D147*D148/144,(D142*PI()*(D147^2)/4)/144)</f>
        <v>0</v>
      </c>
      <c r="E143" s="1715">
        <f>IF($C140="Rectangular",E142*E147*E148/144,(E142*PI()*(E147^2)/4)/144)</f>
        <v>0</v>
      </c>
      <c r="F143" s="1451"/>
      <c r="G143" s="1451"/>
      <c r="I143" s="1718" t="s">
        <v>1174</v>
      </c>
      <c r="J143" s="1751">
        <f t="shared" ref="J143:K145" si="13">D143</f>
        <v>0</v>
      </c>
      <c r="K143" s="1752">
        <f t="shared" si="13"/>
        <v>0</v>
      </c>
      <c r="Q143" s="1676" t="b">
        <f>OR(C140=O$34,C140=P$34)</f>
        <v>0</v>
      </c>
    </row>
    <row r="144" spans="2:17" ht="20.100000000000001" customHeight="1">
      <c r="B144" s="946" t="s">
        <v>1285</v>
      </c>
      <c r="C144" s="942" t="s">
        <v>1175</v>
      </c>
      <c r="D144" s="951"/>
      <c r="E144" s="952"/>
      <c r="F144" s="1451"/>
      <c r="G144" s="1451"/>
      <c r="I144" s="1722" t="s">
        <v>1175</v>
      </c>
      <c r="J144" s="1723">
        <f t="shared" si="13"/>
        <v>0</v>
      </c>
      <c r="K144" s="1724">
        <f t="shared" si="13"/>
        <v>0</v>
      </c>
    </row>
    <row r="145" spans="1:13" ht="20.100000000000001" customHeight="1">
      <c r="B145" s="946" t="s">
        <v>1247</v>
      </c>
      <c r="C145" s="942" t="s">
        <v>1175</v>
      </c>
      <c r="D145" s="951"/>
      <c r="E145" s="952"/>
      <c r="F145" s="1451"/>
      <c r="G145" s="1451"/>
      <c r="I145" s="1722" t="s">
        <v>1175</v>
      </c>
      <c r="J145" s="1723">
        <f t="shared" si="13"/>
        <v>0</v>
      </c>
      <c r="K145" s="1724">
        <f t="shared" si="13"/>
        <v>0</v>
      </c>
    </row>
    <row r="146" spans="1:13" ht="20.100000000000001" customHeight="1">
      <c r="B146" s="946" t="s">
        <v>1286</v>
      </c>
      <c r="C146" s="942" t="s">
        <v>1437</v>
      </c>
      <c r="D146" s="1017"/>
      <c r="E146" s="1018"/>
      <c r="F146" s="1451"/>
      <c r="G146" s="1451"/>
      <c r="I146" s="1722"/>
      <c r="J146" s="1729">
        <f t="shared" ref="J146:K148" si="14">D149</f>
        <v>0</v>
      </c>
      <c r="K146" s="1730">
        <f t="shared" si="14"/>
        <v>0</v>
      </c>
    </row>
    <row r="147" spans="1:13" ht="20.100000000000001" customHeight="1">
      <c r="B147" s="946" t="str">
        <f>IF(C140="Round","Diameter of Opening","Length of Opening (L)")</f>
        <v>Length of Opening (L)</v>
      </c>
      <c r="C147" s="942" t="s">
        <v>1437</v>
      </c>
      <c r="D147" s="1017"/>
      <c r="E147" s="1018"/>
      <c r="F147" s="1451"/>
      <c r="G147" s="1451"/>
      <c r="I147" s="1722"/>
      <c r="J147" s="1729">
        <f t="shared" si="14"/>
        <v>0.9</v>
      </c>
      <c r="K147" s="1730">
        <f t="shared" si="14"/>
        <v>0.9</v>
      </c>
    </row>
    <row r="148" spans="1:13" ht="20.100000000000001" customHeight="1" thickBot="1">
      <c r="B148" s="946" t="str">
        <f>IF(C140="Round","","Height of Opening (H)")</f>
        <v>Height of Opening (H)</v>
      </c>
      <c r="C148" s="942" t="s">
        <v>1437</v>
      </c>
      <c r="D148" s="1017"/>
      <c r="E148" s="1018"/>
      <c r="F148" s="1451"/>
      <c r="G148" s="1451"/>
      <c r="I148" s="1722"/>
      <c r="J148" s="1729">
        <f t="shared" si="14"/>
        <v>100</v>
      </c>
      <c r="K148" s="1730">
        <f t="shared" si="14"/>
        <v>100</v>
      </c>
    </row>
    <row r="149" spans="1:13" ht="20.100000000000001" customHeight="1" thickBot="1">
      <c r="B149" s="946" t="s">
        <v>1287</v>
      </c>
      <c r="C149" s="942"/>
      <c r="D149" s="1015"/>
      <c r="E149" s="1016"/>
      <c r="F149" s="1451"/>
      <c r="G149" s="1451"/>
      <c r="H149" s="1728" t="str">
        <f>$H$7</f>
        <v>Display Chart</v>
      </c>
      <c r="I149" s="1722" t="s">
        <v>1173</v>
      </c>
      <c r="J149" s="1734">
        <f>0.1713*10^-8*J147*((J144+460)^4 - (J145+460)^4)*J146*J143*J148/100</f>
        <v>0</v>
      </c>
      <c r="K149" s="1734">
        <f>0.1713*10^-8*K147*((K144+460)^4 - (K145+460)^4)*K146*K143*K148/100</f>
        <v>0</v>
      </c>
    </row>
    <row r="150" spans="1:13" ht="20.100000000000001" customHeight="1">
      <c r="B150" s="946" t="s">
        <v>1646</v>
      </c>
      <c r="C150" s="1727"/>
      <c r="D150" s="1015">
        <v>0.9</v>
      </c>
      <c r="E150" s="1016">
        <v>0.9</v>
      </c>
      <c r="F150" s="2602" t="str">
        <f>IF(OR(D150&gt;1,E150&gt;1),"Surface emmissivity cannot be greater than 1","")</f>
        <v/>
      </c>
      <c r="G150" s="2602"/>
      <c r="H150" s="2603"/>
      <c r="I150" s="1753" t="s">
        <v>1173</v>
      </c>
      <c r="J150" s="1754">
        <f>J149</f>
        <v>0</v>
      </c>
      <c r="K150" s="1754">
        <f>K149</f>
        <v>0</v>
      </c>
      <c r="L150" s="1561">
        <f>IF($C$31&gt;5,1,0)</f>
        <v>1</v>
      </c>
      <c r="M150" s="1561" t="s">
        <v>3</v>
      </c>
    </row>
    <row r="151" spans="1:13" ht="20.100000000000001" customHeight="1" thickBot="1">
      <c r="B151" s="946" t="s">
        <v>1639</v>
      </c>
      <c r="C151" s="1712" t="s">
        <v>1116</v>
      </c>
      <c r="D151" s="1017">
        <v>100</v>
      </c>
      <c r="E151" s="1018">
        <v>100</v>
      </c>
      <c r="F151" s="2602"/>
      <c r="G151" s="2602"/>
      <c r="H151" s="2603"/>
    </row>
    <row r="152" spans="1:13" ht="20.100000000000001" hidden="1" customHeight="1">
      <c r="B152" s="1731"/>
      <c r="C152" s="1711"/>
      <c r="D152" s="1732"/>
      <c r="E152" s="1733"/>
      <c r="F152" s="1451"/>
      <c r="G152" s="1451"/>
    </row>
    <row r="153" spans="1:13" ht="20.100000000000001" hidden="1" customHeight="1" thickBot="1">
      <c r="B153" s="1755"/>
      <c r="C153" s="1737"/>
      <c r="D153" s="1757"/>
      <c r="E153" s="1758"/>
      <c r="F153" s="1451"/>
      <c r="G153" s="1451"/>
    </row>
    <row r="154" spans="1:13" ht="20.100000000000001" hidden="1" customHeight="1">
      <c r="B154" s="1005" t="s">
        <v>1288</v>
      </c>
      <c r="C154" s="999"/>
      <c r="D154" s="993">
        <f>D149</f>
        <v>0</v>
      </c>
      <c r="E154" s="994">
        <f>E149</f>
        <v>0</v>
      </c>
      <c r="F154" s="1451"/>
      <c r="G154" s="1451"/>
    </row>
    <row r="155" spans="1:13" ht="20.100000000000001" hidden="1" customHeight="1">
      <c r="B155" s="1006" t="s">
        <v>1289</v>
      </c>
      <c r="C155" s="1000" t="s">
        <v>1113</v>
      </c>
      <c r="D155" s="995" t="e">
        <f>IF(C140="Rectangular",(MIN(D147:D148)/(D146/1000)),D147/(D146/1000))</f>
        <v>#DIV/0!</v>
      </c>
      <c r="E155" s="996" t="e">
        <f>IF(C140="Rectangular",(MIN(E147:E148)/(E146/1000)),E147/(E146/1000))</f>
        <v>#DIV/0!</v>
      </c>
      <c r="F155" s="1451"/>
      <c r="G155" s="1451"/>
    </row>
    <row r="156" spans="1:13" ht="20.100000000000001" hidden="1" customHeight="1" thickBot="1">
      <c r="B156" s="1007" t="s">
        <v>1290</v>
      </c>
      <c r="C156" s="990" t="s">
        <v>1173</v>
      </c>
      <c r="D156" s="991">
        <f>J150*L150</f>
        <v>0</v>
      </c>
      <c r="E156" s="992">
        <f>K150*L150</f>
        <v>0</v>
      </c>
      <c r="F156" s="1451"/>
      <c r="G156" s="1451"/>
    </row>
    <row r="157" spans="1:13" ht="20.100000000000001" customHeight="1" thickBot="1">
      <c r="B157" s="1011" t="s">
        <v>1290</v>
      </c>
      <c r="C157" s="1012" t="s">
        <v>1173</v>
      </c>
      <c r="D157" s="1013">
        <f>D156</f>
        <v>0</v>
      </c>
      <c r="E157" s="1014">
        <f>E156</f>
        <v>0</v>
      </c>
      <c r="F157" s="1451"/>
      <c r="G157" s="1451"/>
    </row>
    <row r="158" spans="1:13" ht="20.100000000000001" customHeight="1">
      <c r="B158" s="1746"/>
      <c r="C158" s="987"/>
      <c r="D158" s="1747"/>
      <c r="E158" s="1747"/>
      <c r="F158" s="1451"/>
      <c r="G158" s="1451"/>
    </row>
    <row r="159" spans="1:13" ht="20.100000000000001" customHeight="1" thickBot="1">
      <c r="F159" s="1451"/>
      <c r="G159" s="1451"/>
    </row>
    <row r="160" spans="1:13" s="1676" customFormat="1" ht="20.100000000000001" customHeight="1" thickBot="1">
      <c r="A160" s="1431"/>
      <c r="B160" s="969" t="s">
        <v>1100</v>
      </c>
      <c r="C160" s="938" t="s">
        <v>1173</v>
      </c>
      <c r="D160" s="1003">
        <f>D73+D52+D94+D115+D136+D157</f>
        <v>0</v>
      </c>
      <c r="E160" s="1004">
        <f>E73+E52+E94+E115+E136+E157</f>
        <v>0</v>
      </c>
      <c r="F160" s="1762"/>
      <c r="G160" s="1762"/>
      <c r="H160" s="1763"/>
      <c r="I160" s="1764" t="s">
        <v>1113</v>
      </c>
    </row>
    <row r="161" spans="1:9" s="1676" customFormat="1" ht="20.100000000000001" customHeight="1" thickBot="1">
      <c r="A161" s="1431"/>
      <c r="B161" s="1765"/>
      <c r="C161" s="1431"/>
      <c r="D161" s="1431"/>
      <c r="E161" s="1431"/>
      <c r="F161" s="1763"/>
      <c r="G161" s="1763"/>
      <c r="H161" s="1763"/>
      <c r="I161" s="1764"/>
    </row>
    <row r="162" spans="1:9" s="1676" customFormat="1" ht="20.100000000000001" customHeight="1">
      <c r="A162" s="1431"/>
      <c r="B162" s="2540" t="s">
        <v>710</v>
      </c>
      <c r="C162" s="2541"/>
      <c r="D162" s="2541"/>
      <c r="E162" s="2542"/>
      <c r="F162" s="1763"/>
      <c r="G162" s="1763"/>
      <c r="H162" s="1763"/>
      <c r="I162" s="1764"/>
    </row>
    <row r="163" spans="1:9" s="1676" customFormat="1" ht="20.100000000000001" customHeight="1">
      <c r="A163" s="1431"/>
      <c r="B163" s="2533" t="s">
        <v>709</v>
      </c>
      <c r="C163" s="2534"/>
      <c r="D163" s="2534"/>
      <c r="E163" s="2535"/>
      <c r="F163" s="1763"/>
      <c r="G163" s="1763"/>
      <c r="H163" s="1763"/>
      <c r="I163" s="1764"/>
    </row>
    <row r="164" spans="1:9" ht="20.100000000000001" customHeight="1">
      <c r="B164" s="2559"/>
      <c r="C164" s="2560"/>
      <c r="D164" s="2560"/>
      <c r="E164" s="2561"/>
      <c r="I164" s="1561">
        <f>IF(B164="",0,1)</f>
        <v>0</v>
      </c>
    </row>
    <row r="165" spans="1:9" ht="20.100000000000001" customHeight="1">
      <c r="B165" s="2559"/>
      <c r="C165" s="2560"/>
      <c r="D165" s="2560"/>
      <c r="E165" s="2561"/>
      <c r="I165" s="1561">
        <f>IF(B165="",0,1)</f>
        <v>0</v>
      </c>
    </row>
    <row r="166" spans="1:9" ht="20.100000000000001" customHeight="1">
      <c r="B166" s="2559"/>
      <c r="C166" s="2560"/>
      <c r="D166" s="2560"/>
      <c r="E166" s="2561"/>
      <c r="I166" s="1561">
        <f>IF(B166="",0,1)</f>
        <v>0</v>
      </c>
    </row>
    <row r="167" spans="1:9" ht="20.100000000000001" customHeight="1">
      <c r="B167" s="2559"/>
      <c r="C167" s="2560"/>
      <c r="D167" s="2560"/>
      <c r="E167" s="2561"/>
      <c r="I167" s="1561">
        <f>IF(B167="",0,1)</f>
        <v>0</v>
      </c>
    </row>
    <row r="168" spans="1:9" ht="20.100000000000001" customHeight="1" thickBot="1">
      <c r="B168" s="2562"/>
      <c r="C168" s="2563"/>
      <c r="D168" s="2563"/>
      <c r="E168" s="2564"/>
      <c r="I168" s="1561">
        <f>IF(B168="",0,1)</f>
        <v>0</v>
      </c>
    </row>
    <row r="169" spans="1:9" ht="20.100000000000001" customHeight="1">
      <c r="I169" s="1698">
        <f>SUM(I164:I168)</f>
        <v>0</v>
      </c>
    </row>
  </sheetData>
  <sheetProtection password="B61E" sheet="1" objects="1" scenarios="1"/>
  <mergeCells count="34">
    <mergeCell ref="B164:E164"/>
    <mergeCell ref="B165:E165"/>
    <mergeCell ref="B166:E166"/>
    <mergeCell ref="B167:E167"/>
    <mergeCell ref="B168:E168"/>
    <mergeCell ref="I140:K140"/>
    <mergeCell ref="A35:A52"/>
    <mergeCell ref="C77:E77"/>
    <mergeCell ref="I77:K77"/>
    <mergeCell ref="C119:E119"/>
    <mergeCell ref="I56:K56"/>
    <mergeCell ref="C97:E97"/>
    <mergeCell ref="I35:K35"/>
    <mergeCell ref="I98:K98"/>
    <mergeCell ref="I119:K119"/>
    <mergeCell ref="C55:E55"/>
    <mergeCell ref="C76:E76"/>
    <mergeCell ref="C98:E98"/>
    <mergeCell ref="C140:E140"/>
    <mergeCell ref="C139:E139"/>
    <mergeCell ref="B163:E163"/>
    <mergeCell ref="D31:E31"/>
    <mergeCell ref="C35:E35"/>
    <mergeCell ref="C56:E56"/>
    <mergeCell ref="B33:E33"/>
    <mergeCell ref="C34:E34"/>
    <mergeCell ref="C118:E118"/>
    <mergeCell ref="B162:E162"/>
    <mergeCell ref="F150:H151"/>
    <mergeCell ref="F45:H46"/>
    <mergeCell ref="F66:H67"/>
    <mergeCell ref="F87:H88"/>
    <mergeCell ref="F108:H109"/>
    <mergeCell ref="F129:H130"/>
  </mergeCells>
  <phoneticPr fontId="0" type="noConversion"/>
  <conditionalFormatting sqref="C34:E34">
    <cfRule type="notContainsBlanks" dxfId="23" priority="7">
      <formula>LEN(TRIM(C34))&gt;0</formula>
    </cfRule>
  </conditionalFormatting>
  <conditionalFormatting sqref="C55:E55">
    <cfRule type="notContainsBlanks" dxfId="22" priority="5">
      <formula>LEN(TRIM(C55))&gt;0</formula>
    </cfRule>
  </conditionalFormatting>
  <conditionalFormatting sqref="C76:E76">
    <cfRule type="notContainsBlanks" dxfId="21" priority="4">
      <formula>LEN(TRIM(C76))&gt;0</formula>
    </cfRule>
  </conditionalFormatting>
  <conditionalFormatting sqref="C97:E97">
    <cfRule type="notContainsBlanks" dxfId="20" priority="3">
      <formula>LEN(TRIM(C97))&gt;0</formula>
    </cfRule>
  </conditionalFormatting>
  <conditionalFormatting sqref="C118:E118">
    <cfRule type="notContainsBlanks" dxfId="19" priority="2">
      <formula>LEN(TRIM(C118))&gt;0</formula>
    </cfRule>
  </conditionalFormatting>
  <conditionalFormatting sqref="C139:E139">
    <cfRule type="notContainsBlanks" dxfId="18" priority="1">
      <formula>LEN(TRIM(C139))&gt;0</formula>
    </cfRule>
  </conditionalFormatting>
  <dataValidations count="2">
    <dataValidation type="whole" operator="greaterThanOrEqual" allowBlank="1" showInputMessage="1" showErrorMessage="1" error="Must be Whole Number" sqref="D58:E58 D79:E79 D121:E121 D37:E37 D100:E100 D142:E142">
      <formula1>0</formula1>
    </dataValidation>
    <dataValidation type="list" allowBlank="1" showInputMessage="1" showErrorMessage="1" sqref="C35:E35 C56:E56 C77:E77 C98:E98 C119:E119 C140:E140">
      <formula1>"Round, Rectangular"</formula1>
    </dataValidation>
  </dataValidations>
  <hyperlinks>
    <hyperlink ref="H65" location="radiation_vf!A1" display="radiation_vf!A1"/>
    <hyperlink ref="H44" location="radiation_vf!A1" display="radiation_vf!A1"/>
    <hyperlink ref="H86" location="radiation_vf!A1" display="radiation_vf!A1"/>
    <hyperlink ref="H107" location="radiation_vf!A1" display="radiation_vf!A1"/>
    <hyperlink ref="H128" location="radiation_vf!A1" display="radiation_vf!A1"/>
    <hyperlink ref="H149" location="radiation_vf!A1" display="radiation_vf!A1"/>
  </hyperlinks>
  <pageMargins left="0.75" right="0.75" top="1" bottom="1" header="0.5" footer="0.5"/>
  <pageSetup scale="50" fitToHeight="2" orientation="portrait" r:id="rId1"/>
  <headerFooter alignWithMargins="0">
    <oddHeader>&amp;LRadiation Losses</oddHeader>
    <oddFooter>&amp;LUS Department of Energy&amp;C&amp;P&amp;R&amp;D</oddFooter>
  </headerFooter>
  <rowBreaks count="2" manualBreakCount="2">
    <brk id="74" min="1" max="4" man="1"/>
    <brk id="137" min="1" max="4" man="1"/>
  </rowBreaks>
  <drawing r:id="rId2"/>
  <legacyDrawing r:id="rId3"/>
  <controls>
    <mc:AlternateContent xmlns:mc="http://schemas.openxmlformats.org/markup-compatibility/2006">
      <mc:Choice Requires="x14">
        <control shapeId="30725" r:id="rId4" name="CommandButtonCopy">
          <controlPr defaultSize="0" print="0" autoLine="0" r:id="rId5">
            <anchor moveWithCells="1">
              <from>
                <xdr:col>7</xdr:col>
                <xdr:colOff>57150</xdr:colOff>
                <xdr:row>32</xdr:row>
                <xdr:rowOff>152400</xdr:rowOff>
              </from>
              <to>
                <xdr:col>7</xdr:col>
                <xdr:colOff>1047750</xdr:colOff>
                <xdr:row>33</xdr:row>
                <xdr:rowOff>104775</xdr:rowOff>
              </to>
            </anchor>
          </controlPr>
        </control>
      </mc:Choice>
      <mc:Fallback>
        <control shapeId="30725" r:id="rId4" name="CommandButtonCopy"/>
      </mc:Fallback>
    </mc:AlternateContent>
    <mc:AlternateContent xmlns:mc="http://schemas.openxmlformats.org/markup-compatibility/2006">
      <mc:Choice Requires="x14">
        <control shapeId="30727" r:id="rId6" name="CommandButtonDataDone">
          <controlPr defaultSize="0" print="0" autoLine="0" r:id="rId7">
            <anchor moveWithCells="1">
              <from>
                <xdr:col>7</xdr:col>
                <xdr:colOff>38100</xdr:colOff>
                <xdr:row>34</xdr:row>
                <xdr:rowOff>28575</xdr:rowOff>
              </from>
              <to>
                <xdr:col>7</xdr:col>
                <xdr:colOff>1028700</xdr:colOff>
                <xdr:row>36</xdr:row>
                <xdr:rowOff>38100</xdr:rowOff>
              </to>
            </anchor>
          </controlPr>
        </control>
      </mc:Choice>
      <mc:Fallback>
        <control shapeId="30727" r:id="rId6" name="CommandButtonDataDone"/>
      </mc:Fallback>
    </mc:AlternateContent>
    <mc:AlternateContent xmlns:mc="http://schemas.openxmlformats.org/markup-compatibility/2006">
      <mc:Choice Requires="x14">
        <control shapeId="30832" r:id="rId8" name="CommandButtonHelp">
          <controlPr defaultSize="0" autoLine="0" r:id="rId9">
            <anchor moveWithCells="1">
              <from>
                <xdr:col>0</xdr:col>
                <xdr:colOff>85725</xdr:colOff>
                <xdr:row>34</xdr:row>
                <xdr:rowOff>0</xdr:rowOff>
              </from>
              <to>
                <xdr:col>0</xdr:col>
                <xdr:colOff>666750</xdr:colOff>
                <xdr:row>45</xdr:row>
                <xdr:rowOff>19050</xdr:rowOff>
              </to>
            </anchor>
          </controlPr>
        </control>
      </mc:Choice>
      <mc:Fallback>
        <control shapeId="30832" r:id="rId8" name="CommandButtonHelp"/>
      </mc:Fallback>
    </mc:AlternateContent>
    <mc:AlternateContent xmlns:mc="http://schemas.openxmlformats.org/markup-compatibility/2006">
      <mc:Choice Requires="x14">
        <control shapeId="30848" r:id="rId10" name="CommandButton1">
          <controlPr defaultSize="0" autoLine="0" r:id="rId11">
            <anchor moveWithCells="1">
              <from>
                <xdr:col>7</xdr:col>
                <xdr:colOff>38100</xdr:colOff>
                <xdr:row>37</xdr:row>
                <xdr:rowOff>66675</xdr:rowOff>
              </from>
              <to>
                <xdr:col>7</xdr:col>
                <xdr:colOff>1038225</xdr:colOff>
                <xdr:row>39</xdr:row>
                <xdr:rowOff>76200</xdr:rowOff>
              </to>
            </anchor>
          </controlPr>
        </control>
      </mc:Choice>
      <mc:Fallback>
        <control shapeId="30848" r:id="rId10"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U143"/>
  <sheetViews>
    <sheetView topLeftCell="A4" workbookViewId="0">
      <selection activeCell="K7" sqref="K7"/>
    </sheetView>
  </sheetViews>
  <sheetFormatPr defaultColWidth="0" defaultRowHeight="14.25" zeroHeight="1"/>
  <cols>
    <col min="1" max="1" width="14" style="1428" customWidth="1"/>
    <col min="2" max="2" width="56.85546875" style="1429" customWidth="1"/>
    <col min="3" max="3" width="16.42578125" style="1428" customWidth="1"/>
    <col min="4" max="4" width="18.42578125" style="1428" customWidth="1"/>
    <col min="5" max="5" width="19.7109375" style="1428" customWidth="1"/>
    <col min="6" max="6" width="6.7109375" style="1428" customWidth="1"/>
    <col min="7" max="7" width="12.85546875" style="1428" customWidth="1"/>
    <col min="8" max="8" width="12" style="1428" customWidth="1"/>
    <col min="9" max="9" width="5.140625" style="1428" customWidth="1"/>
    <col min="10" max="10" width="16.85546875" style="1428" hidden="1" customWidth="1"/>
    <col min="11" max="11" width="18.5703125" style="1428" hidden="1" customWidth="1"/>
    <col min="12" max="12" width="7.42578125" style="1428" hidden="1" customWidth="1"/>
    <col min="13" max="13" width="34.7109375" style="1428" hidden="1" customWidth="1"/>
    <col min="14" max="14" width="3.140625" style="1428" hidden="1" customWidth="1"/>
    <col min="15" max="17" width="9.140625" style="1428" hidden="1" customWidth="1"/>
    <col min="18" max="18" width="13.5703125" style="1428" hidden="1" customWidth="1"/>
    <col min="19" max="16384" width="9.140625" style="1428" hidden="1"/>
  </cols>
  <sheetData>
    <row r="1" spans="1:19" ht="20.100000000000001" hidden="1" customHeight="1">
      <c r="E1" s="1027"/>
      <c r="F1" s="1027"/>
      <c r="G1" s="1027"/>
      <c r="H1" s="1027"/>
      <c r="I1" s="1027"/>
      <c r="J1" s="1027"/>
    </row>
    <row r="2" spans="1:19" ht="20.100000000000001" hidden="1" customHeight="1" thickBot="1">
      <c r="B2" s="918"/>
      <c r="C2" s="1433"/>
      <c r="D2" s="1433"/>
      <c r="E2" s="1762"/>
      <c r="F2" s="1762"/>
      <c r="G2" s="1762"/>
      <c r="H2" s="1762"/>
      <c r="I2" s="1762"/>
      <c r="J2" s="1762"/>
      <c r="K2" s="1433" t="s">
        <v>776</v>
      </c>
    </row>
    <row r="3" spans="1:19" ht="20.100000000000001" hidden="1" customHeight="1" thickBot="1">
      <c r="B3" s="1702" t="s">
        <v>25</v>
      </c>
      <c r="C3" s="1766">
        <f>'Control page'!D20</f>
        <v>10</v>
      </c>
      <c r="D3" s="2627" t="s">
        <v>1161</v>
      </c>
      <c r="E3" s="2628"/>
      <c r="K3" s="1428" t="s">
        <v>8</v>
      </c>
    </row>
    <row r="4" spans="1:19" ht="20.100000000000001" customHeight="1" thickBot="1">
      <c r="K4" s="1428" t="s">
        <v>774</v>
      </c>
    </row>
    <row r="5" spans="1:19" ht="43.5" customHeight="1" thickBot="1">
      <c r="B5" s="2373" t="str">
        <f>'Control page'!C20</f>
        <v>Power use by Electric Motors &amp; Other Devices</v>
      </c>
      <c r="C5" s="2633"/>
      <c r="D5" s="2633"/>
      <c r="E5" s="2634"/>
      <c r="F5" s="1027"/>
      <c r="G5" s="1027"/>
      <c r="H5" s="1027"/>
      <c r="I5" s="1027"/>
      <c r="J5" s="1027"/>
      <c r="N5" s="1430">
        <f>'Control page'!J2</f>
        <v>0</v>
      </c>
    </row>
    <row r="6" spans="1:19" s="1027" customFormat="1" ht="20.100000000000001" hidden="1" customHeight="1" thickBot="1">
      <c r="B6" s="1657"/>
      <c r="C6" s="1662"/>
      <c r="D6" s="1662"/>
      <c r="E6" s="1767"/>
    </row>
    <row r="7" spans="1:19" ht="20.100000000000001" customHeight="1">
      <c r="A7" s="1768"/>
      <c r="B7" s="2639"/>
      <c r="C7" s="2637"/>
      <c r="D7" s="2635" t="s">
        <v>1114</v>
      </c>
      <c r="E7" s="2629" t="s">
        <v>1119</v>
      </c>
      <c r="F7" s="1450"/>
      <c r="G7" s="1450"/>
      <c r="H7" s="1450"/>
      <c r="I7" s="1450"/>
      <c r="J7" s="1450"/>
      <c r="K7" s="1027" t="s">
        <v>6</v>
      </c>
    </row>
    <row r="8" spans="1:19" ht="20.100000000000001" customHeight="1" thickBot="1">
      <c r="A8" s="1768"/>
      <c r="B8" s="2640"/>
      <c r="C8" s="2638"/>
      <c r="D8" s="2636"/>
      <c r="E8" s="2630"/>
      <c r="F8" s="1450"/>
      <c r="G8" s="1450"/>
      <c r="H8" s="1450"/>
      <c r="I8" s="1450"/>
      <c r="J8" s="1450"/>
    </row>
    <row r="9" spans="1:19" ht="20.100000000000001" customHeight="1" thickBot="1">
      <c r="A9" s="1768"/>
      <c r="B9" s="1081" t="s">
        <v>1162</v>
      </c>
      <c r="C9" s="2631" t="s">
        <v>1095</v>
      </c>
      <c r="D9" s="2631"/>
      <c r="E9" s="2632"/>
      <c r="F9" s="1027"/>
      <c r="G9" s="1027"/>
      <c r="H9" s="1027"/>
      <c r="I9" s="1027"/>
      <c r="J9" s="1027"/>
      <c r="K9" s="1769"/>
      <c r="L9" s="1769"/>
      <c r="M9" s="1769"/>
      <c r="N9" s="1769"/>
      <c r="O9" s="1027"/>
      <c r="P9" s="1027"/>
      <c r="Q9" s="1027"/>
      <c r="R9" s="1027"/>
    </row>
    <row r="10" spans="1:19" ht="20.100000000000001" customHeight="1">
      <c r="A10" s="1768"/>
      <c r="B10" s="1033" t="s">
        <v>1170</v>
      </c>
      <c r="C10" s="2617"/>
      <c r="D10" s="2617"/>
      <c r="E10" s="2618"/>
      <c r="F10" s="1027"/>
      <c r="G10" s="1027"/>
      <c r="H10" s="1027"/>
      <c r="I10" s="1027"/>
      <c r="J10" s="1027"/>
    </row>
    <row r="11" spans="1:19" ht="20.100000000000001" customHeight="1">
      <c r="A11" s="1768"/>
      <c r="B11" s="1033" t="s">
        <v>1165</v>
      </c>
      <c r="C11" s="1770" t="s">
        <v>1365</v>
      </c>
      <c r="D11" s="1037"/>
      <c r="E11" s="1038"/>
      <c r="F11" s="1027"/>
      <c r="G11" s="1027"/>
      <c r="H11" s="1027"/>
      <c r="I11" s="1027"/>
      <c r="J11" s="1027"/>
      <c r="K11" s="1771" t="s">
        <v>1301</v>
      </c>
      <c r="L11" s="1495"/>
      <c r="M11" s="1495" t="s">
        <v>1171</v>
      </c>
      <c r="N11" s="1495" t="s">
        <v>1119</v>
      </c>
      <c r="O11" s="1027"/>
      <c r="P11" s="1027"/>
      <c r="Q11" s="1027"/>
      <c r="R11" s="1027"/>
      <c r="S11" s="1027"/>
    </row>
    <row r="12" spans="1:19" ht="20.100000000000001" customHeight="1">
      <c r="A12" s="1768"/>
      <c r="B12" s="1033" t="s">
        <v>1166</v>
      </c>
      <c r="C12" s="1770" t="s">
        <v>1359</v>
      </c>
      <c r="D12" s="1037"/>
      <c r="E12" s="1038"/>
      <c r="F12" s="1027"/>
      <c r="G12" s="1027"/>
      <c r="H12" s="1027"/>
      <c r="I12" s="1027"/>
      <c r="J12" s="1027"/>
      <c r="K12" s="1771" t="s">
        <v>1302</v>
      </c>
      <c r="L12" s="1495" t="s">
        <v>1163</v>
      </c>
      <c r="M12" s="1596">
        <f>D14^0.5*D15*D17*D16*(D18/100)/1000</f>
        <v>0</v>
      </c>
      <c r="N12" s="1596">
        <f>E14^0.5*E15*E17*E16*(E18/100)/1000</f>
        <v>0</v>
      </c>
      <c r="O12" s="1027"/>
      <c r="P12" s="1027"/>
      <c r="Q12" s="1027"/>
      <c r="R12" s="1027"/>
      <c r="S12" s="1027"/>
    </row>
    <row r="13" spans="1:19" ht="20.100000000000001" customHeight="1">
      <c r="A13" s="1768"/>
      <c r="B13" s="1033" t="s">
        <v>1164</v>
      </c>
      <c r="C13" s="1770" t="s">
        <v>1163</v>
      </c>
      <c r="D13" s="1037"/>
      <c r="E13" s="1038"/>
      <c r="F13" s="1027"/>
      <c r="G13" s="1027"/>
      <c r="H13" s="1027"/>
      <c r="I13" s="1027"/>
      <c r="J13" s="1027"/>
      <c r="M13" s="1027"/>
      <c r="N13" s="1027"/>
      <c r="O13" s="1027"/>
      <c r="P13" s="1027"/>
      <c r="Q13" s="1027"/>
      <c r="R13" s="1027"/>
      <c r="S13" s="1027"/>
    </row>
    <row r="14" spans="1:19" ht="20.100000000000001" customHeight="1">
      <c r="A14" s="1768"/>
      <c r="B14" s="1033" t="s">
        <v>1159</v>
      </c>
      <c r="C14" s="2165"/>
      <c r="D14" s="1039"/>
      <c r="E14" s="1040"/>
      <c r="F14" s="1027"/>
      <c r="G14" s="1027"/>
      <c r="H14" s="1027"/>
      <c r="I14" s="1027"/>
      <c r="J14" s="1027"/>
      <c r="M14" s="1027"/>
      <c r="N14" s="1027"/>
      <c r="O14" s="1027"/>
      <c r="P14" s="1027"/>
      <c r="Q14" s="1027"/>
      <c r="R14" s="1027"/>
      <c r="S14" s="1027"/>
    </row>
    <row r="15" spans="1:19" ht="20.100000000000001" customHeight="1">
      <c r="A15" s="1768"/>
      <c r="B15" s="1033" t="s">
        <v>1167</v>
      </c>
      <c r="C15" s="1770" t="s">
        <v>1293</v>
      </c>
      <c r="D15" s="1037"/>
      <c r="E15" s="1038"/>
      <c r="F15" s="1027"/>
      <c r="G15" s="1027"/>
      <c r="H15" s="1027"/>
      <c r="I15" s="1027"/>
      <c r="J15" s="1027"/>
      <c r="M15" s="1027"/>
      <c r="N15" s="1027"/>
      <c r="O15" s="1027"/>
      <c r="P15" s="1027"/>
      <c r="Q15" s="1027"/>
      <c r="R15" s="1455"/>
      <c r="S15" s="1027"/>
    </row>
    <row r="16" spans="1:19" ht="20.100000000000001" customHeight="1" thickBot="1">
      <c r="A16" s="1768"/>
      <c r="B16" s="1033" t="s">
        <v>1168</v>
      </c>
      <c r="C16" s="1770" t="s">
        <v>1294</v>
      </c>
      <c r="D16" s="1037"/>
      <c r="E16" s="1038"/>
      <c r="F16" s="1027"/>
      <c r="G16" s="1027"/>
      <c r="H16" s="1027"/>
      <c r="I16" s="1027"/>
      <c r="J16" s="1027"/>
      <c r="M16" s="1027"/>
      <c r="N16" s="1027"/>
      <c r="O16" s="1027"/>
      <c r="P16" s="1027"/>
      <c r="Q16" s="1027"/>
      <c r="S16" s="1027"/>
    </row>
    <row r="17" spans="1:21" ht="20.100000000000001" customHeight="1" thickBot="1">
      <c r="A17" s="1768"/>
      <c r="B17" s="1033" t="s">
        <v>1647</v>
      </c>
      <c r="C17" s="2165"/>
      <c r="D17" s="1041"/>
      <c r="E17" s="1042"/>
      <c r="F17" s="1027"/>
      <c r="G17" s="2213" t="s">
        <v>1643</v>
      </c>
      <c r="H17" s="2214"/>
      <c r="I17" s="2216"/>
      <c r="J17" s="1027"/>
      <c r="M17" s="1027"/>
      <c r="O17" s="1027"/>
      <c r="P17" s="1027"/>
      <c r="Q17" s="1027"/>
      <c r="S17" s="1428">
        <f>IF('Control page'!J2="English",1,2)</f>
        <v>2</v>
      </c>
      <c r="T17" s="1428">
        <v>1</v>
      </c>
      <c r="U17" s="1428" t="e">
        <f>VLOOKUP(T17,L$17:N$20,S$17+1)</f>
        <v>#N/A</v>
      </c>
    </row>
    <row r="18" spans="1:21" ht="20.100000000000001" customHeight="1">
      <c r="A18" s="1768"/>
      <c r="B18" s="1034" t="s">
        <v>1648</v>
      </c>
      <c r="C18" s="1773"/>
      <c r="D18" s="1043"/>
      <c r="E18" s="1044"/>
      <c r="F18" s="1027"/>
      <c r="G18" s="1836" t="s">
        <v>1644</v>
      </c>
      <c r="H18" s="2215" t="s">
        <v>1163</v>
      </c>
      <c r="I18" s="1634"/>
      <c r="J18" s="1027"/>
      <c r="M18" s="1027"/>
      <c r="O18" s="1027"/>
      <c r="P18" s="1027"/>
      <c r="Q18" s="1027"/>
    </row>
    <row r="19" spans="1:21" ht="20.100000000000001" customHeight="1" thickBot="1">
      <c r="A19" s="1768"/>
      <c r="B19" s="1599"/>
      <c r="C19" s="1774"/>
      <c r="D19" s="1774"/>
      <c r="E19" s="1775"/>
      <c r="F19" s="1776"/>
      <c r="G19" s="2219"/>
      <c r="H19" s="2218">
        <f>G19*0.74569987</f>
        <v>0</v>
      </c>
      <c r="I19" s="2217"/>
      <c r="J19" s="1776"/>
      <c r="M19" s="1027"/>
      <c r="O19" s="1027"/>
      <c r="P19" s="1027"/>
      <c r="Q19" s="1027"/>
    </row>
    <row r="20" spans="1:21" ht="20.100000000000001" customHeight="1">
      <c r="G20" s="1662"/>
      <c r="H20" s="1662"/>
      <c r="I20" s="1027"/>
      <c r="M20" s="1027"/>
      <c r="O20" s="1027"/>
      <c r="P20" s="1027"/>
      <c r="Q20" s="1027"/>
    </row>
    <row r="21" spans="1:21" ht="20.100000000000001" customHeight="1" thickBot="1">
      <c r="G21" s="2221"/>
      <c r="H21" s="2222"/>
      <c r="I21" s="1446"/>
    </row>
    <row r="22" spans="1:21" ht="20.100000000000001" customHeight="1">
      <c r="B22" s="2615"/>
      <c r="C22" s="2625"/>
      <c r="D22" s="2621" t="s">
        <v>1114</v>
      </c>
      <c r="E22" s="2623" t="s">
        <v>1119</v>
      </c>
      <c r="F22" s="1450"/>
      <c r="G22" s="2220"/>
      <c r="H22" s="2220"/>
      <c r="I22" s="2220"/>
      <c r="J22" s="1450"/>
    </row>
    <row r="23" spans="1:21" ht="20.100000000000001" customHeight="1" thickBot="1">
      <c r="B23" s="2616"/>
      <c r="C23" s="2626"/>
      <c r="D23" s="2622"/>
      <c r="E23" s="2624"/>
      <c r="F23" s="1450"/>
      <c r="G23" s="1450"/>
      <c r="H23" s="1450"/>
      <c r="I23" s="1450"/>
      <c r="J23" s="1450"/>
    </row>
    <row r="24" spans="1:21" ht="20.100000000000001" customHeight="1">
      <c r="B24" s="1032" t="s">
        <v>1162</v>
      </c>
      <c r="C24" s="2619" t="s">
        <v>1095</v>
      </c>
      <c r="D24" s="2619"/>
      <c r="E24" s="2620"/>
      <c r="F24" s="1027"/>
      <c r="G24" s="1027"/>
      <c r="H24" s="1027"/>
      <c r="I24" s="1027"/>
      <c r="J24" s="1027"/>
      <c r="T24" s="1428">
        <v>1</v>
      </c>
      <c r="U24" s="1428" t="e">
        <f>VLOOKUP(T24,L$17:N$20,S$17+1)</f>
        <v>#N/A</v>
      </c>
    </row>
    <row r="25" spans="1:21" ht="20.100000000000001" customHeight="1">
      <c r="B25" s="1033" t="s">
        <v>1170</v>
      </c>
      <c r="C25" s="2617"/>
      <c r="D25" s="2617"/>
      <c r="E25" s="2618"/>
      <c r="F25" s="1027"/>
      <c r="G25" s="1027"/>
      <c r="H25" s="1027"/>
      <c r="I25" s="1027"/>
      <c r="J25" s="1027"/>
    </row>
    <row r="26" spans="1:21" ht="20.100000000000001" customHeight="1">
      <c r="B26" s="1033" t="s">
        <v>1165</v>
      </c>
      <c r="C26" s="1770" t="s">
        <v>1365</v>
      </c>
      <c r="D26" s="1037"/>
      <c r="E26" s="1038"/>
      <c r="F26" s="1433"/>
      <c r="G26" s="1433"/>
      <c r="H26" s="1433"/>
      <c r="I26" s="1433"/>
      <c r="J26" s="1433"/>
      <c r="K26" s="1495" t="s">
        <v>1301</v>
      </c>
      <c r="L26" s="1495"/>
      <c r="M26" s="1495" t="s">
        <v>1171</v>
      </c>
      <c r="N26" s="1495" t="s">
        <v>1119</v>
      </c>
    </row>
    <row r="27" spans="1:21" ht="20.100000000000001" customHeight="1">
      <c r="B27" s="1033" t="s">
        <v>1166</v>
      </c>
      <c r="C27" s="1770" t="s">
        <v>1359</v>
      </c>
      <c r="D27" s="1037"/>
      <c r="E27" s="1038"/>
      <c r="F27" s="1433"/>
      <c r="G27" s="1433"/>
      <c r="H27" s="1433"/>
      <c r="I27" s="1433"/>
      <c r="J27" s="1433"/>
      <c r="K27" s="1495" t="s">
        <v>1302</v>
      </c>
      <c r="L27" s="1495" t="s">
        <v>1163</v>
      </c>
      <c r="M27" s="1596">
        <f>D29^0.5*D30*D32*D31*(D33/100)/1000</f>
        <v>0</v>
      </c>
      <c r="N27" s="1596">
        <f>E29^0.5*E30*E32*E31*(E33/100)/1000</f>
        <v>0</v>
      </c>
    </row>
    <row r="28" spans="1:21" ht="20.100000000000001" customHeight="1">
      <c r="B28" s="1033" t="s">
        <v>1164</v>
      </c>
      <c r="C28" s="1770" t="s">
        <v>1163</v>
      </c>
      <c r="D28" s="1037"/>
      <c r="E28" s="1038"/>
      <c r="F28" s="1433"/>
      <c r="G28" s="1433"/>
      <c r="H28" s="1433"/>
      <c r="I28" s="1433"/>
      <c r="J28" s="1433"/>
    </row>
    <row r="29" spans="1:21" ht="20.100000000000001" customHeight="1">
      <c r="B29" s="1033" t="s">
        <v>1159</v>
      </c>
      <c r="C29" s="2165"/>
      <c r="D29" s="1039"/>
      <c r="E29" s="1040"/>
      <c r="F29" s="1027"/>
      <c r="G29" s="1027"/>
      <c r="H29" s="1027"/>
      <c r="I29" s="1027"/>
      <c r="J29" s="1027"/>
    </row>
    <row r="30" spans="1:21" ht="20.100000000000001" customHeight="1">
      <c r="B30" s="1033" t="s">
        <v>1167</v>
      </c>
      <c r="C30" s="1770" t="s">
        <v>1293</v>
      </c>
      <c r="D30" s="1037"/>
      <c r="E30" s="1038"/>
      <c r="F30" s="1027"/>
      <c r="G30" s="1027"/>
      <c r="H30" s="1027"/>
      <c r="I30" s="1027"/>
      <c r="J30" s="1027"/>
    </row>
    <row r="31" spans="1:21" ht="20.100000000000001" customHeight="1">
      <c r="B31" s="1033" t="s">
        <v>1168</v>
      </c>
      <c r="C31" s="1770" t="s">
        <v>1294</v>
      </c>
      <c r="D31" s="1037"/>
      <c r="E31" s="1038"/>
      <c r="F31" s="1027"/>
      <c r="G31" s="1027"/>
      <c r="H31" s="1027"/>
      <c r="I31" s="1027"/>
      <c r="J31" s="1027"/>
    </row>
    <row r="32" spans="1:21" ht="20.100000000000001" customHeight="1">
      <c r="B32" s="1033" t="s">
        <v>1647</v>
      </c>
      <c r="C32" s="2165"/>
      <c r="D32" s="1041"/>
      <c r="E32" s="1042"/>
      <c r="F32" s="1027"/>
      <c r="G32" s="1027"/>
      <c r="H32" s="1027"/>
      <c r="I32" s="1027"/>
      <c r="J32" s="1027"/>
      <c r="K32" s="1428" t="s">
        <v>1238</v>
      </c>
    </row>
    <row r="33" spans="2:21" ht="20.100000000000001" customHeight="1">
      <c r="B33" s="1034" t="s">
        <v>1648</v>
      </c>
      <c r="C33" s="1773"/>
      <c r="D33" s="1043"/>
      <c r="E33" s="1044"/>
      <c r="F33" s="1027"/>
      <c r="G33" s="1027"/>
      <c r="H33" s="1027"/>
      <c r="I33" s="1027"/>
      <c r="J33" s="1027"/>
      <c r="K33" s="1428" t="s">
        <v>1238</v>
      </c>
    </row>
    <row r="34" spans="2:21" ht="20.100000000000001" customHeight="1" thickBot="1">
      <c r="B34" s="1599"/>
      <c r="C34" s="1774"/>
      <c r="D34" s="1777"/>
      <c r="E34" s="1630"/>
      <c r="F34" s="1776"/>
      <c r="G34" s="1776"/>
      <c r="H34" s="1776"/>
      <c r="I34" s="1776"/>
      <c r="J34" s="1776"/>
      <c r="M34" s="1428">
        <f>IF($C$3&gt;1,1,0)</f>
        <v>1</v>
      </c>
      <c r="N34" s="1428" t="s">
        <v>3</v>
      </c>
    </row>
    <row r="35" spans="2:21" ht="20.100000000000001" customHeight="1"/>
    <row r="36" spans="2:21" ht="20.100000000000001" customHeight="1"/>
    <row r="37" spans="2:21" ht="20.100000000000001" customHeight="1" thickBot="1"/>
    <row r="38" spans="2:21" ht="20.100000000000001" customHeight="1">
      <c r="B38" s="2615"/>
      <c r="C38" s="2625"/>
      <c r="D38" s="2621" t="s">
        <v>1114</v>
      </c>
      <c r="E38" s="2623" t="s">
        <v>1119</v>
      </c>
      <c r="F38" s="1450"/>
      <c r="G38" s="1450"/>
      <c r="H38" s="1450"/>
      <c r="I38" s="1450"/>
      <c r="J38" s="1450"/>
    </row>
    <row r="39" spans="2:21" ht="20.100000000000001" customHeight="1" thickBot="1">
      <c r="B39" s="2616"/>
      <c r="C39" s="2626"/>
      <c r="D39" s="2622"/>
      <c r="E39" s="2624"/>
      <c r="F39" s="1450"/>
      <c r="G39" s="1450"/>
      <c r="H39" s="1450"/>
      <c r="I39" s="1450"/>
      <c r="J39" s="1450"/>
    </row>
    <row r="40" spans="2:21" ht="20.100000000000001" customHeight="1">
      <c r="B40" s="1032" t="s">
        <v>1162</v>
      </c>
      <c r="C40" s="2619" t="s">
        <v>1095</v>
      </c>
      <c r="D40" s="2619"/>
      <c r="E40" s="2620"/>
      <c r="F40" s="1027"/>
      <c r="G40" s="1027"/>
      <c r="H40" s="1027"/>
      <c r="I40" s="1027"/>
      <c r="J40" s="1027"/>
      <c r="T40" s="1428">
        <v>1</v>
      </c>
      <c r="U40" s="1428" t="e">
        <f>VLOOKUP(T40,L$17:N$20,S$17+1)</f>
        <v>#N/A</v>
      </c>
    </row>
    <row r="41" spans="2:21" ht="20.100000000000001" customHeight="1">
      <c r="B41" s="1033" t="s">
        <v>1170</v>
      </c>
      <c r="C41" s="2617"/>
      <c r="D41" s="2617"/>
      <c r="E41" s="2618"/>
      <c r="F41" s="1027"/>
      <c r="G41" s="1027"/>
      <c r="H41" s="1027"/>
      <c r="I41" s="1027"/>
      <c r="J41" s="1027"/>
    </row>
    <row r="42" spans="2:21" ht="20.100000000000001" customHeight="1">
      <c r="B42" s="1033" t="s">
        <v>1165</v>
      </c>
      <c r="C42" s="1770" t="s">
        <v>1365</v>
      </c>
      <c r="D42" s="1037"/>
      <c r="E42" s="1038"/>
      <c r="F42" s="1433"/>
      <c r="G42" s="1433"/>
      <c r="H42" s="1433"/>
      <c r="I42" s="1433"/>
      <c r="J42" s="1433"/>
      <c r="K42" s="1495" t="s">
        <v>1301</v>
      </c>
      <c r="L42" s="1495"/>
      <c r="M42" s="1495" t="s">
        <v>1171</v>
      </c>
      <c r="N42" s="1495" t="s">
        <v>1119</v>
      </c>
    </row>
    <row r="43" spans="2:21" ht="20.100000000000001" customHeight="1">
      <c r="B43" s="1033" t="s">
        <v>1166</v>
      </c>
      <c r="C43" s="1770" t="s">
        <v>1359</v>
      </c>
      <c r="D43" s="1037"/>
      <c r="E43" s="1038"/>
      <c r="F43" s="1433"/>
      <c r="G43" s="1433"/>
      <c r="H43" s="1433"/>
      <c r="I43" s="1433"/>
      <c r="J43" s="1433"/>
      <c r="K43" s="1495" t="s">
        <v>1302</v>
      </c>
      <c r="L43" s="1495" t="s">
        <v>1163</v>
      </c>
      <c r="M43" s="1596">
        <f>D45^0.5*D46*D48*D47*(D49/100)/1000</f>
        <v>0</v>
      </c>
      <c r="N43" s="1596">
        <f>E45^0.5*E46*E48*E47*(E49/100)/1000</f>
        <v>0</v>
      </c>
    </row>
    <row r="44" spans="2:21" ht="20.100000000000001" customHeight="1">
      <c r="B44" s="1033" t="s">
        <v>1164</v>
      </c>
      <c r="C44" s="942" t="s">
        <v>1163</v>
      </c>
      <c r="D44" s="947"/>
      <c r="E44" s="948"/>
      <c r="F44" s="1433"/>
      <c r="G44" s="1433"/>
      <c r="H44" s="1433"/>
      <c r="I44" s="1433"/>
      <c r="J44" s="1433"/>
    </row>
    <row r="45" spans="2:21" ht="20.100000000000001" customHeight="1">
      <c r="B45" s="1033" t="s">
        <v>1159</v>
      </c>
      <c r="C45" s="2165"/>
      <c r="D45" s="1039"/>
      <c r="E45" s="1040"/>
      <c r="F45" s="1027"/>
      <c r="G45" s="1027"/>
      <c r="H45" s="1027"/>
      <c r="I45" s="1027"/>
      <c r="J45" s="1027"/>
    </row>
    <row r="46" spans="2:21" ht="20.100000000000001" customHeight="1">
      <c r="B46" s="1033" t="s">
        <v>1167</v>
      </c>
      <c r="C46" s="1770" t="s">
        <v>1293</v>
      </c>
      <c r="D46" s="1037"/>
      <c r="E46" s="1038"/>
      <c r="F46" s="1027"/>
      <c r="G46" s="1027"/>
      <c r="H46" s="1027"/>
      <c r="I46" s="1027"/>
      <c r="J46" s="1027"/>
    </row>
    <row r="47" spans="2:21" ht="20.100000000000001" customHeight="1">
      <c r="B47" s="1033" t="s">
        <v>1168</v>
      </c>
      <c r="C47" s="1770" t="s">
        <v>1294</v>
      </c>
      <c r="D47" s="1037"/>
      <c r="E47" s="1038"/>
      <c r="F47" s="1027"/>
      <c r="G47" s="1027"/>
      <c r="H47" s="1027"/>
      <c r="I47" s="1027"/>
      <c r="J47" s="1027"/>
    </row>
    <row r="48" spans="2:21" ht="20.100000000000001" customHeight="1">
      <c r="B48" s="1033" t="s">
        <v>1647</v>
      </c>
      <c r="C48" s="2165"/>
      <c r="D48" s="1041"/>
      <c r="E48" s="1042"/>
      <c r="F48" s="1027"/>
      <c r="G48" s="1027"/>
      <c r="H48" s="1027"/>
      <c r="I48" s="1027"/>
      <c r="J48" s="1027"/>
    </row>
    <row r="49" spans="2:21" ht="20.100000000000001" customHeight="1">
      <c r="B49" s="1034" t="s">
        <v>1648</v>
      </c>
      <c r="C49" s="1773"/>
      <c r="D49" s="1043"/>
      <c r="E49" s="1044"/>
      <c r="F49" s="1027"/>
      <c r="G49" s="1027"/>
      <c r="H49" s="1027"/>
      <c r="I49" s="1027"/>
      <c r="J49" s="1027"/>
    </row>
    <row r="50" spans="2:21" ht="20.100000000000001" customHeight="1" thickBot="1">
      <c r="B50" s="1599"/>
      <c r="C50" s="1774"/>
      <c r="D50" s="1774"/>
      <c r="E50" s="1775"/>
      <c r="F50" s="1776"/>
      <c r="G50" s="1776"/>
      <c r="H50" s="1776"/>
      <c r="I50" s="1776"/>
      <c r="J50" s="1776"/>
      <c r="M50" s="1428">
        <f>IF($C$3&gt;2,1,0)</f>
        <v>1</v>
      </c>
      <c r="N50" s="1428" t="s">
        <v>3</v>
      </c>
    </row>
    <row r="51" spans="2:21" ht="20.100000000000001" customHeight="1"/>
    <row r="52" spans="2:21" ht="20.100000000000001" customHeight="1" thickBot="1"/>
    <row r="53" spans="2:21" ht="20.100000000000001" customHeight="1">
      <c r="B53" s="1079"/>
      <c r="C53" s="1778"/>
      <c r="D53" s="2621" t="s">
        <v>1114</v>
      </c>
      <c r="E53" s="2623" t="s">
        <v>1119</v>
      </c>
      <c r="F53" s="1450"/>
      <c r="G53" s="1450"/>
      <c r="H53" s="1450"/>
      <c r="I53" s="1450"/>
      <c r="J53" s="1450"/>
    </row>
    <row r="54" spans="2:21" ht="20.100000000000001" customHeight="1" thickBot="1">
      <c r="B54" s="1080"/>
      <c r="C54" s="1779"/>
      <c r="D54" s="2622"/>
      <c r="E54" s="2624"/>
      <c r="F54" s="1450"/>
      <c r="G54" s="1450"/>
      <c r="H54" s="1450"/>
      <c r="I54" s="1450"/>
      <c r="J54" s="1450"/>
    </row>
    <row r="55" spans="2:21" ht="20.100000000000001" customHeight="1">
      <c r="B55" s="1028" t="s">
        <v>1162</v>
      </c>
      <c r="C55" s="2619" t="s">
        <v>1095</v>
      </c>
      <c r="D55" s="2619"/>
      <c r="E55" s="2620"/>
      <c r="F55" s="1027"/>
      <c r="G55" s="1027"/>
      <c r="H55" s="1027"/>
      <c r="I55" s="1027"/>
      <c r="J55" s="1027"/>
      <c r="T55" s="1428">
        <v>1</v>
      </c>
      <c r="U55" s="1428" t="e">
        <f>VLOOKUP(T55,L$17:N$20,S$17+1)</f>
        <v>#N/A</v>
      </c>
    </row>
    <row r="56" spans="2:21" ht="20.100000000000001" customHeight="1">
      <c r="B56" s="1029" t="s">
        <v>1170</v>
      </c>
      <c r="C56" s="2617"/>
      <c r="D56" s="2617"/>
      <c r="E56" s="2618"/>
      <c r="F56" s="1027"/>
      <c r="G56" s="1027"/>
      <c r="H56" s="1027"/>
      <c r="I56" s="1027"/>
      <c r="J56" s="1027"/>
    </row>
    <row r="57" spans="2:21" ht="20.100000000000001" customHeight="1">
      <c r="B57" s="1029" t="s">
        <v>1165</v>
      </c>
      <c r="C57" s="1770" t="s">
        <v>1365</v>
      </c>
      <c r="D57" s="1037"/>
      <c r="E57" s="1038"/>
      <c r="F57" s="1433"/>
      <c r="G57" s="1433"/>
      <c r="H57" s="1433"/>
      <c r="I57" s="1433"/>
      <c r="J57" s="1433"/>
      <c r="K57" s="1495" t="s">
        <v>1301</v>
      </c>
      <c r="L57" s="1495"/>
      <c r="M57" s="1495" t="s">
        <v>1171</v>
      </c>
      <c r="N57" s="1495" t="s">
        <v>1119</v>
      </c>
    </row>
    <row r="58" spans="2:21" ht="20.100000000000001" customHeight="1">
      <c r="B58" s="1029" t="s">
        <v>1166</v>
      </c>
      <c r="C58" s="1770" t="s">
        <v>1359</v>
      </c>
      <c r="D58" s="1037"/>
      <c r="E58" s="1038"/>
      <c r="F58" s="1433"/>
      <c r="G58" s="1433"/>
      <c r="H58" s="1433"/>
      <c r="I58" s="1433"/>
      <c r="J58" s="1433"/>
      <c r="K58" s="1495" t="s">
        <v>1302</v>
      </c>
      <c r="L58" s="1495" t="s">
        <v>1163</v>
      </c>
      <c r="M58" s="1596">
        <f>D60^0.5*D61*D63*D62*(D64/100)/1000</f>
        <v>0</v>
      </c>
      <c r="N58" s="1596">
        <f>E60^0.5*E61*E63*E62*(E64/100)/1000</f>
        <v>0</v>
      </c>
    </row>
    <row r="59" spans="2:21" ht="20.100000000000001" customHeight="1">
      <c r="B59" s="1029" t="s">
        <v>1164</v>
      </c>
      <c r="C59" s="1727" t="s">
        <v>1163</v>
      </c>
      <c r="D59" s="947"/>
      <c r="E59" s="948"/>
      <c r="F59" s="1433"/>
      <c r="G59" s="1433"/>
      <c r="H59" s="1433"/>
      <c r="I59" s="1433"/>
      <c r="J59" s="1433"/>
    </row>
    <row r="60" spans="2:21" ht="20.100000000000001" customHeight="1">
      <c r="B60" s="1029" t="s">
        <v>1159</v>
      </c>
      <c r="C60" s="2165"/>
      <c r="D60" s="1039"/>
      <c r="E60" s="1040"/>
      <c r="F60" s="1027"/>
      <c r="G60" s="1027"/>
      <c r="H60" s="1027"/>
      <c r="I60" s="1027"/>
      <c r="J60" s="1027"/>
    </row>
    <row r="61" spans="2:21" ht="20.100000000000001" customHeight="1">
      <c r="B61" s="1029" t="s">
        <v>1167</v>
      </c>
      <c r="C61" s="2165" t="s">
        <v>1293</v>
      </c>
      <c r="D61" s="1037"/>
      <c r="E61" s="1038"/>
      <c r="F61" s="1027"/>
      <c r="G61" s="1027"/>
      <c r="H61" s="1027"/>
      <c r="I61" s="1027"/>
      <c r="J61" s="1027"/>
    </row>
    <row r="62" spans="2:21" ht="20.100000000000001" customHeight="1">
      <c r="B62" s="1029" t="s">
        <v>1168</v>
      </c>
      <c r="C62" s="2165" t="s">
        <v>1294</v>
      </c>
      <c r="D62" s="1037"/>
      <c r="E62" s="1038"/>
      <c r="F62" s="1027"/>
      <c r="G62" s="1027"/>
      <c r="H62" s="1027"/>
      <c r="I62" s="1027"/>
      <c r="J62" s="1027"/>
    </row>
    <row r="63" spans="2:21" ht="20.100000000000001" customHeight="1">
      <c r="B63" s="1033" t="s">
        <v>1647</v>
      </c>
      <c r="C63" s="2165"/>
      <c r="D63" s="1041"/>
      <c r="E63" s="1042"/>
      <c r="F63" s="1027"/>
      <c r="G63" s="1027"/>
      <c r="H63" s="1027"/>
      <c r="I63" s="1027"/>
      <c r="J63" s="1027"/>
    </row>
    <row r="64" spans="2:21" ht="20.100000000000001" customHeight="1">
      <c r="B64" s="1034" t="s">
        <v>1648</v>
      </c>
      <c r="C64" s="1773"/>
      <c r="D64" s="1043"/>
      <c r="E64" s="1044"/>
      <c r="F64" s="1027"/>
      <c r="G64" s="1027"/>
      <c r="H64" s="1027"/>
      <c r="I64" s="1027"/>
      <c r="J64" s="1027"/>
    </row>
    <row r="65" spans="2:14" ht="20.100000000000001" customHeight="1" thickBot="1">
      <c r="B65" s="1599"/>
      <c r="C65" s="1774"/>
      <c r="D65" s="1774"/>
      <c r="E65" s="1775"/>
      <c r="F65" s="1776"/>
      <c r="G65" s="1776"/>
      <c r="H65" s="1776"/>
      <c r="I65" s="1776"/>
      <c r="J65" s="1776"/>
      <c r="M65" s="1428">
        <f>IF($C$3&gt;3,1,0)</f>
        <v>1</v>
      </c>
      <c r="N65" s="1428" t="s">
        <v>3</v>
      </c>
    </row>
    <row r="66" spans="2:14" ht="20.100000000000001" customHeight="1" thickBot="1">
      <c r="B66" s="1045"/>
      <c r="C66" s="1776"/>
      <c r="D66" s="1776"/>
      <c r="E66" s="1776"/>
      <c r="F66" s="1776"/>
      <c r="G66" s="1776"/>
      <c r="H66" s="1776"/>
      <c r="I66" s="1776"/>
      <c r="J66" s="1776"/>
    </row>
    <row r="67" spans="2:14" ht="20.100000000000001" customHeight="1">
      <c r="B67" s="1077" t="s">
        <v>1297</v>
      </c>
      <c r="C67" s="2625"/>
      <c r="D67" s="2621" t="s">
        <v>1114</v>
      </c>
      <c r="E67" s="2623" t="s">
        <v>1119</v>
      </c>
      <c r="F67" s="1776"/>
      <c r="G67" s="1776"/>
      <c r="H67" s="1776"/>
      <c r="I67" s="1776"/>
      <c r="J67" s="1776"/>
    </row>
    <row r="68" spans="2:14" ht="20.100000000000001" customHeight="1" thickBot="1">
      <c r="B68" s="1078" t="s">
        <v>26</v>
      </c>
      <c r="C68" s="2626"/>
      <c r="D68" s="2622"/>
      <c r="E68" s="2624"/>
      <c r="F68" s="1776"/>
      <c r="G68" s="1776"/>
      <c r="H68" s="1776"/>
      <c r="I68" s="1776"/>
      <c r="J68" s="1776"/>
    </row>
    <row r="69" spans="2:14" ht="20.100000000000001" customHeight="1">
      <c r="B69" s="1795"/>
      <c r="C69" s="942" t="s">
        <v>1163</v>
      </c>
      <c r="D69" s="947"/>
      <c r="E69" s="948"/>
      <c r="F69" s="1776"/>
      <c r="G69" s="1776"/>
      <c r="H69" s="1776"/>
      <c r="I69" s="1776"/>
      <c r="J69" s="1776"/>
    </row>
    <row r="70" spans="2:14" ht="20.100000000000001" customHeight="1">
      <c r="B70" s="1795"/>
      <c r="C70" s="942" t="s">
        <v>1163</v>
      </c>
      <c r="D70" s="947"/>
      <c r="E70" s="948"/>
      <c r="F70" s="1776"/>
      <c r="G70" s="1776"/>
      <c r="H70" s="1776"/>
      <c r="I70" s="1776"/>
      <c r="J70" s="1776"/>
    </row>
    <row r="71" spans="2:14" ht="20.100000000000001" customHeight="1">
      <c r="B71" s="1795"/>
      <c r="C71" s="942" t="s">
        <v>1163</v>
      </c>
      <c r="D71" s="947"/>
      <c r="E71" s="948"/>
      <c r="F71" s="1776"/>
      <c r="G71" s="1776"/>
      <c r="H71" s="1776"/>
      <c r="I71" s="1776"/>
      <c r="J71" s="1776"/>
    </row>
    <row r="72" spans="2:14" ht="20.100000000000001" customHeight="1">
      <c r="B72" s="1795"/>
      <c r="C72" s="942" t="s">
        <v>1163</v>
      </c>
      <c r="D72" s="947"/>
      <c r="E72" s="948"/>
      <c r="F72" s="1776"/>
      <c r="G72" s="1776"/>
      <c r="H72" s="1776"/>
      <c r="I72" s="1776"/>
      <c r="J72" s="1776"/>
    </row>
    <row r="73" spans="2:14" ht="20.100000000000001" customHeight="1">
      <c r="B73" s="1795"/>
      <c r="C73" s="942" t="s">
        <v>1163</v>
      </c>
      <c r="D73" s="947"/>
      <c r="E73" s="948"/>
      <c r="F73" s="1776"/>
      <c r="G73" s="1776"/>
      <c r="H73" s="1776"/>
      <c r="I73" s="1776"/>
      <c r="J73" s="1776"/>
      <c r="M73" s="1428">
        <f>IF($C$3&gt;4,1,0)</f>
        <v>1</v>
      </c>
      <c r="N73" s="1428" t="s">
        <v>3</v>
      </c>
    </row>
    <row r="74" spans="2:14" ht="20.100000000000001" customHeight="1">
      <c r="B74" s="1795"/>
      <c r="C74" s="942" t="s">
        <v>1163</v>
      </c>
      <c r="D74" s="947"/>
      <c r="E74" s="948"/>
      <c r="F74" s="1776"/>
      <c r="G74" s="1776"/>
      <c r="H74" s="1776"/>
      <c r="I74" s="1776"/>
      <c r="J74" s="1776"/>
    </row>
    <row r="75" spans="2:14" ht="20.100000000000001" customHeight="1">
      <c r="B75" s="1795"/>
      <c r="C75" s="942" t="s">
        <v>1163</v>
      </c>
      <c r="D75" s="947"/>
      <c r="E75" s="948"/>
      <c r="F75" s="1776"/>
      <c r="G75" s="1776"/>
      <c r="H75" s="1776"/>
      <c r="I75" s="1776"/>
      <c r="J75" s="1776"/>
    </row>
    <row r="76" spans="2:14" ht="20.100000000000001" customHeight="1">
      <c r="B76" s="1795"/>
      <c r="C76" s="942" t="s">
        <v>1163</v>
      </c>
      <c r="D76" s="947"/>
      <c r="E76" s="948"/>
      <c r="F76" s="1776"/>
      <c r="G76" s="1776"/>
      <c r="H76" s="1776"/>
      <c r="I76" s="1776"/>
      <c r="J76" s="1776"/>
    </row>
    <row r="77" spans="2:14" ht="20.100000000000001" customHeight="1">
      <c r="B77" s="1795"/>
      <c r="C77" s="942" t="s">
        <v>1163</v>
      </c>
      <c r="D77" s="947"/>
      <c r="E77" s="948"/>
      <c r="F77" s="1776"/>
      <c r="G77" s="1776"/>
      <c r="H77" s="1776"/>
      <c r="I77" s="1776"/>
      <c r="J77" s="1776"/>
      <c r="M77" s="1495" t="s">
        <v>1171</v>
      </c>
      <c r="N77" s="1495" t="s">
        <v>1119</v>
      </c>
    </row>
    <row r="78" spans="2:14" ht="20.100000000000001" customHeight="1">
      <c r="B78" s="1795"/>
      <c r="C78" s="942" t="s">
        <v>1163</v>
      </c>
      <c r="D78" s="947"/>
      <c r="E78" s="948"/>
      <c r="F78" s="1776"/>
      <c r="G78" s="1776"/>
      <c r="H78" s="1776"/>
      <c r="I78" s="1776"/>
      <c r="J78" s="1776"/>
      <c r="K78" s="1495" t="s">
        <v>1302</v>
      </c>
      <c r="L78" s="1495" t="s">
        <v>1163</v>
      </c>
      <c r="M78" s="1438">
        <f>SUM(D69:D78)</f>
        <v>0</v>
      </c>
      <c r="N78" s="1438">
        <f>SUM(E69:E78)</f>
        <v>0</v>
      </c>
    </row>
    <row r="79" spans="2:14" ht="20.100000000000001" customHeight="1">
      <c r="B79" s="1100"/>
      <c r="C79" s="1727"/>
      <c r="D79" s="1025"/>
      <c r="E79" s="1030"/>
      <c r="F79" s="1776"/>
      <c r="G79" s="1776"/>
      <c r="H79" s="1776"/>
      <c r="I79" s="1776"/>
      <c r="J79" s="1776"/>
    </row>
    <row r="80" spans="2:14" ht="20.100000000000001" customHeight="1">
      <c r="B80" s="1796"/>
      <c r="C80" s="1727"/>
      <c r="D80" s="1026"/>
      <c r="E80" s="1031"/>
      <c r="F80" s="1776"/>
      <c r="G80" s="1776"/>
      <c r="H80" s="1776"/>
      <c r="I80" s="1776"/>
      <c r="J80" s="1776"/>
    </row>
    <row r="81" spans="2:17" ht="20.100000000000001" customHeight="1" thickBot="1">
      <c r="B81" s="1797"/>
      <c r="C81" s="1774"/>
      <c r="D81" s="1798"/>
      <c r="E81" s="1799"/>
      <c r="F81" s="1776"/>
      <c r="G81" s="1776"/>
      <c r="H81" s="1776"/>
      <c r="I81" s="1776"/>
      <c r="J81" s="1776"/>
    </row>
    <row r="82" spans="2:17" ht="20.100000000000001" customHeight="1" thickBot="1"/>
    <row r="83" spans="2:17" ht="20.100000000000001" customHeight="1" thickBot="1">
      <c r="B83" s="1035" t="s">
        <v>23</v>
      </c>
      <c r="C83" s="1036" t="s">
        <v>24</v>
      </c>
      <c r="D83" s="1780">
        <f>SUM(M78+(M65*M58)+(M50*M43)+(M34*M27)+M12)</f>
        <v>0</v>
      </c>
      <c r="E83" s="1781">
        <f>SUM(N78+(M65*N58)+(M50*N43)+(M34*N27)+N12)</f>
        <v>0</v>
      </c>
      <c r="F83" s="1782"/>
      <c r="G83" s="1782"/>
      <c r="H83" s="1782"/>
      <c r="I83" s="1782"/>
      <c r="J83" s="1782"/>
    </row>
    <row r="84" spans="2:17" ht="20.100000000000001" customHeight="1" thickBot="1"/>
    <row r="85" spans="2:17" ht="20.100000000000001" customHeight="1">
      <c r="B85" s="2540" t="s">
        <v>710</v>
      </c>
      <c r="C85" s="2541"/>
      <c r="D85" s="2541"/>
      <c r="E85" s="2542"/>
      <c r="F85" s="1783"/>
      <c r="G85" s="1783"/>
      <c r="H85" s="1783"/>
      <c r="I85" s="1783"/>
      <c r="J85" s="1783"/>
    </row>
    <row r="86" spans="2:17" ht="20.100000000000001" customHeight="1" thickBot="1">
      <c r="B86" s="2644" t="s">
        <v>709</v>
      </c>
      <c r="C86" s="2645"/>
      <c r="D86" s="2645"/>
      <c r="E86" s="2646"/>
    </row>
    <row r="87" spans="2:17" ht="20.100000000000001" customHeight="1">
      <c r="B87" s="2641"/>
      <c r="C87" s="2642"/>
      <c r="D87" s="2642"/>
      <c r="E87" s="2643"/>
      <c r="L87" s="1428">
        <f>IF(B87="",0,1)</f>
        <v>0</v>
      </c>
    </row>
    <row r="88" spans="2:17" ht="20.100000000000001" customHeight="1">
      <c r="B88" s="2559"/>
      <c r="C88" s="2560"/>
      <c r="D88" s="2560"/>
      <c r="E88" s="2561"/>
      <c r="L88" s="1428">
        <f>IF(B88="",0,1)</f>
        <v>0</v>
      </c>
    </row>
    <row r="89" spans="2:17" ht="20.100000000000001" customHeight="1">
      <c r="B89" s="2559"/>
      <c r="C89" s="2560"/>
      <c r="D89" s="2560"/>
      <c r="E89" s="2561"/>
      <c r="L89" s="1428">
        <f>IF(B89="",0,1)</f>
        <v>0</v>
      </c>
    </row>
    <row r="90" spans="2:17" ht="20.100000000000001" customHeight="1">
      <c r="B90" s="2559"/>
      <c r="C90" s="2560"/>
      <c r="D90" s="2560"/>
      <c r="E90" s="2561"/>
      <c r="L90" s="1428">
        <f>IF(B90="",0,1)</f>
        <v>0</v>
      </c>
    </row>
    <row r="91" spans="2:17" ht="20.100000000000001" customHeight="1" thickBot="1">
      <c r="B91" s="2562"/>
      <c r="C91" s="2563"/>
      <c r="D91" s="2563"/>
      <c r="E91" s="2564"/>
      <c r="L91" s="1428">
        <f>IF(B91="",0,1)</f>
        <v>0</v>
      </c>
    </row>
    <row r="92" spans="2:17" ht="20.100000000000001" customHeight="1">
      <c r="L92" s="1428">
        <f>SUM(L87:L91)</f>
        <v>0</v>
      </c>
    </row>
    <row r="93" spans="2:17" hidden="1"/>
    <row r="94" spans="2:17" ht="28.5" hidden="1">
      <c r="B94" s="1784" t="s">
        <v>1303</v>
      </c>
      <c r="C94" s="1785" t="s">
        <v>1304</v>
      </c>
      <c r="D94" s="1433"/>
      <c r="E94" s="1786"/>
      <c r="F94" s="1786"/>
      <c r="G94" s="1786"/>
      <c r="H94" s="1786"/>
      <c r="I94" s="1786"/>
      <c r="J94" s="1786"/>
      <c r="K94" s="1786"/>
      <c r="L94" s="1786"/>
      <c r="M94" s="1786"/>
      <c r="N94" s="1431"/>
      <c r="O94" s="1431"/>
      <c r="P94" s="1431"/>
      <c r="Q94" s="1431"/>
    </row>
    <row r="95" spans="2:17" ht="15" hidden="1" thickBot="1">
      <c r="B95" s="1358" t="s">
        <v>1305</v>
      </c>
      <c r="C95" s="1449" t="s">
        <v>1306</v>
      </c>
      <c r="D95" s="1449" t="s">
        <v>1306</v>
      </c>
      <c r="E95" s="1786"/>
      <c r="F95" s="1786"/>
      <c r="G95" s="1786"/>
      <c r="H95" s="1786"/>
      <c r="I95" s="1786"/>
      <c r="J95" s="1786"/>
      <c r="K95" s="1786"/>
      <c r="L95" s="1786"/>
      <c r="M95" s="1786"/>
      <c r="N95" s="1431"/>
      <c r="O95" s="1431"/>
      <c r="P95" s="1431"/>
      <c r="Q95" s="1431"/>
    </row>
    <row r="96" spans="2:17" hidden="1">
      <c r="B96" s="1586" t="s">
        <v>1159</v>
      </c>
      <c r="C96" s="1787">
        <v>3</v>
      </c>
      <c r="D96" s="1787">
        <v>3</v>
      </c>
      <c r="E96" s="1788" t="s">
        <v>1307</v>
      </c>
      <c r="F96" s="1662"/>
      <c r="G96" s="1662"/>
      <c r="H96" s="1662"/>
      <c r="I96" s="1662"/>
      <c r="J96" s="1662"/>
      <c r="K96" s="1789"/>
      <c r="L96" s="1789"/>
      <c r="M96" s="1789"/>
      <c r="N96" s="1662"/>
      <c r="O96" s="1662"/>
      <c r="P96" s="1767"/>
    </row>
    <row r="97" spans="2:16" hidden="1">
      <c r="B97" s="1586" t="s">
        <v>1308</v>
      </c>
      <c r="C97" s="1787">
        <v>480</v>
      </c>
      <c r="D97" s="1787">
        <v>480</v>
      </c>
      <c r="E97" s="1634" t="s">
        <v>1309</v>
      </c>
      <c r="F97" s="1027"/>
      <c r="G97" s="1027"/>
      <c r="H97" s="1027"/>
      <c r="I97" s="1027"/>
      <c r="J97" s="1027"/>
      <c r="K97" s="1455"/>
      <c r="L97" s="1455"/>
      <c r="M97" s="1455"/>
      <c r="N97" s="1027"/>
      <c r="O97" s="1027"/>
      <c r="P97" s="1790"/>
    </row>
    <row r="98" spans="2:16" hidden="1">
      <c r="B98" s="1586" t="s">
        <v>1310</v>
      </c>
      <c r="C98" s="1787">
        <v>11.7</v>
      </c>
      <c r="D98" s="1787">
        <v>11.7</v>
      </c>
      <c r="E98" s="1634" t="s">
        <v>1311</v>
      </c>
      <c r="F98" s="1027"/>
      <c r="G98" s="1027"/>
      <c r="H98" s="1027"/>
      <c r="I98" s="1027"/>
      <c r="J98" s="1027"/>
      <c r="K98" s="1455"/>
      <c r="L98" s="1455"/>
      <c r="M98" s="1455"/>
      <c r="N98" s="1027"/>
      <c r="O98" s="1027"/>
      <c r="P98" s="1790"/>
    </row>
    <row r="99" spans="2:16" hidden="1">
      <c r="B99" s="1586" t="s">
        <v>1160</v>
      </c>
      <c r="C99" s="1787">
        <v>0.85</v>
      </c>
      <c r="D99" s="1787">
        <v>0.85</v>
      </c>
      <c r="E99" s="1634" t="s">
        <v>1312</v>
      </c>
      <c r="F99" s="1027"/>
      <c r="G99" s="1027"/>
      <c r="H99" s="1027"/>
      <c r="I99" s="1027"/>
      <c r="J99" s="1027"/>
      <c r="K99" s="1455"/>
      <c r="L99" s="1455"/>
      <c r="M99" s="1455"/>
      <c r="N99" s="1027"/>
      <c r="O99" s="1027"/>
      <c r="P99" s="1790"/>
    </row>
    <row r="100" spans="2:16" hidden="1">
      <c r="B100" s="1586" t="s">
        <v>1313</v>
      </c>
      <c r="C100" s="1787">
        <v>100</v>
      </c>
      <c r="D100" s="1787">
        <v>100</v>
      </c>
      <c r="E100" s="1634" t="s">
        <v>1314</v>
      </c>
      <c r="F100" s="1027"/>
      <c r="G100" s="1027"/>
      <c r="H100" s="1027"/>
      <c r="I100" s="1027"/>
      <c r="J100" s="1027"/>
      <c r="K100" s="1455"/>
      <c r="L100" s="1455"/>
      <c r="M100" s="1455"/>
      <c r="N100" s="1027"/>
      <c r="O100" s="1027"/>
      <c r="P100" s="1790"/>
    </row>
    <row r="101" spans="2:16" ht="15" hidden="1" thickBot="1">
      <c r="B101" s="1599" t="s">
        <v>1315</v>
      </c>
      <c r="C101" s="1774">
        <f>(C96^0.5*C97*C98*C99*C100/100)/1000</f>
        <v>8.2681177350107919</v>
      </c>
      <c r="D101" s="1774">
        <f>($N$25*D96^0.5*D97*D98*D99*D100/100)/1000</f>
        <v>0</v>
      </c>
      <c r="E101" s="1634" t="s">
        <v>0</v>
      </c>
      <c r="F101" s="1027"/>
      <c r="G101" s="1027"/>
      <c r="H101" s="1027"/>
      <c r="I101" s="1027"/>
      <c r="J101" s="1027"/>
      <c r="K101" s="1455"/>
      <c r="L101" s="1455"/>
      <c r="M101" s="1455"/>
      <c r="N101" s="1027"/>
      <c r="O101" s="1027"/>
      <c r="P101" s="1790"/>
    </row>
    <row r="102" spans="2:16" ht="15" hidden="1" thickBot="1">
      <c r="E102" s="1791" t="s">
        <v>1</v>
      </c>
      <c r="F102" s="1792"/>
      <c r="G102" s="1792"/>
      <c r="H102" s="1792"/>
      <c r="I102" s="1792"/>
      <c r="J102" s="1792"/>
      <c r="K102" s="1793"/>
      <c r="L102" s="1793"/>
      <c r="M102" s="1793"/>
      <c r="N102" s="1792"/>
      <c r="O102" s="1792"/>
      <c r="P102" s="1794"/>
    </row>
    <row r="103" spans="2:16" hidden="1"/>
    <row r="104" spans="2:16" hidden="1"/>
    <row r="105" spans="2:16" hidden="1"/>
    <row r="106" spans="2:16" hidden="1"/>
    <row r="107" spans="2:16" hidden="1"/>
    <row r="108" spans="2:16" hidden="1"/>
    <row r="109" spans="2:16" hidden="1">
      <c r="M109" s="1428" t="e">
        <f>#REF!</f>
        <v>#REF!</v>
      </c>
    </row>
    <row r="110" spans="2:16" hidden="1">
      <c r="M110" s="1428" t="e">
        <f>#REF!</f>
        <v>#REF!</v>
      </c>
    </row>
    <row r="111" spans="2:16" hidden="1">
      <c r="M111" s="1428" t="e">
        <f>#REF!</f>
        <v>#REF!</v>
      </c>
    </row>
    <row r="112" spans="2:16" hidden="1">
      <c r="M112" s="1428" t="e">
        <f>#REF!</f>
        <v>#REF!</v>
      </c>
    </row>
    <row r="113" spans="13:13" hidden="1">
      <c r="M113" s="1428" t="e">
        <f>#REF!</f>
        <v>#REF!</v>
      </c>
    </row>
    <row r="114" spans="13:13" hidden="1">
      <c r="M114" s="1428" t="e">
        <f>#REF!</f>
        <v>#REF!</v>
      </c>
    </row>
    <row r="115" spans="13:13" hidden="1">
      <c r="M115" s="1428" t="e">
        <f>#REF!</f>
        <v>#REF!</v>
      </c>
    </row>
    <row r="116" spans="13:13" hidden="1">
      <c r="M116" s="1428" t="e">
        <f>#REF!</f>
        <v>#REF!</v>
      </c>
    </row>
    <row r="117" spans="13:13" hidden="1">
      <c r="M117" s="1428" t="e">
        <f>#REF!</f>
        <v>#REF!</v>
      </c>
    </row>
    <row r="118" spans="13:13" hidden="1">
      <c r="M118" s="1428" t="e">
        <f>#REF!</f>
        <v>#REF!</v>
      </c>
    </row>
    <row r="119" spans="13:13" hidden="1">
      <c r="M119" s="1428" t="e">
        <f>#REF!</f>
        <v>#REF!</v>
      </c>
    </row>
    <row r="120" spans="13:13" hidden="1">
      <c r="M120" s="1428" t="e">
        <f>#REF!</f>
        <v>#REF!</v>
      </c>
    </row>
    <row r="121" spans="13:13" hidden="1">
      <c r="M121" s="1428" t="e">
        <f xml:space="preserve"> IF('Control page'!J2="English",#REF!,#REF!)</f>
        <v>#REF!</v>
      </c>
    </row>
    <row r="122" spans="13:13" hidden="1"/>
    <row r="123" spans="13:13" hidden="1"/>
    <row r="124" spans="13:13" hidden="1">
      <c r="M124" s="1428" t="e">
        <f xml:space="preserve"> IF('Control page'!J2="English",#REF!,#REF!)</f>
        <v>#REF!</v>
      </c>
    </row>
    <row r="125" spans="13:13" hidden="1">
      <c r="M125" s="1428" t="e">
        <f xml:space="preserve"> IF('Control page'!J$2="English",#REF!,#REF!)</f>
        <v>#REF!</v>
      </c>
    </row>
    <row r="126" spans="13:13" hidden="1">
      <c r="M126" s="1428" t="e">
        <f xml:space="preserve"> IF('Control page'!J$2="English",#REF!,#REF!)</f>
        <v>#REF!</v>
      </c>
    </row>
    <row r="127" spans="13:13" hidden="1">
      <c r="M127" s="1428" t="e">
        <f xml:space="preserve"> IF('Control page'!J$2="English",#REF!,#REF!)</f>
        <v>#REF!</v>
      </c>
    </row>
    <row r="128" spans="13:13" hidden="1">
      <c r="M128" s="1428" t="e">
        <f xml:space="preserve"> IF('Control page'!J$2="English",#REF!,#REF!)</f>
        <v>#REF!</v>
      </c>
    </row>
    <row r="129" spans="13:14" hidden="1">
      <c r="M129" s="1428" t="e">
        <f xml:space="preserve"> IF('Control page'!J$2="English",#REF!,#REF!)</f>
        <v>#REF!</v>
      </c>
    </row>
    <row r="130" spans="13:14" hidden="1">
      <c r="M130" s="1027" t="e">
        <f xml:space="preserve"> IF('Control page'!J$2="English",#REF!,#REF!)</f>
        <v>#REF!</v>
      </c>
      <c r="N130" s="1027"/>
    </row>
    <row r="131" spans="13:14" hidden="1"/>
    <row r="132" spans="13:14" hidden="1"/>
    <row r="133" spans="13:14" hidden="1"/>
    <row r="134" spans="13:14" hidden="1"/>
    <row r="135" spans="13:14" hidden="1"/>
    <row r="136" spans="13:14" hidden="1"/>
    <row r="137" spans="13:14" hidden="1"/>
    <row r="138" spans="13:14" hidden="1">
      <c r="M138" s="1428" t="e">
        <f xml:space="preserve"> IF('Control page'!J2="English",#REF!,#REF!)</f>
        <v>#REF!</v>
      </c>
    </row>
    <row r="139" spans="13:14" hidden="1"/>
    <row r="140" spans="13:14" hidden="1"/>
    <row r="141" spans="13:14" hidden="1"/>
    <row r="142" spans="13:14" hidden="1">
      <c r="M142" s="1428" t="e">
        <f xml:space="preserve"> IF('Control page'!J2="English",#REF!,#REF!)</f>
        <v>#REF!</v>
      </c>
    </row>
    <row r="143" spans="13:14" hidden="1">
      <c r="M143" s="1428" t="e">
        <f xml:space="preserve"> IF('Control page'!J2="English",#REF!,#REF!)</f>
        <v>#REF!</v>
      </c>
    </row>
  </sheetData>
  <sheetProtection password="B61E" sheet="1" objects="1" scenarios="1"/>
  <mergeCells count="34">
    <mergeCell ref="C56:E56"/>
    <mergeCell ref="E67:E68"/>
    <mergeCell ref="C55:E55"/>
    <mergeCell ref="D67:D68"/>
    <mergeCell ref="B90:E90"/>
    <mergeCell ref="B91:E91"/>
    <mergeCell ref="C67:C68"/>
    <mergeCell ref="B87:E87"/>
    <mergeCell ref="B88:E88"/>
    <mergeCell ref="B89:E89"/>
    <mergeCell ref="B86:E86"/>
    <mergeCell ref="B85:E85"/>
    <mergeCell ref="D3:E3"/>
    <mergeCell ref="C24:E24"/>
    <mergeCell ref="C10:E10"/>
    <mergeCell ref="E7:E8"/>
    <mergeCell ref="C9:E9"/>
    <mergeCell ref="B5:E5"/>
    <mergeCell ref="D7:D8"/>
    <mergeCell ref="E22:E23"/>
    <mergeCell ref="D22:D23"/>
    <mergeCell ref="C7:C8"/>
    <mergeCell ref="B7:B8"/>
    <mergeCell ref="C22:C23"/>
    <mergeCell ref="B22:B23"/>
    <mergeCell ref="B38:B39"/>
    <mergeCell ref="C25:E25"/>
    <mergeCell ref="C40:E40"/>
    <mergeCell ref="D53:D54"/>
    <mergeCell ref="E53:E54"/>
    <mergeCell ref="D38:D39"/>
    <mergeCell ref="E38:E39"/>
    <mergeCell ref="C41:E41"/>
    <mergeCell ref="C38:C39"/>
  </mergeCells>
  <phoneticPr fontId="0" type="noConversion"/>
  <conditionalFormatting sqref="B69:B78">
    <cfRule type="notContainsBlanks" dxfId="17" priority="10">
      <formula>LEN(TRIM(B69))&gt;0</formula>
    </cfRule>
  </conditionalFormatting>
  <conditionalFormatting sqref="C56">
    <cfRule type="notContainsBlanks" dxfId="16" priority="9">
      <formula>LEN(TRIM(C56))&gt;0</formula>
    </cfRule>
  </conditionalFormatting>
  <conditionalFormatting sqref="C41">
    <cfRule type="notContainsBlanks" dxfId="15" priority="8">
      <formula>LEN(TRIM(C41))&gt;0</formula>
    </cfRule>
  </conditionalFormatting>
  <conditionalFormatting sqref="C25">
    <cfRule type="notContainsBlanks" dxfId="14" priority="7">
      <formula>LEN(TRIM(C25))&gt;0</formula>
    </cfRule>
  </conditionalFormatting>
  <conditionalFormatting sqref="C10">
    <cfRule type="notContainsBlanks" dxfId="13" priority="6">
      <formula>LEN(TRIM(C10))&gt;0</formula>
    </cfRule>
  </conditionalFormatting>
  <conditionalFormatting sqref="C11:E12">
    <cfRule type="expression" dxfId="12" priority="5">
      <formula>IF($C$9="Fans for combustion air; exhaust; or other use",FALSE,TRUE)</formula>
    </cfRule>
  </conditionalFormatting>
  <conditionalFormatting sqref="C26:E27">
    <cfRule type="expression" dxfId="11" priority="3">
      <formula>IF($C$24="Fans for combustion air; exhaust; or other use",FALSE,TRUE)</formula>
    </cfRule>
  </conditionalFormatting>
  <conditionalFormatting sqref="C42:E43">
    <cfRule type="expression" dxfId="10" priority="2">
      <formula>IF($C$40="Fans for combustion air; exhaust; or other use",FALSE,TRUE)</formula>
    </cfRule>
  </conditionalFormatting>
  <conditionalFormatting sqref="C57:E58">
    <cfRule type="expression" dxfId="9" priority="1">
      <formula>IF($C$55="Fans for combustion air; exhaust; or other use",FALSE,TRUE)</formula>
    </cfRule>
  </conditionalFormatting>
  <dataValidations count="1">
    <dataValidation type="list" allowBlank="1" showInputMessage="1" showErrorMessage="1" sqref="C9:E9 C24:E24 C40:E40 C55:E55">
      <formula1>"Fans for combustion air; exhaust; or other use, Drive motor, Other motors, Other use"""</formula1>
    </dataValidation>
  </dataValidations>
  <pageMargins left="0.75" right="0.75" top="1" bottom="1" header="0.5" footer="0.5"/>
  <pageSetup scale="59" fitToHeight="2" orientation="portrait" r:id="rId1"/>
  <headerFooter alignWithMargins="0">
    <oddHeader>&amp;LPower - Motor Driven Systems</oddHeader>
    <oddFooter>&amp;LUS Department of Energy&amp;C&amp;P&amp;R&amp;D</oddFooter>
  </headerFooter>
  <rowBreaks count="2" manualBreakCount="2">
    <brk id="35" min="1" max="4" man="1"/>
    <brk id="66" min="1" max="4" man="1"/>
  </rowBreaks>
  <drawing r:id="rId2"/>
  <legacyDrawing r:id="rId3"/>
  <controls>
    <mc:AlternateContent xmlns:mc="http://schemas.openxmlformats.org/markup-compatibility/2006">
      <mc:Choice Requires="x14">
        <control shapeId="7188" r:id="rId4" name="CommandButtonCopy">
          <controlPr defaultSize="0" print="0" autoLine="0" r:id="rId5">
            <anchor moveWithCells="1">
              <from>
                <xdr:col>5</xdr:col>
                <xdr:colOff>171450</xdr:colOff>
                <xdr:row>6</xdr:row>
                <xdr:rowOff>95250</xdr:rowOff>
              </from>
              <to>
                <xdr:col>6</xdr:col>
                <xdr:colOff>695325</xdr:colOff>
                <xdr:row>8</xdr:row>
                <xdr:rowOff>104775</xdr:rowOff>
              </to>
            </anchor>
          </controlPr>
        </control>
      </mc:Choice>
      <mc:Fallback>
        <control shapeId="7188" r:id="rId4" name="CommandButtonCopy"/>
      </mc:Fallback>
    </mc:AlternateContent>
    <mc:AlternateContent xmlns:mc="http://schemas.openxmlformats.org/markup-compatibility/2006">
      <mc:Choice Requires="x14">
        <control shapeId="7194" r:id="rId6" name="CommandButtonDataDone">
          <controlPr defaultSize="0" print="0" autoLine="0" r:id="rId7">
            <anchor moveWithCells="1">
              <from>
                <xdr:col>5</xdr:col>
                <xdr:colOff>190500</xdr:colOff>
                <xdr:row>9</xdr:row>
                <xdr:rowOff>19050</xdr:rowOff>
              </from>
              <to>
                <xdr:col>6</xdr:col>
                <xdr:colOff>714375</xdr:colOff>
                <xdr:row>11</xdr:row>
                <xdr:rowOff>28575</xdr:rowOff>
              </to>
            </anchor>
          </controlPr>
        </control>
      </mc:Choice>
      <mc:Fallback>
        <control shapeId="7194" r:id="rId6" name="CommandButtonDataDone"/>
      </mc:Fallback>
    </mc:AlternateContent>
    <mc:AlternateContent xmlns:mc="http://schemas.openxmlformats.org/markup-compatibility/2006">
      <mc:Choice Requires="x14">
        <control shapeId="5829861" r:id="rId8" name="CommandButtonHelp">
          <controlPr defaultSize="0" autoLine="0" r:id="rId9">
            <anchor moveWithCells="1">
              <from>
                <xdr:col>0</xdr:col>
                <xdr:colOff>95250</xdr:colOff>
                <xdr:row>6</xdr:row>
                <xdr:rowOff>19050</xdr:rowOff>
              </from>
              <to>
                <xdr:col>0</xdr:col>
                <xdr:colOff>819150</xdr:colOff>
                <xdr:row>16</xdr:row>
                <xdr:rowOff>180975</xdr:rowOff>
              </to>
            </anchor>
          </controlPr>
        </control>
      </mc:Choice>
      <mc:Fallback>
        <control shapeId="5829861" r:id="rId8" name="CommandButtonHelp"/>
      </mc:Fallback>
    </mc:AlternateContent>
    <mc:AlternateContent xmlns:mc="http://schemas.openxmlformats.org/markup-compatibility/2006">
      <mc:Choice Requires="x14">
        <control shapeId="5830363" r:id="rId10" name="CommandButton1">
          <controlPr defaultSize="0" autoLine="0" r:id="rId11">
            <anchor moveWithCells="1">
              <from>
                <xdr:col>5</xdr:col>
                <xdr:colOff>171450</xdr:colOff>
                <xdr:row>11</xdr:row>
                <xdr:rowOff>219075</xdr:rowOff>
              </from>
              <to>
                <xdr:col>6</xdr:col>
                <xdr:colOff>704850</xdr:colOff>
                <xdr:row>13</xdr:row>
                <xdr:rowOff>228600</xdr:rowOff>
              </to>
            </anchor>
          </controlPr>
        </control>
      </mc:Choice>
      <mc:Fallback>
        <control shapeId="5830363" r:id="rId10"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T112"/>
  <sheetViews>
    <sheetView topLeftCell="A6" workbookViewId="0">
      <selection activeCell="K6" sqref="K6"/>
    </sheetView>
  </sheetViews>
  <sheetFormatPr defaultColWidth="0" defaultRowHeight="15" zeroHeight="1"/>
  <cols>
    <col min="1" max="2" width="5.7109375" style="1800" customWidth="1"/>
    <col min="3" max="3" width="50.7109375" style="1429" customWidth="1"/>
    <col min="4" max="4" width="11.7109375" style="1428" customWidth="1"/>
    <col min="5" max="6" width="19.7109375" style="1428" customWidth="1"/>
    <col min="7" max="7" width="8.7109375" style="1436" customWidth="1"/>
    <col min="8" max="8" width="16.7109375" style="1801" customWidth="1"/>
    <col min="9" max="11" width="10.7109375" style="1801" customWidth="1"/>
    <col min="12" max="12" width="8" style="1801" hidden="1" customWidth="1"/>
    <col min="13" max="13" width="10.28515625" style="1801" hidden="1" customWidth="1"/>
    <col min="14" max="14" width="8.85546875" style="1801" hidden="1" customWidth="1"/>
    <col min="15" max="15" width="13.5703125" style="1801" hidden="1" customWidth="1"/>
    <col min="16" max="20" width="8.85546875" style="1801" hidden="1" customWidth="1"/>
    <col min="21" max="16384" width="9.140625" style="1801" hidden="1"/>
  </cols>
  <sheetData>
    <row r="1" spans="1:15" ht="16.5" hidden="1" customHeight="1"/>
    <row r="2" spans="1:15" ht="18" hidden="1" customHeight="1">
      <c r="C2" s="2690"/>
      <c r="D2" s="2691"/>
      <c r="E2" s="2691"/>
      <c r="L2" s="1801" t="s">
        <v>776</v>
      </c>
    </row>
    <row r="3" spans="1:15" ht="16.5" hidden="1" customHeight="1">
      <c r="C3" s="2692"/>
      <c r="D3" s="2691"/>
      <c r="E3" s="2691"/>
      <c r="L3" s="1801" t="s">
        <v>774</v>
      </c>
    </row>
    <row r="4" spans="1:15" ht="13.5" hidden="1" customHeight="1">
      <c r="C4" s="2692"/>
      <c r="D4" s="2691"/>
      <c r="E4" s="2691"/>
    </row>
    <row r="5" spans="1:15" hidden="1">
      <c r="C5" s="1802"/>
      <c r="L5" s="1801" t="s">
        <v>8</v>
      </c>
    </row>
    <row r="6" spans="1:15">
      <c r="C6" s="1765"/>
      <c r="G6" s="1803"/>
      <c r="H6" s="1474"/>
      <c r="I6" s="1474"/>
      <c r="J6" s="1474"/>
      <c r="K6" s="1474"/>
      <c r="L6" s="1801" t="s">
        <v>6</v>
      </c>
    </row>
    <row r="7" spans="1:15" ht="15.75" thickBot="1">
      <c r="G7" s="987"/>
      <c r="H7" s="1474"/>
      <c r="I7" s="1474"/>
      <c r="J7" s="1474"/>
      <c r="K7" s="1474"/>
    </row>
    <row r="8" spans="1:15" ht="43.5" customHeight="1" thickBot="1">
      <c r="A8" s="1804">
        <v>12</v>
      </c>
      <c r="B8" s="1804"/>
      <c r="C8" s="2373" t="s">
        <v>731</v>
      </c>
      <c r="D8" s="2591"/>
      <c r="E8" s="2591"/>
      <c r="F8" s="2592"/>
    </row>
    <row r="9" spans="1:15" s="1046" customFormat="1" ht="15.75" thickBot="1">
      <c r="A9" s="1460"/>
      <c r="B9" s="1460"/>
      <c r="C9" s="1635"/>
      <c r="D9" s="2693" t="s">
        <v>1113</v>
      </c>
      <c r="E9" s="2693"/>
      <c r="F9" s="1027"/>
      <c r="G9" s="1245"/>
    </row>
    <row r="10" spans="1:15" s="1046" customFormat="1" ht="30.75" customHeight="1" thickBot="1">
      <c r="A10" s="1460"/>
      <c r="C10" s="2664" t="s">
        <v>1298</v>
      </c>
      <c r="D10" s="2665"/>
      <c r="E10" s="2665"/>
      <c r="F10" s="2666"/>
      <c r="G10" s="1245"/>
      <c r="O10" s="1475"/>
    </row>
    <row r="11" spans="1:15" s="1046" customFormat="1" ht="19.899999999999999" customHeight="1">
      <c r="A11" s="1460"/>
      <c r="B11" s="1805"/>
      <c r="C11" s="2671" t="s">
        <v>952</v>
      </c>
      <c r="D11" s="2686"/>
      <c r="E11" s="2684" t="s">
        <v>1171</v>
      </c>
      <c r="F11" s="2669" t="s">
        <v>1115</v>
      </c>
      <c r="G11" s="1245"/>
      <c r="O11" s="1475"/>
    </row>
    <row r="12" spans="1:15" s="1046" customFormat="1" ht="19.899999999999999" customHeight="1">
      <c r="A12" s="1460"/>
      <c r="B12" s="1805"/>
      <c r="C12" s="2672"/>
      <c r="D12" s="2687"/>
      <c r="E12" s="2685"/>
      <c r="F12" s="2670"/>
      <c r="G12" s="1245"/>
      <c r="O12" s="1475"/>
    </row>
    <row r="13" spans="1:15" s="1046" customFormat="1" ht="20.25" customHeight="1">
      <c r="A13" s="1460"/>
      <c r="B13" s="1805"/>
      <c r="C13" s="1806" t="s">
        <v>628</v>
      </c>
      <c r="D13" s="1807" t="s">
        <v>1366</v>
      </c>
      <c r="E13" s="1067"/>
      <c r="F13" s="1068"/>
      <c r="G13" s="1245"/>
      <c r="O13" s="1475"/>
    </row>
    <row r="14" spans="1:15" s="1046" customFormat="1" ht="19.899999999999999" customHeight="1">
      <c r="A14" s="1460"/>
      <c r="B14" s="1805"/>
      <c r="C14" s="1033" t="s">
        <v>759</v>
      </c>
      <c r="D14" s="1770" t="s">
        <v>1175</v>
      </c>
      <c r="E14" s="2127"/>
      <c r="F14" s="1098"/>
      <c r="G14" s="1245"/>
      <c r="O14" s="1475"/>
    </row>
    <row r="15" spans="1:15" s="1046" customFormat="1" ht="19.899999999999999" customHeight="1">
      <c r="A15" s="1460"/>
      <c r="B15" s="1805"/>
      <c r="C15" s="1033" t="s">
        <v>1247</v>
      </c>
      <c r="D15" s="1770" t="s">
        <v>1175</v>
      </c>
      <c r="E15" s="2127"/>
      <c r="F15" s="1098"/>
      <c r="G15" s="2585" t="str">
        <f>IF(OR(E16&gt;1,F16&gt;1),"Surface emmissivity cannot be greater than 1","")</f>
        <v/>
      </c>
      <c r="H15" s="2602"/>
      <c r="O15" s="1475"/>
    </row>
    <row r="16" spans="1:15" s="1046" customFormat="1" ht="26.25" customHeight="1" thickBot="1">
      <c r="A16" s="1460"/>
      <c r="B16" s="1805"/>
      <c r="C16" s="1808" t="s">
        <v>1640</v>
      </c>
      <c r="D16" s="1809"/>
      <c r="E16" s="1069"/>
      <c r="F16" s="1070"/>
      <c r="G16" s="2585"/>
      <c r="H16" s="2602"/>
      <c r="O16" s="1475"/>
    </row>
    <row r="17" spans="1:15" s="1046" customFormat="1" ht="19.899999999999999" customHeight="1" thickBot="1">
      <c r="A17" s="1460"/>
      <c r="B17" s="1805"/>
      <c r="C17" s="1810" t="s">
        <v>1449</v>
      </c>
      <c r="D17" s="1811" t="s">
        <v>1173</v>
      </c>
      <c r="E17" s="1812">
        <f>IFERROR(E22*E13,0)</f>
        <v>0</v>
      </c>
      <c r="F17" s="1813">
        <f>IFERROR(F22*F13,0)</f>
        <v>0</v>
      </c>
      <c r="G17" s="1245"/>
      <c r="L17" s="1046">
        <f>IF('Control page'!D21=0,0,1)</f>
        <v>1</v>
      </c>
      <c r="M17" s="1046" t="s">
        <v>3</v>
      </c>
      <c r="O17" s="1475"/>
    </row>
    <row r="18" spans="1:15" s="1046" customFormat="1" ht="18.75" customHeight="1">
      <c r="A18" s="1460"/>
      <c r="B18" s="1805"/>
      <c r="C18" s="1814"/>
      <c r="D18" s="1662"/>
      <c r="E18" s="1662"/>
      <c r="F18" s="1662"/>
      <c r="G18" s="1245"/>
      <c r="O18" s="1475"/>
    </row>
    <row r="19" spans="1:15" s="1046" customFormat="1" hidden="1">
      <c r="A19" s="1460"/>
      <c r="B19" s="1805"/>
      <c r="C19" s="1815" t="s">
        <v>945</v>
      </c>
      <c r="D19" s="1816" t="s">
        <v>946</v>
      </c>
      <c r="E19" s="1817">
        <f>E14</f>
        <v>0</v>
      </c>
      <c r="F19" s="1817">
        <f>F14</f>
        <v>0</v>
      </c>
      <c r="G19" s="1245"/>
      <c r="O19" s="1475"/>
    </row>
    <row r="20" spans="1:15" s="1046" customFormat="1" hidden="1">
      <c r="A20" s="1460"/>
      <c r="B20" s="1805"/>
      <c r="C20" s="1586" t="s">
        <v>947</v>
      </c>
      <c r="D20" s="1495" t="s">
        <v>946</v>
      </c>
      <c r="E20" s="1818">
        <f>E15</f>
        <v>0</v>
      </c>
      <c r="F20" s="1818">
        <f>F15</f>
        <v>0</v>
      </c>
      <c r="G20" s="1245"/>
      <c r="O20" s="1475"/>
    </row>
    <row r="21" spans="1:15" s="1046" customFormat="1" hidden="1">
      <c r="A21" s="1460"/>
      <c r="B21" s="1805"/>
      <c r="C21" s="1586"/>
      <c r="D21" s="1495"/>
      <c r="E21" s="1495"/>
      <c r="F21" s="1587"/>
      <c r="G21" s="1245"/>
      <c r="O21" s="1475"/>
    </row>
    <row r="22" spans="1:15" s="1046" customFormat="1" hidden="1">
      <c r="A22" s="1460"/>
      <c r="B22" s="1805"/>
      <c r="C22" s="1586" t="s">
        <v>948</v>
      </c>
      <c r="D22" s="1495" t="s">
        <v>949</v>
      </c>
      <c r="E22" s="1497" t="e">
        <f>(1*(1/24)^0.2*(1/((E14+E15)/2)^0.181*(E14-E15)^0.266*((1+1.277*5))^0.5+(0.1713*10^-8*E16*((E14+460)^4-(E15+460)^4)/(E14-E15))))*(E19-E15)</f>
        <v>#DIV/0!</v>
      </c>
      <c r="F22" s="1497" t="e">
        <f>(1*(1/24)^0.2*(1/((F14+F15)/2)^0.181*(F14-F15)^0.266*((1+1.277*5))^0.5+(0.1713*10^-8*F16*((F14+460)^4-(F15+460)^4)/(F14-F15))))*(F19-F15)</f>
        <v>#DIV/0!</v>
      </c>
      <c r="G22" s="1245"/>
      <c r="O22" s="1475"/>
    </row>
    <row r="23" spans="1:15" s="1046" customFormat="1" hidden="1">
      <c r="A23" s="1460"/>
      <c r="B23" s="1805"/>
      <c r="C23" s="1586" t="s">
        <v>950</v>
      </c>
      <c r="D23" s="1495" t="s">
        <v>951</v>
      </c>
      <c r="E23" s="1819" t="e">
        <f>E22*11.3078</f>
        <v>#DIV/0!</v>
      </c>
      <c r="F23" s="1820" t="e">
        <f>F22*11.3078</f>
        <v>#DIV/0!</v>
      </c>
      <c r="G23" s="1245"/>
      <c r="O23" s="1475"/>
    </row>
    <row r="24" spans="1:15" s="1046" customFormat="1" hidden="1">
      <c r="A24" s="1460"/>
      <c r="B24" s="1805"/>
      <c r="C24" s="1821" t="s">
        <v>1295</v>
      </c>
      <c r="D24" s="1822" t="s">
        <v>951</v>
      </c>
      <c r="E24" s="1823" t="e">
        <f>E23*E13</f>
        <v>#DIV/0!</v>
      </c>
      <c r="F24" s="1824" t="e">
        <f>F23*F13</f>
        <v>#DIV/0!</v>
      </c>
      <c r="G24" s="1245"/>
      <c r="O24" s="1475"/>
    </row>
    <row r="25" spans="1:15" s="1046" customFormat="1" ht="15.75" thickBot="1">
      <c r="A25" s="1460"/>
      <c r="B25" s="1805"/>
      <c r="C25" s="1045"/>
      <c r="D25" s="1027"/>
      <c r="E25" s="1027"/>
      <c r="F25" s="1027"/>
      <c r="G25" s="1245"/>
      <c r="O25" s="1475"/>
    </row>
    <row r="26" spans="1:15" s="1046" customFormat="1" ht="19.899999999999999" customHeight="1">
      <c r="A26" s="1460"/>
      <c r="B26" s="1805"/>
      <c r="C26" s="2671" t="s">
        <v>953</v>
      </c>
      <c r="D26" s="2688"/>
      <c r="E26" s="2684" t="s">
        <v>1171</v>
      </c>
      <c r="F26" s="2669" t="s">
        <v>1115</v>
      </c>
      <c r="G26" s="1245"/>
      <c r="O26" s="1475"/>
    </row>
    <row r="27" spans="1:15" s="1046" customFormat="1" ht="19.899999999999999" customHeight="1">
      <c r="A27" s="1460"/>
      <c r="B27" s="1805"/>
      <c r="C27" s="2672"/>
      <c r="D27" s="2689"/>
      <c r="E27" s="2685"/>
      <c r="F27" s="2670"/>
      <c r="G27" s="1245"/>
      <c r="O27" s="1475"/>
    </row>
    <row r="28" spans="1:15" s="1046" customFormat="1" ht="19.899999999999999" customHeight="1">
      <c r="A28" s="1460"/>
      <c r="B28" s="1805"/>
      <c r="C28" s="1806" t="s">
        <v>627</v>
      </c>
      <c r="D28" s="1807" t="s">
        <v>1367</v>
      </c>
      <c r="E28" s="1067">
        <v>0</v>
      </c>
      <c r="F28" s="1068">
        <v>0</v>
      </c>
      <c r="G28" s="1245"/>
      <c r="O28" s="1475"/>
    </row>
    <row r="29" spans="1:15" s="1046" customFormat="1" ht="19.899999999999999" customHeight="1">
      <c r="A29" s="1460"/>
      <c r="B29" s="1805"/>
      <c r="C29" s="1033" t="s">
        <v>759</v>
      </c>
      <c r="D29" s="1770" t="s">
        <v>1175</v>
      </c>
      <c r="E29" s="2127"/>
      <c r="F29" s="1098"/>
      <c r="G29" s="1245"/>
      <c r="O29" s="1475"/>
    </row>
    <row r="30" spans="1:15" s="1046" customFormat="1" ht="19.899999999999999" customHeight="1">
      <c r="A30" s="1460"/>
      <c r="B30" s="1805"/>
      <c r="C30" s="1033" t="s">
        <v>1247</v>
      </c>
      <c r="D30" s="1770" t="s">
        <v>1175</v>
      </c>
      <c r="E30" s="2127"/>
      <c r="F30" s="1098"/>
      <c r="G30" s="2585" t="str">
        <f>IF(OR(E31&gt;1,F31&gt;1),"Surface emmissivity cannot be greater than 1","")</f>
        <v/>
      </c>
      <c r="H30" s="2602"/>
      <c r="O30" s="1475"/>
    </row>
    <row r="31" spans="1:15" s="1046" customFormat="1" ht="25.5" customHeight="1" thickBot="1">
      <c r="A31" s="1460"/>
      <c r="B31" s="1805"/>
      <c r="C31" s="1808" t="s">
        <v>1640</v>
      </c>
      <c r="D31" s="1809"/>
      <c r="E31" s="1069"/>
      <c r="F31" s="1070"/>
      <c r="G31" s="2585"/>
      <c r="H31" s="2602"/>
      <c r="O31" s="1475"/>
    </row>
    <row r="32" spans="1:15" s="1046" customFormat="1" ht="19.899999999999999" customHeight="1" thickBot="1">
      <c r="A32" s="1460"/>
      <c r="B32" s="1805"/>
      <c r="C32" s="1810" t="s">
        <v>1450</v>
      </c>
      <c r="D32" s="1811" t="s">
        <v>1173</v>
      </c>
      <c r="E32" s="1812">
        <f>IFERROR(E37*E28,0)</f>
        <v>0</v>
      </c>
      <c r="F32" s="1812">
        <f>IFERROR(F37*F28,0)</f>
        <v>0</v>
      </c>
      <c r="G32" s="1245"/>
      <c r="L32" s="1046">
        <f>IF('Control page'!D21&gt;1,1,0)</f>
        <v>1</v>
      </c>
      <c r="M32" s="1046" t="s">
        <v>3</v>
      </c>
      <c r="O32" s="1475"/>
    </row>
    <row r="33" spans="1:15" s="1046" customFormat="1" ht="15.75" hidden="1" thickBot="1">
      <c r="A33" s="1460"/>
      <c r="B33" s="1805"/>
      <c r="C33" s="1825"/>
      <c r="D33" s="1826"/>
      <c r="E33" s="1827"/>
      <c r="F33" s="1828"/>
      <c r="G33" s="1245"/>
      <c r="O33" s="1475"/>
    </row>
    <row r="34" spans="1:15" s="1046" customFormat="1" hidden="1">
      <c r="A34" s="1460"/>
      <c r="B34" s="1805"/>
      <c r="C34" s="1829" t="s">
        <v>945</v>
      </c>
      <c r="D34" s="1816" t="s">
        <v>946</v>
      </c>
      <c r="E34" s="1817">
        <f>E29</f>
        <v>0</v>
      </c>
      <c r="F34" s="1817">
        <f>F29</f>
        <v>0</v>
      </c>
      <c r="G34" s="1245"/>
      <c r="O34" s="1475"/>
    </row>
    <row r="35" spans="1:15" s="1046" customFormat="1" hidden="1">
      <c r="A35" s="1460"/>
      <c r="B35" s="1805"/>
      <c r="C35" s="1830" t="s">
        <v>947</v>
      </c>
      <c r="D35" s="1495" t="s">
        <v>946</v>
      </c>
      <c r="E35" s="1818">
        <f>E30</f>
        <v>0</v>
      </c>
      <c r="F35" s="1818">
        <f>F30</f>
        <v>0</v>
      </c>
      <c r="G35" s="1245"/>
      <c r="O35" s="1475"/>
    </row>
    <row r="36" spans="1:15" s="1046" customFormat="1" hidden="1">
      <c r="A36" s="1460"/>
      <c r="B36" s="1805"/>
      <c r="C36" s="1830"/>
      <c r="D36" s="1495"/>
      <c r="E36" s="1495"/>
      <c r="F36" s="1495"/>
      <c r="G36" s="1245"/>
      <c r="O36" s="1475"/>
    </row>
    <row r="37" spans="1:15" s="1046" customFormat="1" hidden="1">
      <c r="A37" s="1460"/>
      <c r="B37" s="1805"/>
      <c r="C37" s="1830" t="s">
        <v>948</v>
      </c>
      <c r="D37" s="1495" t="s">
        <v>949</v>
      </c>
      <c r="E37" s="1497" t="e">
        <f>(1*(1/24)^0.2*(1/((E29+E30)/2)^0.181*(E29-E30)^0.266*((1+1.277*5))^0.5+(0.1713*10^-8*E31*((E29+460)^4-(E30+460)^4)/(E29-E30))))*(E34-E30)</f>
        <v>#DIV/0!</v>
      </c>
      <c r="F37" s="1497" t="e">
        <f>(1*(1/24)^0.2*(1/((F29+F30)/2)^0.181*(F29-F30)^0.266*((1+1.277*5))^0.5+(0.1713*10^-8*F31*((F29+460)^4-(F30+460)^4)/(F29-F30))))*(F34-F30)</f>
        <v>#DIV/0!</v>
      </c>
      <c r="G37" s="1245"/>
      <c r="O37" s="1475"/>
    </row>
    <row r="38" spans="1:15" s="1046" customFormat="1" hidden="1">
      <c r="A38" s="1460"/>
      <c r="B38" s="1805"/>
      <c r="C38" s="1830" t="s">
        <v>950</v>
      </c>
      <c r="D38" s="1495" t="s">
        <v>951</v>
      </c>
      <c r="E38" s="1819" t="e">
        <f>E37*11.3078</f>
        <v>#DIV/0!</v>
      </c>
      <c r="F38" s="1820" t="e">
        <f>F37*11.3078</f>
        <v>#DIV/0!</v>
      </c>
      <c r="G38" s="1245"/>
      <c r="O38" s="1475"/>
    </row>
    <row r="39" spans="1:15" s="1046" customFormat="1" hidden="1">
      <c r="A39" s="1460"/>
      <c r="B39" s="1805"/>
      <c r="C39" s="1586" t="s">
        <v>1295</v>
      </c>
      <c r="D39" s="1495" t="s">
        <v>951</v>
      </c>
      <c r="E39" s="1819" t="e">
        <f>E38*E28</f>
        <v>#DIV/0!</v>
      </c>
      <c r="F39" s="1820" t="e">
        <f>F38*F28</f>
        <v>#DIV/0!</v>
      </c>
      <c r="G39" s="1245"/>
      <c r="O39" s="1475"/>
    </row>
    <row r="40" spans="1:15" s="1046" customFormat="1" ht="15.75" hidden="1" thickBot="1">
      <c r="A40" s="1460"/>
      <c r="B40" s="1805"/>
      <c r="C40" s="1821"/>
      <c r="D40" s="1822"/>
      <c r="E40" s="1822"/>
      <c r="F40" s="1831"/>
      <c r="G40" s="1245"/>
      <c r="O40" s="1475"/>
    </row>
    <row r="41" spans="1:15" s="1046" customFormat="1" ht="29.45" customHeight="1" thickBot="1">
      <c r="A41" s="1460"/>
      <c r="B41" s="1805"/>
      <c r="C41" s="2664" t="s">
        <v>1451</v>
      </c>
      <c r="D41" s="2665"/>
      <c r="E41" s="2665"/>
      <c r="F41" s="2666"/>
      <c r="G41" s="1245"/>
      <c r="O41" s="1475"/>
    </row>
    <row r="42" spans="1:15" s="1046" customFormat="1" ht="29.45" customHeight="1">
      <c r="A42" s="1460"/>
      <c r="B42" s="1805"/>
      <c r="C42" s="1832"/>
      <c r="D42" s="1833"/>
      <c r="E42" s="1833"/>
      <c r="F42" s="1833"/>
      <c r="G42" s="1245"/>
      <c r="O42" s="1475"/>
    </row>
    <row r="43" spans="1:15" s="1046" customFormat="1" ht="15.75" thickBot="1">
      <c r="A43" s="1460"/>
      <c r="B43" s="1805"/>
      <c r="C43" s="1834"/>
      <c r="D43" s="1835"/>
      <c r="E43" s="1835"/>
      <c r="F43" s="1835"/>
      <c r="G43" s="1245"/>
      <c r="O43" s="1475"/>
    </row>
    <row r="44" spans="1:15" s="1046" customFormat="1" ht="42.6" customHeight="1" thickBot="1">
      <c r="A44" s="1460"/>
      <c r="B44" s="1805"/>
      <c r="C44" s="2660" t="s">
        <v>629</v>
      </c>
      <c r="D44" s="2661"/>
      <c r="E44" s="2662" t="s">
        <v>598</v>
      </c>
      <c r="F44" s="2663"/>
      <c r="G44" s="1245"/>
      <c r="O44" s="1475"/>
    </row>
    <row r="45" spans="1:15" s="1046" customFormat="1" ht="19.899999999999999" customHeight="1" thickBot="1">
      <c r="A45" s="1460"/>
      <c r="B45" s="1805"/>
      <c r="C45" s="2667"/>
      <c r="D45" s="2668"/>
      <c r="E45" s="1000" t="s">
        <v>1114</v>
      </c>
      <c r="F45" s="1434" t="s">
        <v>1119</v>
      </c>
      <c r="G45" s="1245"/>
      <c r="H45" s="2540" t="s">
        <v>601</v>
      </c>
      <c r="I45" s="2541"/>
      <c r="J45" s="2542"/>
      <c r="K45" s="1245"/>
      <c r="O45" s="1475"/>
    </row>
    <row r="46" spans="1:15" s="1046" customFormat="1" ht="19.899999999999999" customHeight="1">
      <c r="A46" s="1460"/>
      <c r="B46" s="1805"/>
      <c r="C46" s="1806" t="s">
        <v>620</v>
      </c>
      <c r="D46" s="1807" t="s">
        <v>1446</v>
      </c>
      <c r="E46" s="1063"/>
      <c r="F46" s="1064"/>
      <c r="G46" s="1245"/>
      <c r="H46" s="1836" t="s">
        <v>603</v>
      </c>
      <c r="I46" s="1837" t="s">
        <v>602</v>
      </c>
      <c r="J46" s="1838" t="s">
        <v>626</v>
      </c>
      <c r="K46" s="1027"/>
      <c r="O46" s="1475"/>
    </row>
    <row r="47" spans="1:15" s="1046" customFormat="1" ht="19.899999999999999" customHeight="1" thickBot="1">
      <c r="A47" s="1460"/>
      <c r="B47" s="1805"/>
      <c r="C47" s="1033" t="s">
        <v>621</v>
      </c>
      <c r="D47" s="1770" t="s">
        <v>1366</v>
      </c>
      <c r="E47" s="1066"/>
      <c r="F47" s="1038"/>
      <c r="G47" s="1245"/>
      <c r="H47" s="2135">
        <v>5</v>
      </c>
      <c r="I47" s="1839">
        <f>H47*0.00401574</f>
        <v>2.0078700000000001E-2</v>
      </c>
      <c r="J47" s="1840">
        <f>I47*25.4</f>
        <v>0.50999897999999999</v>
      </c>
      <c r="K47" s="1446"/>
      <c r="O47" s="1475"/>
    </row>
    <row r="48" spans="1:15" s="1046" customFormat="1" ht="19.899999999999999" customHeight="1">
      <c r="A48" s="1460"/>
      <c r="B48" s="1805"/>
      <c r="C48" s="1033" t="s">
        <v>624</v>
      </c>
      <c r="D48" s="1770" t="s">
        <v>1175</v>
      </c>
      <c r="E48" s="2128"/>
      <c r="F48" s="1098"/>
      <c r="G48" s="1245"/>
      <c r="H48" s="1841" t="s">
        <v>626</v>
      </c>
      <c r="I48" s="1842" t="s">
        <v>603</v>
      </c>
      <c r="J48" s="1843" t="s">
        <v>602</v>
      </c>
      <c r="K48" s="1027"/>
      <c r="O48" s="1475"/>
    </row>
    <row r="49" spans="1:19" s="1046" customFormat="1" ht="19.899999999999999" customHeight="1" thickBot="1">
      <c r="A49" s="1460"/>
      <c r="B49" s="1805"/>
      <c r="C49" s="1033" t="s">
        <v>622</v>
      </c>
      <c r="D49" s="1770" t="s">
        <v>623</v>
      </c>
      <c r="E49" s="1065"/>
      <c r="F49" s="1042"/>
      <c r="G49" s="1245"/>
      <c r="H49" s="2136">
        <v>0.51</v>
      </c>
      <c r="I49" s="1844">
        <f>H49/0.102</f>
        <v>5</v>
      </c>
      <c r="J49" s="1840">
        <f>H49/25.4</f>
        <v>2.0078740157480318E-2</v>
      </c>
      <c r="K49" s="1446"/>
      <c r="O49" s="1475"/>
    </row>
    <row r="50" spans="1:19" s="1046" customFormat="1" ht="19.899999999999999" customHeight="1" thickBot="1">
      <c r="A50" s="1460"/>
      <c r="B50" s="1805"/>
      <c r="C50" s="1808" t="s">
        <v>625</v>
      </c>
      <c r="D50" s="1845" t="s">
        <v>1175</v>
      </c>
      <c r="E50" s="1061"/>
      <c r="F50" s="1062"/>
      <c r="G50" s="1245"/>
      <c r="H50" s="2657" t="s">
        <v>631</v>
      </c>
      <c r="I50" s="2658"/>
      <c r="J50" s="2659"/>
      <c r="K50" s="1846"/>
      <c r="O50" s="1475"/>
    </row>
    <row r="51" spans="1:19" s="1046" customFormat="1" ht="19.899999999999999" customHeight="1" thickBot="1">
      <c r="A51" s="1460"/>
      <c r="B51" s="1805"/>
      <c r="C51" s="1056" t="s">
        <v>630</v>
      </c>
      <c r="D51" s="1847" t="s">
        <v>1173</v>
      </c>
      <c r="E51" s="1848">
        <f>IFERROR(IF(E44="Yes", E92,"0"),0)</f>
        <v>0</v>
      </c>
      <c r="F51" s="1849">
        <f>IFERROR(IF(E44="Yes", F92,"0"),0)</f>
        <v>0</v>
      </c>
      <c r="G51" s="1245"/>
      <c r="O51" s="1475"/>
    </row>
    <row r="52" spans="1:19" s="1046" customFormat="1">
      <c r="A52" s="1460"/>
      <c r="B52" s="1805"/>
      <c r="C52" s="1834"/>
      <c r="D52" s="1835"/>
      <c r="E52" s="1835"/>
      <c r="F52" s="1835"/>
      <c r="G52" s="1245"/>
      <c r="O52" s="1475"/>
    </row>
    <row r="53" spans="1:19" s="1046" customFormat="1" ht="15.75" thickBot="1">
      <c r="A53" s="1460"/>
      <c r="B53" s="1805"/>
      <c r="C53" s="1834"/>
      <c r="D53" s="1835"/>
      <c r="E53" s="1835"/>
      <c r="F53" s="1835"/>
      <c r="G53" s="1245"/>
      <c r="O53" s="1475"/>
    </row>
    <row r="54" spans="1:19" ht="20.25" customHeight="1">
      <c r="B54" s="1460"/>
      <c r="C54" s="2671" t="s">
        <v>954</v>
      </c>
      <c r="D54" s="2673"/>
      <c r="E54" s="2684" t="s">
        <v>1171</v>
      </c>
      <c r="F54" s="2669" t="s">
        <v>1115</v>
      </c>
      <c r="O54" s="1475"/>
    </row>
    <row r="55" spans="1:19">
      <c r="B55" s="1460"/>
      <c r="C55" s="2672"/>
      <c r="D55" s="2674"/>
      <c r="E55" s="2685"/>
      <c r="F55" s="2670"/>
    </row>
    <row r="56" spans="1:19" s="1475" customFormat="1" ht="19.899999999999999" customHeight="1">
      <c r="A56" s="2647"/>
      <c r="B56" s="1850"/>
      <c r="C56" s="1058"/>
      <c r="D56" s="1054" t="s">
        <v>1173</v>
      </c>
      <c r="E56" s="2129"/>
      <c r="F56" s="2130"/>
      <c r="G56" s="1851"/>
      <c r="H56" s="1852"/>
      <c r="I56" s="1852"/>
      <c r="J56" s="1852"/>
      <c r="K56" s="1852"/>
    </row>
    <row r="57" spans="1:19" s="1475" customFormat="1" ht="19.899999999999999" customHeight="1">
      <c r="A57" s="2647"/>
      <c r="B57" s="1850"/>
      <c r="C57" s="1059"/>
      <c r="D57" s="942" t="s">
        <v>1173</v>
      </c>
      <c r="E57" s="2131">
        <v>0</v>
      </c>
      <c r="F57" s="2132">
        <v>0</v>
      </c>
      <c r="G57" s="1851"/>
      <c r="O57" s="1045"/>
      <c r="P57" s="1053" t="s">
        <v>598</v>
      </c>
    </row>
    <row r="58" spans="1:19" s="1475" customFormat="1" ht="19.899999999999999" customHeight="1" thickBot="1">
      <c r="A58" s="2647"/>
      <c r="B58" s="1850"/>
      <c r="C58" s="1060"/>
      <c r="D58" s="1055" t="s">
        <v>1173</v>
      </c>
      <c r="E58" s="2133">
        <v>0</v>
      </c>
      <c r="F58" s="2134">
        <v>0</v>
      </c>
      <c r="G58" s="1851"/>
      <c r="O58" s="1045"/>
      <c r="P58" s="1053" t="s">
        <v>1241</v>
      </c>
    </row>
    <row r="59" spans="1:19" ht="19.899999999999999" customHeight="1" thickBot="1">
      <c r="C59" s="1056" t="s">
        <v>1295</v>
      </c>
      <c r="D59" s="1057" t="s">
        <v>1173</v>
      </c>
      <c r="E59" s="1853">
        <f>IFERROR((SUM(E56:E58)*L59)+(E32*L32)+(E17*L17) + E51,0)</f>
        <v>0</v>
      </c>
      <c r="F59" s="1854">
        <f>IFERROR((SUM(F56:F58)*L59)+(F32*L32)+(F17*L17) + F51,0)</f>
        <v>0</v>
      </c>
      <c r="L59" s="1046">
        <f>IF('Control page'!D21=0,0,1)</f>
        <v>1</v>
      </c>
      <c r="M59" s="1046" t="s">
        <v>3</v>
      </c>
      <c r="O59" s="1475"/>
      <c r="P59" s="1475"/>
    </row>
    <row r="60" spans="1:19" ht="19.899999999999999" customHeight="1">
      <c r="C60" s="1855"/>
      <c r="D60" s="1856"/>
      <c r="E60" s="1662"/>
      <c r="F60" s="1856"/>
      <c r="O60" s="1475"/>
      <c r="P60" s="1475"/>
    </row>
    <row r="61" spans="1:19">
      <c r="O61" s="1475"/>
      <c r="P61" s="1475"/>
    </row>
    <row r="62" spans="1:19" ht="15.75" thickBot="1">
      <c r="O62" s="1475"/>
    </row>
    <row r="63" spans="1:19">
      <c r="C63" s="2648" t="s">
        <v>1296</v>
      </c>
      <c r="D63" s="2649"/>
      <c r="E63" s="2649"/>
      <c r="F63" s="2650"/>
      <c r="O63" s="1046"/>
      <c r="P63" s="1046"/>
      <c r="Q63" s="1046"/>
      <c r="R63" s="1046"/>
      <c r="S63" s="1046"/>
    </row>
    <row r="64" spans="1:19">
      <c r="C64" s="2654" t="s">
        <v>767</v>
      </c>
      <c r="D64" s="2655"/>
      <c r="E64" s="2655"/>
      <c r="F64" s="2656"/>
      <c r="O64" s="1046"/>
      <c r="P64" s="1045"/>
      <c r="Q64" s="1045"/>
      <c r="R64" s="1045"/>
      <c r="S64" s="1046"/>
    </row>
    <row r="65" spans="3:19" ht="15.75" thickBot="1">
      <c r="C65" s="2651" t="s">
        <v>768</v>
      </c>
      <c r="D65" s="2652"/>
      <c r="E65" s="2652"/>
      <c r="F65" s="2653"/>
      <c r="O65" s="1046"/>
      <c r="P65" s="1045"/>
      <c r="Q65" s="1045"/>
      <c r="R65" s="1045"/>
      <c r="S65" s="1046"/>
    </row>
    <row r="66" spans="3:19">
      <c r="C66" s="1045"/>
    </row>
    <row r="67" spans="3:19" ht="15.75" thickBot="1">
      <c r="C67" s="1857"/>
      <c r="D67" s="1858"/>
      <c r="F67" s="1859"/>
    </row>
    <row r="68" spans="3:19">
      <c r="C68" s="2540" t="s">
        <v>710</v>
      </c>
      <c r="D68" s="2541"/>
      <c r="E68" s="2541"/>
      <c r="F68" s="2542"/>
    </row>
    <row r="69" spans="3:19">
      <c r="C69" s="2533" t="s">
        <v>709</v>
      </c>
      <c r="D69" s="2682"/>
      <c r="E69" s="2682"/>
      <c r="F69" s="2683"/>
    </row>
    <row r="70" spans="3:19">
      <c r="C70" s="2559"/>
      <c r="D70" s="2560"/>
      <c r="E70" s="2560"/>
      <c r="F70" s="2561"/>
      <c r="L70" s="1801">
        <f>IF(C70="",0,1)</f>
        <v>0</v>
      </c>
    </row>
    <row r="71" spans="3:19">
      <c r="C71" s="2559"/>
      <c r="D71" s="2560"/>
      <c r="E71" s="2560"/>
      <c r="F71" s="2561"/>
      <c r="L71" s="1801">
        <f>IF(C71="",0,1)</f>
        <v>0</v>
      </c>
    </row>
    <row r="72" spans="3:19">
      <c r="C72" s="2559"/>
      <c r="D72" s="2560"/>
      <c r="E72" s="2560"/>
      <c r="F72" s="2561"/>
      <c r="L72" s="1801">
        <f>IF(C72="",0,1)</f>
        <v>0</v>
      </c>
    </row>
    <row r="73" spans="3:19">
      <c r="C73" s="2559"/>
      <c r="D73" s="2560"/>
      <c r="E73" s="2560"/>
      <c r="F73" s="2561"/>
      <c r="L73" s="1801">
        <f>IF(C73="",0,1)</f>
        <v>0</v>
      </c>
    </row>
    <row r="74" spans="3:19" ht="15.75" thickBot="1">
      <c r="C74" s="2562"/>
      <c r="D74" s="2563"/>
      <c r="E74" s="2563"/>
      <c r="F74" s="2564"/>
      <c r="L74" s="1801">
        <f>IF(C74="",0,1)</f>
        <v>0</v>
      </c>
    </row>
    <row r="75" spans="3:19">
      <c r="D75" s="1858"/>
      <c r="L75" s="1801">
        <f>SUM(L70:L74)</f>
        <v>0</v>
      </c>
    </row>
    <row r="76" spans="3:19">
      <c r="C76" s="1860"/>
      <c r="D76" s="1027"/>
      <c r="E76" s="1027"/>
    </row>
    <row r="77" spans="3:19" hidden="1">
      <c r="C77" s="1045"/>
      <c r="D77" s="1027"/>
      <c r="E77" s="1027"/>
      <c r="F77" s="1027"/>
      <c r="G77" s="1245"/>
      <c r="Q77" s="2678" t="s">
        <v>601</v>
      </c>
      <c r="R77" s="2679"/>
      <c r="S77" s="2680"/>
    </row>
    <row r="78" spans="3:19" ht="22.5" hidden="1" customHeight="1">
      <c r="C78" s="1746"/>
      <c r="D78" s="1433"/>
      <c r="E78" s="1433"/>
      <c r="F78" s="1433"/>
      <c r="G78" s="1027"/>
      <c r="Q78" s="2681"/>
      <c r="R78" s="2676"/>
      <c r="S78" s="2677"/>
    </row>
    <row r="79" spans="3:19" hidden="1">
      <c r="C79" s="1746"/>
      <c r="D79" s="1433"/>
      <c r="E79" s="1433"/>
      <c r="F79" s="987"/>
      <c r="G79" s="1245"/>
      <c r="Q79" s="1861"/>
      <c r="R79" s="1862"/>
      <c r="S79" s="1863"/>
    </row>
    <row r="80" spans="3:19" hidden="1">
      <c r="C80" s="918"/>
      <c r="D80" s="1027"/>
      <c r="E80" s="1027"/>
      <c r="F80" s="1027"/>
      <c r="G80" s="1245"/>
      <c r="Q80" s="1864" t="s">
        <v>602</v>
      </c>
      <c r="R80" s="1495" t="s">
        <v>603</v>
      </c>
      <c r="S80" s="1587" t="s">
        <v>604</v>
      </c>
    </row>
    <row r="81" spans="3:20" hidden="1">
      <c r="C81" s="1045"/>
      <c r="D81" s="1027"/>
      <c r="E81" s="1027"/>
      <c r="F81" s="1027"/>
      <c r="G81" s="1245"/>
      <c r="Q81" s="1865">
        <f>0.02</f>
        <v>0.02</v>
      </c>
      <c r="R81" s="1047">
        <f>Q81/0.00401574</f>
        <v>4.9804021176669799</v>
      </c>
      <c r="S81" s="1048">
        <f>Q81*25.4</f>
        <v>0.50800000000000001</v>
      </c>
    </row>
    <row r="82" spans="3:20" hidden="1">
      <c r="C82" s="1045"/>
      <c r="D82" s="1027"/>
      <c r="E82" s="1027"/>
      <c r="F82" s="1027"/>
      <c r="G82" s="1245"/>
      <c r="Q82" s="2675"/>
      <c r="R82" s="2676"/>
      <c r="S82" s="2677"/>
    </row>
    <row r="83" spans="3:20" hidden="1">
      <c r="C83" s="1045"/>
      <c r="D83" s="1027"/>
      <c r="E83" s="1027"/>
      <c r="F83" s="1027"/>
      <c r="G83" s="1245"/>
      <c r="Q83" s="1866"/>
      <c r="R83" s="1862"/>
      <c r="S83" s="1863"/>
    </row>
    <row r="84" spans="3:20" hidden="1">
      <c r="C84" s="1045"/>
      <c r="D84" s="1027"/>
      <c r="E84" s="1027"/>
      <c r="F84" s="1027"/>
      <c r="G84" s="1245"/>
      <c r="Q84" s="1864" t="s">
        <v>605</v>
      </c>
      <c r="R84" s="1495" t="s">
        <v>603</v>
      </c>
      <c r="S84" s="1587" t="s">
        <v>606</v>
      </c>
    </row>
    <row r="85" spans="3:20" hidden="1">
      <c r="C85" s="1045"/>
      <c r="D85" s="1027"/>
      <c r="E85" s="1027"/>
      <c r="F85" s="1049"/>
      <c r="G85" s="1245"/>
      <c r="Q85" s="1864">
        <v>0.51</v>
      </c>
      <c r="R85" s="1047">
        <f>Q85/0.102</f>
        <v>5</v>
      </c>
      <c r="S85" s="1048">
        <f>Q85/25.4</f>
        <v>2.0078740157480318E-2</v>
      </c>
    </row>
    <row r="86" spans="3:20" hidden="1">
      <c r="C86" s="1045"/>
      <c r="D86" s="1027"/>
      <c r="E86" s="1027"/>
      <c r="F86" s="1049"/>
      <c r="G86" s="1245"/>
      <c r="Q86" s="1866"/>
      <c r="R86" s="1050"/>
      <c r="S86" s="1051"/>
    </row>
    <row r="87" spans="3:20" hidden="1">
      <c r="C87" s="1635"/>
      <c r="D87" s="1027"/>
      <c r="E87" s="1027"/>
      <c r="F87" s="1027"/>
      <c r="G87" s="1027"/>
      <c r="Q87" s="1866"/>
      <c r="R87" s="1050"/>
      <c r="S87" s="1051"/>
    </row>
    <row r="88" spans="3:20" hidden="1">
      <c r="C88" s="1045"/>
      <c r="D88" s="1027"/>
      <c r="E88" s="1027"/>
      <c r="F88" s="1052"/>
      <c r="G88" s="1245"/>
      <c r="Q88" s="1866"/>
      <c r="R88" s="1862"/>
      <c r="S88" s="1863"/>
    </row>
    <row r="89" spans="3:20" hidden="1"/>
    <row r="90" spans="3:20" ht="15.75" hidden="1" thickBot="1"/>
    <row r="91" spans="3:20" hidden="1">
      <c r="C91" s="1867" t="s">
        <v>599</v>
      </c>
      <c r="D91" s="1868"/>
      <c r="E91" s="1868"/>
      <c r="F91" s="1869"/>
      <c r="G91" s="1046"/>
    </row>
    <row r="92" spans="3:20" hidden="1">
      <c r="C92" s="1084" t="s">
        <v>1448</v>
      </c>
      <c r="D92" s="1573"/>
      <c r="E92" s="1071" t="e">
        <f>E103</f>
        <v>#DIV/0!</v>
      </c>
      <c r="F92" s="1072" t="e">
        <f>F103</f>
        <v>#DIV/0!</v>
      </c>
      <c r="G92" s="1870"/>
    </row>
    <row r="93" spans="3:20" ht="15.75" hidden="1" thickBot="1">
      <c r="C93" s="1871" t="s">
        <v>600</v>
      </c>
      <c r="D93" s="1579"/>
      <c r="E93" s="1073" t="e">
        <f>E92*3.41355*10^-5</f>
        <v>#DIV/0!</v>
      </c>
      <c r="F93" s="1074" t="e">
        <f>F92*3.41355*10^-5</f>
        <v>#DIV/0!</v>
      </c>
    </row>
    <row r="94" spans="3:20" ht="15.75" hidden="1" thickBot="1">
      <c r="F94" s="1436"/>
    </row>
    <row r="95" spans="3:20" ht="13.5" hidden="1" customHeight="1" thickBot="1">
      <c r="C95" s="1872" t="s">
        <v>614</v>
      </c>
      <c r="D95" s="1873"/>
      <c r="E95" s="1873"/>
      <c r="F95" s="1869"/>
    </row>
    <row r="96" spans="3:20" hidden="1">
      <c r="C96" s="1084" t="s">
        <v>1610</v>
      </c>
      <c r="D96" s="1573"/>
      <c r="E96" s="1874">
        <f>E46</f>
        <v>0</v>
      </c>
      <c r="F96" s="1875">
        <f>F46</f>
        <v>0</v>
      </c>
      <c r="L96" s="1876"/>
      <c r="M96" s="1877" t="s">
        <v>1399</v>
      </c>
      <c r="N96" s="1878"/>
      <c r="O96" s="1878"/>
      <c r="P96" s="1878"/>
      <c r="Q96" s="1879" t="s">
        <v>939</v>
      </c>
      <c r="R96" s="1879" t="s">
        <v>1041</v>
      </c>
      <c r="S96" s="1879" t="s">
        <v>1040</v>
      </c>
      <c r="T96" s="1880" t="s">
        <v>1039</v>
      </c>
    </row>
    <row r="97" spans="3:20" ht="15.75" hidden="1" thickBot="1">
      <c r="C97" s="1084" t="s">
        <v>607</v>
      </c>
      <c r="D97" s="1573"/>
      <c r="E97" s="1881">
        <f>E47</f>
        <v>0</v>
      </c>
      <c r="F97" s="1882">
        <f>F47</f>
        <v>0</v>
      </c>
      <c r="M97" s="1883" t="s">
        <v>1453</v>
      </c>
      <c r="N97" s="1884" t="s">
        <v>1400</v>
      </c>
      <c r="O97" s="1885"/>
      <c r="P97" s="1885"/>
      <c r="Q97" s="1884">
        <f>0.2371</f>
        <v>0.23710000000000001</v>
      </c>
      <c r="R97" s="1886">
        <f>(-0.000009)</f>
        <v>-9.0000000000000002E-6</v>
      </c>
      <c r="S97" s="1884">
        <f>7*10^(-8)</f>
        <v>7.0000000000000005E-8</v>
      </c>
      <c r="T97" s="1887">
        <v>-3E-11</v>
      </c>
    </row>
    <row r="98" spans="3:20" ht="15.75" hidden="1" thickBot="1">
      <c r="C98" s="1084" t="s">
        <v>615</v>
      </c>
      <c r="D98" s="1573"/>
      <c r="E98" s="1071" t="e">
        <f>1655*0.8052*(E97*144)*(E96/(E49))^0.5</f>
        <v>#DIV/0!</v>
      </c>
      <c r="F98" s="1072" t="e">
        <f>1655*0.8052*(F97*144)*(F96/(F49))^0.5</f>
        <v>#DIV/0!</v>
      </c>
    </row>
    <row r="99" spans="3:20" hidden="1">
      <c r="C99" s="1084" t="s">
        <v>608</v>
      </c>
      <c r="D99" s="1573"/>
      <c r="E99" s="1071">
        <f>E48</f>
        <v>0</v>
      </c>
      <c r="F99" s="1072">
        <f>F48</f>
        <v>0</v>
      </c>
      <c r="M99" s="1888" t="s">
        <v>1171</v>
      </c>
      <c r="N99" s="1889"/>
      <c r="O99" s="1889"/>
      <c r="P99" s="1889"/>
      <c r="Q99" s="1890" t="s">
        <v>1454</v>
      </c>
      <c r="R99" s="1891" t="s">
        <v>1456</v>
      </c>
    </row>
    <row r="100" spans="3:20" ht="15.75" hidden="1" thickBot="1">
      <c r="C100" s="1084" t="s">
        <v>609</v>
      </c>
      <c r="D100" s="1573"/>
      <c r="E100" s="1071" t="e">
        <f>E98*(520/(E99+460))^0.5</f>
        <v>#DIV/0!</v>
      </c>
      <c r="F100" s="1072" t="e">
        <f>F98*(520/(F99+460))^0.5</f>
        <v>#DIV/0!</v>
      </c>
      <c r="M100" s="1892" t="s">
        <v>1452</v>
      </c>
      <c r="N100" s="1893"/>
      <c r="O100" s="1893"/>
      <c r="P100" s="1893">
        <f>(E99+E102)/2</f>
        <v>0</v>
      </c>
      <c r="Q100" s="1894">
        <f>Q97+R97*P100+S97*P100^2+T97*P100^3</f>
        <v>0.23710000000000001</v>
      </c>
      <c r="R100" s="1895">
        <f>Q100*0.0793</f>
        <v>1.8802030000000001E-2</v>
      </c>
    </row>
    <row r="101" spans="3:20" ht="15.75" hidden="1" thickBot="1">
      <c r="C101" s="1084" t="s">
        <v>610</v>
      </c>
      <c r="D101" s="1573"/>
      <c r="E101" s="1071" t="e">
        <f>E100/35.31</f>
        <v>#DIV/0!</v>
      </c>
      <c r="F101" s="1072" t="e">
        <f>F100/35.31</f>
        <v>#DIV/0!</v>
      </c>
    </row>
    <row r="102" spans="3:20" hidden="1">
      <c r="C102" s="1084" t="s">
        <v>611</v>
      </c>
      <c r="D102" s="1573"/>
      <c r="E102" s="1071">
        <f>E50</f>
        <v>0</v>
      </c>
      <c r="F102" s="1072">
        <f>F50</f>
        <v>0</v>
      </c>
      <c r="M102" s="1888" t="s">
        <v>1115</v>
      </c>
      <c r="N102" s="1889"/>
      <c r="O102" s="1889"/>
      <c r="P102" s="1889"/>
      <c r="Q102" s="1890" t="s">
        <v>1455</v>
      </c>
      <c r="R102" s="1890" t="s">
        <v>1456</v>
      </c>
    </row>
    <row r="103" spans="3:20" ht="15.75" hidden="1" thickBot="1">
      <c r="C103" s="1084" t="s">
        <v>612</v>
      </c>
      <c r="D103" s="1573"/>
      <c r="E103" s="1071" t="e">
        <f>R100*E100*(E99-E102)</f>
        <v>#DIV/0!</v>
      </c>
      <c r="F103" s="1072" t="e">
        <f>R103*F100*(F99-F102)</f>
        <v>#DIV/0!</v>
      </c>
      <c r="M103" s="1892" t="s">
        <v>1452</v>
      </c>
      <c r="N103" s="1893"/>
      <c r="O103" s="1893"/>
      <c r="P103" s="1893">
        <f>(F99+F102)/2</f>
        <v>0</v>
      </c>
      <c r="Q103" s="1894">
        <f>Q97+R97*P103+S97*P103^2+T97*P103^3</f>
        <v>0.23710000000000001</v>
      </c>
      <c r="R103" s="1896">
        <f>Q103*0.0793</f>
        <v>1.8802030000000001E-2</v>
      </c>
    </row>
    <row r="104" spans="3:20" hidden="1">
      <c r="C104" s="1084" t="s">
        <v>613</v>
      </c>
      <c r="D104" s="1573"/>
      <c r="E104" s="1071">
        <v>8000</v>
      </c>
      <c r="F104" s="1072">
        <v>8000</v>
      </c>
    </row>
    <row r="105" spans="3:20" ht="15.75" hidden="1" thickBot="1">
      <c r="C105" s="1897" t="s">
        <v>1447</v>
      </c>
      <c r="D105" s="1898"/>
      <c r="E105" s="1075" t="e">
        <f>E103*E104/10^6</f>
        <v>#DIV/0!</v>
      </c>
      <c r="F105" s="1076" t="e">
        <f>F103*F104/10^6</f>
        <v>#DIV/0!</v>
      </c>
      <c r="M105" s="1801" t="s">
        <v>1457</v>
      </c>
      <c r="N105" s="1801" t="s">
        <v>1458</v>
      </c>
    </row>
    <row r="106" spans="3:20" hidden="1">
      <c r="M106" s="1046" t="s">
        <v>1459</v>
      </c>
      <c r="N106" s="1801" t="s">
        <v>1460</v>
      </c>
    </row>
    <row r="107" spans="3:20" hidden="1">
      <c r="C107" s="1429" t="s">
        <v>616</v>
      </c>
    </row>
    <row r="108" spans="3:20" hidden="1">
      <c r="C108" s="1429" t="s">
        <v>617</v>
      </c>
    </row>
    <row r="109" spans="3:20" hidden="1">
      <c r="C109" s="1045" t="s">
        <v>618</v>
      </c>
    </row>
    <row r="110" spans="3:20" hidden="1">
      <c r="C110" s="1429" t="s">
        <v>619</v>
      </c>
    </row>
    <row r="111" spans="3:20" hidden="1"/>
    <row r="112" spans="3:20" hidden="1"/>
  </sheetData>
  <sheetProtection password="B61E" sheet="1" objects="1" scenarios="1"/>
  <mergeCells count="40">
    <mergeCell ref="C2:E2"/>
    <mergeCell ref="C3:E3"/>
    <mergeCell ref="C4:E4"/>
    <mergeCell ref="D9:E9"/>
    <mergeCell ref="E54:E55"/>
    <mergeCell ref="E11:E12"/>
    <mergeCell ref="F11:F12"/>
    <mergeCell ref="C8:F8"/>
    <mergeCell ref="E26:E27"/>
    <mergeCell ref="F26:F27"/>
    <mergeCell ref="C10:F10"/>
    <mergeCell ref="C11:C12"/>
    <mergeCell ref="D11:D12"/>
    <mergeCell ref="C26:C27"/>
    <mergeCell ref="D26:D27"/>
    <mergeCell ref="Q82:S82"/>
    <mergeCell ref="Q77:S77"/>
    <mergeCell ref="Q78:S78"/>
    <mergeCell ref="C68:F68"/>
    <mergeCell ref="C69:F69"/>
    <mergeCell ref="C73:F73"/>
    <mergeCell ref="C74:F74"/>
    <mergeCell ref="C70:F70"/>
    <mergeCell ref="C71:F71"/>
    <mergeCell ref="C72:F72"/>
    <mergeCell ref="A56:A58"/>
    <mergeCell ref="C63:F63"/>
    <mergeCell ref="C65:F65"/>
    <mergeCell ref="C64:F64"/>
    <mergeCell ref="G15:H16"/>
    <mergeCell ref="G30:H31"/>
    <mergeCell ref="H45:J45"/>
    <mergeCell ref="H50:J50"/>
    <mergeCell ref="C44:D44"/>
    <mergeCell ref="E44:F44"/>
    <mergeCell ref="C41:F41"/>
    <mergeCell ref="C45:D45"/>
    <mergeCell ref="F54:F55"/>
    <mergeCell ref="C54:C55"/>
    <mergeCell ref="D54:D55"/>
  </mergeCells>
  <phoneticPr fontId="0" type="noConversion"/>
  <conditionalFormatting sqref="E16:F16">
    <cfRule type="cellIs" dxfId="8" priority="3" stopIfTrue="1" operator="greaterThan">
      <formula>1</formula>
    </cfRule>
  </conditionalFormatting>
  <conditionalFormatting sqref="E31:F31">
    <cfRule type="cellIs" dxfId="7" priority="2" stopIfTrue="1" operator="greaterThan">
      <formula>1</formula>
    </cfRule>
  </conditionalFormatting>
  <conditionalFormatting sqref="C56:C58">
    <cfRule type="notContainsBlanks" dxfId="6" priority="1">
      <formula>LEN(TRIM(C56))&gt;0</formula>
    </cfRule>
  </conditionalFormatting>
  <dataValidations count="1">
    <dataValidation type="list" allowBlank="1" showInputMessage="1" showErrorMessage="1" sqref="G56 E44:F44">
      <formula1>$P$57:$P$58</formula1>
    </dataValidation>
  </dataValidations>
  <pageMargins left="0.75" right="0.75" top="1" bottom="1" header="0.5" footer="0.5"/>
  <pageSetup scale="67" orientation="portrait" r:id="rId1"/>
  <headerFooter alignWithMargins="0">
    <oddHeader>&amp;LOther Heat Losses</oddHeader>
    <oddFooter>&amp;LUS Department of Energy&amp;C&amp;P&amp;R&amp;D</oddFooter>
  </headerFooter>
  <rowBreaks count="1" manualBreakCount="1">
    <brk id="42" min="2" max="5" man="1"/>
  </rowBreaks>
  <colBreaks count="1" manualBreakCount="1">
    <brk id="10" max="1048575" man="1"/>
  </colBreaks>
  <drawing r:id="rId2"/>
  <legacyDrawing r:id="rId3"/>
  <controls>
    <mc:AlternateContent xmlns:mc="http://schemas.openxmlformats.org/markup-compatibility/2006">
      <mc:Choice Requires="x14">
        <control shapeId="11273" r:id="rId4" name="CommandButtonCopy">
          <controlPr defaultSize="0" print="0" autoLine="0" r:id="rId5">
            <anchor moveWithCells="1" sizeWithCells="1">
              <from>
                <xdr:col>7</xdr:col>
                <xdr:colOff>704850</xdr:colOff>
                <xdr:row>8</xdr:row>
                <xdr:rowOff>123825</xdr:rowOff>
              </from>
              <to>
                <xdr:col>8</xdr:col>
                <xdr:colOff>561975</xdr:colOff>
                <xdr:row>10</xdr:row>
                <xdr:rowOff>85725</xdr:rowOff>
              </to>
            </anchor>
          </controlPr>
        </control>
      </mc:Choice>
      <mc:Fallback>
        <control shapeId="11273" r:id="rId4" name="CommandButtonCopy"/>
      </mc:Fallback>
    </mc:AlternateContent>
    <mc:AlternateContent xmlns:mc="http://schemas.openxmlformats.org/markup-compatibility/2006">
      <mc:Choice Requires="x14">
        <control shapeId="11274" r:id="rId6" name="CommandButtonOtherData">
          <controlPr defaultSize="0" print="0" autoLine="0" r:id="rId7">
            <anchor moveWithCells="1" sizeWithCells="1">
              <from>
                <xdr:col>7</xdr:col>
                <xdr:colOff>723900</xdr:colOff>
                <xdr:row>11</xdr:row>
                <xdr:rowOff>142875</xdr:rowOff>
              </from>
              <to>
                <xdr:col>8</xdr:col>
                <xdr:colOff>571500</xdr:colOff>
                <xdr:row>13</xdr:row>
                <xdr:rowOff>171450</xdr:rowOff>
              </to>
            </anchor>
          </controlPr>
        </control>
      </mc:Choice>
      <mc:Fallback>
        <control shapeId="11274" r:id="rId6" name="CommandButtonOtherData"/>
      </mc:Fallback>
    </mc:AlternateContent>
    <mc:AlternateContent xmlns:mc="http://schemas.openxmlformats.org/markup-compatibility/2006">
      <mc:Choice Requires="x14">
        <control shapeId="5239549" r:id="rId8" name="CommandButtonHelp">
          <controlPr defaultSize="0" autoLine="0" r:id="rId9">
            <anchor moveWithCells="1" sizeWithCells="1">
              <from>
                <xdr:col>0</xdr:col>
                <xdr:colOff>104775</xdr:colOff>
                <xdr:row>10</xdr:row>
                <xdr:rowOff>57150</xdr:rowOff>
              </from>
              <to>
                <xdr:col>1</xdr:col>
                <xdr:colOff>209550</xdr:colOff>
                <xdr:row>17</xdr:row>
                <xdr:rowOff>142875</xdr:rowOff>
              </to>
            </anchor>
          </controlPr>
        </control>
      </mc:Choice>
      <mc:Fallback>
        <control shapeId="5239549" r:id="rId8" name="CommandButtonHelp"/>
      </mc:Fallback>
    </mc:AlternateContent>
    <mc:AlternateContent xmlns:mc="http://schemas.openxmlformats.org/markup-compatibility/2006">
      <mc:Choice Requires="x14">
        <control shapeId="6740223" r:id="rId10" name="CommandButton1">
          <controlPr defaultSize="0" autoLine="0" r:id="rId11">
            <anchor moveWithCells="1" sizeWithCells="1">
              <from>
                <xdr:col>7</xdr:col>
                <xdr:colOff>733425</xdr:colOff>
                <xdr:row>15</xdr:row>
                <xdr:rowOff>38100</xdr:rowOff>
              </from>
              <to>
                <xdr:col>8</xdr:col>
                <xdr:colOff>581025</xdr:colOff>
                <xdr:row>17</xdr:row>
                <xdr:rowOff>76200</xdr:rowOff>
              </to>
            </anchor>
          </controlPr>
        </control>
      </mc:Choice>
      <mc:Fallback>
        <control shapeId="6740223" r:id="rId10"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U137"/>
  <sheetViews>
    <sheetView workbookViewId="0">
      <selection activeCell="I7" sqref="I7"/>
    </sheetView>
  </sheetViews>
  <sheetFormatPr defaultColWidth="0" defaultRowHeight="14.25" zeroHeight="1"/>
  <cols>
    <col min="1" max="1" width="11.5703125" style="1504" customWidth="1"/>
    <col min="2" max="2" width="50.7109375" style="1503" customWidth="1"/>
    <col min="3" max="3" width="15.140625" style="1504" customWidth="1"/>
    <col min="4" max="5" width="19.7109375" style="1504" customWidth="1"/>
    <col min="6" max="7" width="9.140625" style="1504" customWidth="1"/>
    <col min="8" max="8" width="27.140625" style="1504" customWidth="1"/>
    <col min="9" max="10" width="9.140625" style="1504" hidden="1" customWidth="1"/>
    <col min="11" max="11" width="22" style="1504" hidden="1" customWidth="1"/>
    <col min="12" max="12" width="14" style="1504" hidden="1" customWidth="1"/>
    <col min="13" max="13" width="17" style="1504" hidden="1" customWidth="1"/>
    <col min="14" max="14" width="12.42578125" style="1504" hidden="1" customWidth="1"/>
    <col min="15" max="20" width="9.140625" style="1504" hidden="1" customWidth="1"/>
    <col min="21" max="21" width="4.140625" style="1504" hidden="1" customWidth="1"/>
    <col min="22" max="16384" width="9.140625" style="1504" hidden="1"/>
  </cols>
  <sheetData>
    <row r="1" spans="2:18" ht="20.100000000000001" customHeight="1" thickBot="1">
      <c r="C1" s="1508"/>
    </row>
    <row r="2" spans="2:18" ht="20.100000000000001" customHeight="1" thickBot="1">
      <c r="B2" s="2713" t="s">
        <v>1087</v>
      </c>
      <c r="C2" s="2714"/>
      <c r="D2" s="2714"/>
      <c r="E2" s="2715"/>
    </row>
    <row r="3" spans="2:18" ht="20.100000000000001" customHeight="1">
      <c r="B3" s="1899"/>
      <c r="C3" s="1900"/>
      <c r="D3" s="1901" t="s">
        <v>1114</v>
      </c>
      <c r="E3" s="1902" t="s">
        <v>1119</v>
      </c>
      <c r="F3" s="1903"/>
      <c r="G3" s="1903"/>
      <c r="H3" s="1903"/>
      <c r="I3" s="1903"/>
      <c r="J3" s="1903"/>
    </row>
    <row r="4" spans="2:18" ht="27.75" customHeight="1">
      <c r="B4" s="1904"/>
      <c r="C4" s="1905"/>
      <c r="D4" s="2716" t="s">
        <v>1323</v>
      </c>
      <c r="E4" s="2717"/>
      <c r="F4" s="1903"/>
      <c r="J4" s="1903"/>
      <c r="L4" s="2718" t="s">
        <v>1088</v>
      </c>
      <c r="M4" s="2718"/>
      <c r="O4" s="1903" t="s">
        <v>1185</v>
      </c>
      <c r="P4" s="1903" t="s">
        <v>1184</v>
      </c>
      <c r="Q4" s="1903" t="s">
        <v>1186</v>
      </c>
      <c r="R4" s="1903" t="s">
        <v>1187</v>
      </c>
    </row>
    <row r="5" spans="2:18" ht="20.100000000000001" customHeight="1">
      <c r="B5" s="1904" t="s">
        <v>758</v>
      </c>
      <c r="C5" s="1906" t="s">
        <v>1175</v>
      </c>
      <c r="D5" s="2142"/>
      <c r="E5" s="2143"/>
      <c r="F5" s="1903"/>
      <c r="I5" s="1027" t="s">
        <v>8</v>
      </c>
      <c r="J5" s="1903"/>
      <c r="L5" s="1903">
        <f>D5</f>
        <v>0</v>
      </c>
      <c r="M5" s="1903">
        <f>E5</f>
        <v>0</v>
      </c>
      <c r="O5" s="1907">
        <f>95-0.025*L5</f>
        <v>95</v>
      </c>
      <c r="P5" s="1907">
        <f>-(-1.078914+R5*L5)*(L26/100)</f>
        <v>0</v>
      </c>
      <c r="Q5" s="1907">
        <f>(-1.078914+R5*L9)*(1+L26/100)</f>
        <v>-1.0789139999999999</v>
      </c>
      <c r="R5" s="1504">
        <f>0.0178285179931519 + 0.00000255632*L9</f>
        <v>1.78285179931519E-2</v>
      </c>
    </row>
    <row r="6" spans="2:18" ht="20.100000000000001" customHeight="1">
      <c r="B6" s="1904" t="s">
        <v>522</v>
      </c>
      <c r="C6" s="1908"/>
      <c r="D6" s="1089" t="s">
        <v>1629</v>
      </c>
      <c r="E6" s="1090" t="str">
        <f>D6</f>
        <v>% XS Air</v>
      </c>
      <c r="F6" s="1903"/>
      <c r="I6" s="1027"/>
      <c r="J6" s="1903"/>
      <c r="L6" s="1903"/>
      <c r="M6" s="1903"/>
      <c r="P6" s="1909"/>
      <c r="Q6" s="1909"/>
    </row>
    <row r="7" spans="2:18" ht="20.100000000000001" customHeight="1">
      <c r="B7" s="1904" t="s">
        <v>995</v>
      </c>
      <c r="C7" s="1906" t="s">
        <v>1116</v>
      </c>
      <c r="D7" s="1091"/>
      <c r="E7" s="1092"/>
      <c r="F7" s="1903"/>
      <c r="I7" s="1455" t="s">
        <v>6</v>
      </c>
      <c r="J7" s="1903"/>
      <c r="L7" s="1903">
        <f>D7</f>
        <v>0</v>
      </c>
      <c r="M7" s="1903">
        <f>E7</f>
        <v>0</v>
      </c>
      <c r="O7" s="1504">
        <f>95-0.025*M5</f>
        <v>95</v>
      </c>
      <c r="P7" s="1909">
        <f>-(-1.078914+R7*M5)*(M26/100)</f>
        <v>0</v>
      </c>
      <c r="Q7" s="1909">
        <f>(-1.078914+R7*M9)*(1+M26/100)</f>
        <v>-1.0789139999999999</v>
      </c>
      <c r="R7" s="1504">
        <f>0.0178285179931519 + 0.00000255632*M9</f>
        <v>1.78285179931519E-2</v>
      </c>
    </row>
    <row r="8" spans="2:18" ht="20.100000000000001" customHeight="1">
      <c r="B8" s="1904" t="s">
        <v>527</v>
      </c>
      <c r="C8" s="1906" t="s">
        <v>1116</v>
      </c>
      <c r="D8" s="1093"/>
      <c r="E8" s="1094"/>
      <c r="F8" s="1903"/>
      <c r="I8" s="1428" t="s">
        <v>776</v>
      </c>
      <c r="J8" s="1903"/>
      <c r="L8" s="1910">
        <f>100*8.52381*(L7/100)/(2-9.52381*(L7/100))</f>
        <v>0</v>
      </c>
      <c r="M8" s="1910">
        <f>100*8.52381*(M7/100)/(2-9.52381*(M7/100))</f>
        <v>0</v>
      </c>
    </row>
    <row r="9" spans="2:18" ht="20.100000000000001" customHeight="1">
      <c r="B9" s="1904" t="s">
        <v>757</v>
      </c>
      <c r="C9" s="1906" t="s">
        <v>1175</v>
      </c>
      <c r="D9" s="2142"/>
      <c r="E9" s="2143"/>
      <c r="F9" s="1903"/>
      <c r="I9" s="1428" t="s">
        <v>774</v>
      </c>
      <c r="J9" s="1903"/>
      <c r="L9" s="1911">
        <f>D9</f>
        <v>0</v>
      </c>
      <c r="M9" s="1911">
        <f>E9</f>
        <v>0</v>
      </c>
    </row>
    <row r="10" spans="2:18" ht="20.100000000000001" customHeight="1">
      <c r="B10" s="1904" t="str">
        <f>IF(D6="% XS Air","Calculated % O2 in Flue Gas","Calculated % XS Air")</f>
        <v>Calculated % O2 in Flue Gas</v>
      </c>
      <c r="C10" s="1906" t="s">
        <v>1116</v>
      </c>
      <c r="D10" s="1912">
        <f>IFERROR(IF(D6="% XS Air",L20,L24),0)</f>
        <v>0</v>
      </c>
      <c r="E10" s="1913">
        <f>IFERROR(IF(E6="% XS Air",M20,M24),0)</f>
        <v>0</v>
      </c>
      <c r="F10" s="1903"/>
      <c r="I10" s="1428"/>
      <c r="J10" s="1903"/>
      <c r="L10" s="1903"/>
      <c r="M10" s="1903"/>
    </row>
    <row r="11" spans="2:18" ht="20.100000000000001" customHeight="1">
      <c r="B11" s="1904" t="s">
        <v>1000</v>
      </c>
      <c r="C11" s="1906" t="s">
        <v>1116</v>
      </c>
      <c r="D11" s="1912">
        <f>IF(OR((L11&lt;0),(L11&gt;100)),NA(),L11)</f>
        <v>93.921086000000003</v>
      </c>
      <c r="E11" s="1913">
        <f>IF(OR((M11&lt;0),(M11&gt;100)),NA(),M11)</f>
        <v>93.921086000000003</v>
      </c>
      <c r="F11" s="1914"/>
      <c r="G11" s="1915"/>
      <c r="H11" s="1915"/>
      <c r="I11" s="1903"/>
      <c r="J11" s="1903"/>
      <c r="L11" s="1916">
        <f>SUM(O5:Q5)</f>
        <v>93.921086000000003</v>
      </c>
      <c r="M11" s="1916">
        <f>SUM(O7:Q7)</f>
        <v>93.921086000000003</v>
      </c>
    </row>
    <row r="12" spans="2:18" ht="20.100000000000001" customHeight="1">
      <c r="B12" s="1904" t="s">
        <v>521</v>
      </c>
      <c r="C12" s="1906" t="s">
        <v>1116</v>
      </c>
      <c r="D12" s="1912">
        <f>IFERROR(IF(I13 = 0, D60, D94 * 100),"0")</f>
        <v>90.133904135354598</v>
      </c>
      <c r="E12" s="1913">
        <f>IFERROR(IF(I13 = 0, E60, E94 * 100),"0")</f>
        <v>90.133904135354598</v>
      </c>
      <c r="F12" s="2719" t="str">
        <f>IF( OR(D13="User Defined", E13="User Defined"), "   Click button below to calculate user defined available heat", "")</f>
        <v xml:space="preserve">   Click button below to calculate user defined available heat</v>
      </c>
      <c r="G12" s="2720"/>
      <c r="H12" s="2720"/>
      <c r="I12" s="1903"/>
      <c r="J12" s="1903"/>
      <c r="L12" s="1917" t="e">
        <f>IF(D6="% XS Air",L17,D7)</f>
        <v>#DIV/0!</v>
      </c>
      <c r="M12" s="1917" t="e">
        <f>IF(E6="% XS Air",M16,E7)</f>
        <v>#DIV/0!</v>
      </c>
    </row>
    <row r="13" spans="2:18" ht="20.100000000000001" customHeight="1" thickBot="1">
      <c r="B13" s="1918" t="s">
        <v>495</v>
      </c>
      <c r="C13" s="1919"/>
      <c r="D13" s="1095" t="s">
        <v>1637</v>
      </c>
      <c r="E13" s="1096" t="s">
        <v>1632</v>
      </c>
      <c r="F13" s="2719"/>
      <c r="G13" s="2720"/>
      <c r="H13" s="2720"/>
      <c r="I13" s="1903">
        <v>1</v>
      </c>
      <c r="J13" s="1504" t="s">
        <v>749</v>
      </c>
    </row>
    <row r="14" spans="2:18" ht="20.100000000000001" customHeight="1" thickBot="1">
      <c r="B14" s="1920" t="s">
        <v>496</v>
      </c>
      <c r="C14" s="1921" t="s">
        <v>1116</v>
      </c>
      <c r="D14" s="1978">
        <f>IF(D13="Calculated",D11,D12)</f>
        <v>90.133904135354598</v>
      </c>
      <c r="E14" s="1979">
        <f>IF(E13="Calculated",E11,E12)</f>
        <v>93.921086000000003</v>
      </c>
      <c r="H14" s="1922"/>
      <c r="I14" s="1922"/>
      <c r="L14" s="1923">
        <f>D8</f>
        <v>0</v>
      </c>
      <c r="M14" s="1923">
        <f>E8</f>
        <v>0</v>
      </c>
      <c r="N14" s="1924" t="s">
        <v>525</v>
      </c>
    </row>
    <row r="15" spans="2:18" ht="20.100000000000001" customHeight="1" thickBot="1">
      <c r="B15" s="1925"/>
      <c r="C15" s="1926"/>
      <c r="D15" s="1927"/>
      <c r="E15" s="1927"/>
      <c r="G15" s="1903"/>
      <c r="H15" s="1903"/>
      <c r="J15" s="1903"/>
      <c r="L15" s="1504">
        <f>L14/100</f>
        <v>0</v>
      </c>
      <c r="M15" s="1504">
        <f>M14/100</f>
        <v>0</v>
      </c>
      <c r="N15" s="1909"/>
    </row>
    <row r="16" spans="2:18" ht="20.100000000000001" customHeight="1">
      <c r="B16" s="2576" t="s">
        <v>710</v>
      </c>
      <c r="C16" s="2577"/>
      <c r="D16" s="2577"/>
      <c r="E16" s="2578"/>
      <c r="F16" s="1903"/>
      <c r="G16" s="1903"/>
      <c r="H16" s="1903"/>
      <c r="I16" s="1903"/>
      <c r="J16" s="1903"/>
      <c r="L16" s="1923" t="e">
        <f>8.52381/L15</f>
        <v>#DIV/0!</v>
      </c>
      <c r="M16" s="1923" t="e">
        <f>8.52381/M15</f>
        <v>#DIV/0!</v>
      </c>
    </row>
    <row r="17" spans="2:14" ht="20.100000000000001" customHeight="1">
      <c r="B17" s="2575" t="s">
        <v>709</v>
      </c>
      <c r="C17" s="2534"/>
      <c r="D17" s="2534"/>
      <c r="E17" s="2535"/>
      <c r="F17" s="1903"/>
      <c r="G17" s="1903"/>
      <c r="H17" s="1903"/>
      <c r="I17" s="1903"/>
      <c r="J17" s="1903"/>
      <c r="L17" s="1928" t="e">
        <f>L16+9.52381</f>
        <v>#DIV/0!</v>
      </c>
      <c r="M17" s="1928" t="e">
        <f>M16+9.52381</f>
        <v>#DIV/0!</v>
      </c>
    </row>
    <row r="18" spans="2:14" ht="20.100000000000001" customHeight="1">
      <c r="B18" s="2559"/>
      <c r="C18" s="2560"/>
      <c r="D18" s="2560"/>
      <c r="E18" s="2561"/>
      <c r="F18" s="1903"/>
      <c r="G18" s="1903"/>
      <c r="H18" s="1903"/>
      <c r="I18" s="1428">
        <f>IF(B18="",0,1)</f>
        <v>0</v>
      </c>
      <c r="J18" s="1903"/>
      <c r="L18" s="1504" t="e">
        <f>1/L17</f>
        <v>#DIV/0!</v>
      </c>
      <c r="M18" s="1504" t="e">
        <f>1/M17</f>
        <v>#DIV/0!</v>
      </c>
    </row>
    <row r="19" spans="2:14" ht="20.100000000000001" customHeight="1">
      <c r="B19" s="2559"/>
      <c r="C19" s="2560"/>
      <c r="D19" s="2560"/>
      <c r="E19" s="2561"/>
      <c r="G19" s="1903"/>
      <c r="H19" s="1903"/>
      <c r="I19" s="1428">
        <f>IF(B19="",0,1)</f>
        <v>0</v>
      </c>
      <c r="J19" s="1903"/>
      <c r="L19" s="1504" t="e">
        <f>L18*2</f>
        <v>#DIV/0!</v>
      </c>
      <c r="M19" s="1504" t="e">
        <f>M18*2</f>
        <v>#DIV/0!</v>
      </c>
    </row>
    <row r="20" spans="2:14" ht="20.100000000000001" customHeight="1">
      <c r="B20" s="2559"/>
      <c r="C20" s="2560"/>
      <c r="D20" s="2560"/>
      <c r="E20" s="2561"/>
      <c r="G20" s="1903"/>
      <c r="H20" s="1903"/>
      <c r="I20" s="1428">
        <f>IF(B20="",0,1)</f>
        <v>0</v>
      </c>
      <c r="J20" s="1903"/>
      <c r="L20" s="1504" t="e">
        <f>L19*100</f>
        <v>#DIV/0!</v>
      </c>
      <c r="M20" s="1504" t="e">
        <f>M19*100</f>
        <v>#DIV/0!</v>
      </c>
      <c r="N20" s="1504" t="s">
        <v>526</v>
      </c>
    </row>
    <row r="21" spans="2:14" ht="20.100000000000001" customHeight="1">
      <c r="B21" s="2559"/>
      <c r="C21" s="2560"/>
      <c r="D21" s="2560"/>
      <c r="E21" s="2561"/>
      <c r="F21" s="1903"/>
      <c r="G21" s="1903"/>
      <c r="H21" s="1903"/>
      <c r="I21" s="1428">
        <f>IF(B21="",0,1)</f>
        <v>0</v>
      </c>
      <c r="J21" s="1903"/>
    </row>
    <row r="22" spans="2:14" ht="20.100000000000001" customHeight="1">
      <c r="B22" s="2559"/>
      <c r="C22" s="2560"/>
      <c r="D22" s="2560"/>
      <c r="E22" s="2561"/>
      <c r="I22" s="1428">
        <f>IF(B22="",0,1)</f>
        <v>0</v>
      </c>
      <c r="L22" s="1929">
        <f>D7/100</f>
        <v>0</v>
      </c>
      <c r="M22" s="1929">
        <f>E7/100</f>
        <v>0</v>
      </c>
      <c r="N22" s="1924" t="s">
        <v>523</v>
      </c>
    </row>
    <row r="23" spans="2:14" ht="20.100000000000001" customHeight="1">
      <c r="I23" s="1504">
        <f>SUM(I18:I22)</f>
        <v>0</v>
      </c>
      <c r="L23" s="1929">
        <f>(8.52381*L22)/(2-(9.52381*L22))</f>
        <v>0</v>
      </c>
      <c r="M23" s="1929">
        <f>(8.52381*M22)/(2-9.52381*M22)</f>
        <v>0</v>
      </c>
    </row>
    <row r="24" spans="2:14" ht="20.100000000000001" customHeight="1">
      <c r="L24" s="1930">
        <f>L23*100</f>
        <v>0</v>
      </c>
      <c r="M24" s="1930">
        <f>M23*100</f>
        <v>0</v>
      </c>
      <c r="N24" s="1504" t="s">
        <v>524</v>
      </c>
    </row>
    <row r="25" spans="2:14" ht="20.100000000000001" customHeight="1">
      <c r="L25" s="1931"/>
      <c r="M25" s="1931"/>
    </row>
    <row r="26" spans="2:14" ht="20.100000000000001" customHeight="1" thickBot="1">
      <c r="L26" s="1930">
        <f>IF(D6="% XS Air",D8,L24)</f>
        <v>0</v>
      </c>
      <c r="M26" s="1930">
        <f>IF(E6="% XS Air",E8,M24)</f>
        <v>0</v>
      </c>
    </row>
    <row r="27" spans="2:14" ht="20.100000000000001" customHeight="1" thickBot="1">
      <c r="B27" s="2697" t="s">
        <v>266</v>
      </c>
      <c r="C27" s="2698"/>
      <c r="D27" s="2698"/>
      <c r="E27" s="2699"/>
      <c r="L27" s="1930"/>
      <c r="M27" s="1930"/>
    </row>
    <row r="28" spans="2:14" ht="20.100000000000001" customHeight="1">
      <c r="B28" s="1932"/>
      <c r="C28" s="1933"/>
      <c r="D28" s="1933"/>
      <c r="E28" s="1934"/>
      <c r="L28" s="1930"/>
      <c r="M28" s="1930"/>
    </row>
    <row r="29" spans="2:14" ht="20.100000000000001" customHeight="1">
      <c r="B29" s="1932"/>
      <c r="C29" s="1933"/>
      <c r="D29" s="1933"/>
      <c r="E29" s="1934"/>
      <c r="L29" s="1930"/>
      <c r="M29" s="1930"/>
    </row>
    <row r="30" spans="2:14" ht="20.100000000000001" customHeight="1">
      <c r="B30" s="1932"/>
      <c r="C30" s="1933"/>
      <c r="D30" s="1933"/>
      <c r="E30" s="1934"/>
      <c r="L30" s="1930"/>
      <c r="M30" s="1930"/>
    </row>
    <row r="31" spans="2:14" ht="20.100000000000001" customHeight="1">
      <c r="B31" s="1932"/>
      <c r="C31" s="1933"/>
      <c r="D31" s="1933"/>
      <c r="E31" s="1934"/>
      <c r="L31" s="1930"/>
      <c r="M31" s="1930"/>
    </row>
    <row r="32" spans="2:14" ht="20.100000000000001" customHeight="1" thickBot="1">
      <c r="B32" s="1935"/>
      <c r="C32" s="1936"/>
      <c r="D32" s="1936"/>
      <c r="E32" s="1937"/>
      <c r="L32" s="1930"/>
      <c r="M32" s="1930"/>
    </row>
    <row r="33" spans="2:13" ht="20.100000000000001" customHeight="1" thickBot="1">
      <c r="B33" s="1938"/>
      <c r="C33" s="1939"/>
      <c r="D33" s="1939"/>
      <c r="E33" s="1940"/>
      <c r="L33" s="1930"/>
      <c r="M33" s="1930"/>
    </row>
    <row r="34" spans="2:13" ht="20.100000000000001" hidden="1" customHeight="1">
      <c r="L34" s="1930"/>
      <c r="M34" s="1930"/>
    </row>
    <row r="35" spans="2:13" ht="20.100000000000001" hidden="1" customHeight="1">
      <c r="L35" s="1917"/>
      <c r="M35" s="1917"/>
    </row>
    <row r="36" spans="2:13" ht="20.100000000000001" hidden="1" customHeight="1">
      <c r="B36" s="1941" t="s">
        <v>440</v>
      </c>
      <c r="C36" s="1942"/>
    </row>
    <row r="37" spans="2:13" ht="20.100000000000001" hidden="1" customHeight="1">
      <c r="B37" s="2206" t="s">
        <v>1636</v>
      </c>
      <c r="C37" s="1943"/>
    </row>
    <row r="38" spans="2:13" ht="30" hidden="1" customHeight="1">
      <c r="B38" s="1944" t="s">
        <v>42</v>
      </c>
      <c r="C38" s="1167" t="s">
        <v>43</v>
      </c>
    </row>
    <row r="39" spans="2:13" ht="20.100000000000001" hidden="1" customHeight="1">
      <c r="B39" s="1945" t="s">
        <v>939</v>
      </c>
      <c r="C39" s="1085">
        <v>75</v>
      </c>
    </row>
    <row r="40" spans="2:13" ht="20.100000000000001" hidden="1" customHeight="1">
      <c r="B40" s="1946" t="s">
        <v>45</v>
      </c>
      <c r="C40" s="1086">
        <v>5</v>
      </c>
    </row>
    <row r="41" spans="2:13" ht="20.100000000000001" hidden="1" customHeight="1">
      <c r="B41" s="1946" t="s">
        <v>46</v>
      </c>
      <c r="C41" s="1086">
        <v>0.5</v>
      </c>
    </row>
    <row r="42" spans="2:13" ht="20.100000000000001" hidden="1" customHeight="1">
      <c r="B42" s="1947" t="s">
        <v>47</v>
      </c>
      <c r="C42" s="1087">
        <v>10</v>
      </c>
    </row>
    <row r="43" spans="2:13" ht="20.100000000000001" hidden="1" customHeight="1">
      <c r="B43" s="1947" t="s">
        <v>48</v>
      </c>
      <c r="C43" s="1087">
        <v>8</v>
      </c>
    </row>
    <row r="44" spans="2:13" ht="20.100000000000001" hidden="1" customHeight="1">
      <c r="B44" s="1947" t="s">
        <v>49</v>
      </c>
      <c r="C44" s="1087">
        <v>0</v>
      </c>
    </row>
    <row r="45" spans="2:13" ht="20.100000000000001" hidden="1" customHeight="1">
      <c r="B45" s="1948" t="s">
        <v>50</v>
      </c>
      <c r="C45" s="1088">
        <v>1.5</v>
      </c>
    </row>
    <row r="46" spans="2:13" ht="20.100000000000001" hidden="1" customHeight="1">
      <c r="B46" s="1171" t="s">
        <v>841</v>
      </c>
      <c r="C46" s="1949">
        <f>'Data Input &amp; RESULTS '!C13 * 100</f>
        <v>100</v>
      </c>
    </row>
    <row r="47" spans="2:13" ht="20.100000000000001" hidden="1" customHeight="1" thickBot="1"/>
    <row r="48" spans="2:13" ht="20.100000000000001" hidden="1" customHeight="1" thickBot="1">
      <c r="B48" s="2713" t="s">
        <v>439</v>
      </c>
      <c r="C48" s="2714"/>
      <c r="D48" s="2714"/>
      <c r="E48" s="2715"/>
    </row>
    <row r="49" spans="2:5" ht="20.100000000000001" hidden="1" customHeight="1">
      <c r="B49" s="1950"/>
      <c r="C49" s="1951"/>
      <c r="D49" s="1952" t="s">
        <v>1114</v>
      </c>
      <c r="E49" s="1953" t="s">
        <v>1115</v>
      </c>
    </row>
    <row r="50" spans="2:5" ht="20.100000000000001" hidden="1" customHeight="1">
      <c r="B50" s="1954" t="s">
        <v>432</v>
      </c>
      <c r="C50" s="1908" t="s">
        <v>1116</v>
      </c>
      <c r="D50" s="1955">
        <f>IF(D6="% XS Air", D8, D10)</f>
        <v>0</v>
      </c>
      <c r="E50" s="1956">
        <f>IF(E6="% XS Air", E8, E10)</f>
        <v>0</v>
      </c>
    </row>
    <row r="51" spans="2:5" ht="20.100000000000001" hidden="1" customHeight="1">
      <c r="B51" s="1954" t="s">
        <v>433</v>
      </c>
      <c r="C51" s="1908" t="s">
        <v>1176</v>
      </c>
      <c r="D51" s="2149">
        <f>D9</f>
        <v>0</v>
      </c>
      <c r="E51" s="2150">
        <f>E9</f>
        <v>0</v>
      </c>
    </row>
    <row r="52" spans="2:5" ht="20.100000000000001" hidden="1" customHeight="1">
      <c r="B52" s="1954" t="s">
        <v>434</v>
      </c>
      <c r="C52" s="1908" t="s">
        <v>1176</v>
      </c>
      <c r="D52" s="2149">
        <f>D5</f>
        <v>0</v>
      </c>
      <c r="E52" s="2150">
        <f>E5</f>
        <v>0</v>
      </c>
    </row>
    <row r="53" spans="2:5" ht="20.100000000000001" hidden="1" customHeight="1">
      <c r="B53" s="1954" t="s">
        <v>435</v>
      </c>
      <c r="C53" s="1908" t="s">
        <v>1176</v>
      </c>
      <c r="D53" s="951">
        <v>70</v>
      </c>
      <c r="E53" s="1098">
        <v>70</v>
      </c>
    </row>
    <row r="54" spans="2:5" ht="20.100000000000001" hidden="1" customHeight="1">
      <c r="B54" s="1954" t="s">
        <v>1611</v>
      </c>
      <c r="C54" s="1908" t="s">
        <v>1116</v>
      </c>
      <c r="D54" s="1017">
        <v>1</v>
      </c>
      <c r="E54" s="1097">
        <v>1</v>
      </c>
    </row>
    <row r="55" spans="2:5" ht="20.100000000000001" hidden="1" customHeight="1">
      <c r="B55" s="1954" t="s">
        <v>438</v>
      </c>
      <c r="C55" s="1908" t="s">
        <v>1176</v>
      </c>
      <c r="D55" s="951">
        <v>10</v>
      </c>
      <c r="E55" s="1098">
        <v>10</v>
      </c>
    </row>
    <row r="56" spans="2:5" ht="30" hidden="1" customHeight="1">
      <c r="B56" s="1954" t="s">
        <v>436</v>
      </c>
      <c r="C56" s="1908" t="s">
        <v>437</v>
      </c>
      <c r="D56" s="1099">
        <v>0</v>
      </c>
      <c r="E56" s="1038">
        <v>0</v>
      </c>
    </row>
    <row r="57" spans="2:5" ht="20.100000000000001" hidden="1" customHeight="1">
      <c r="B57" s="1954" t="s">
        <v>58</v>
      </c>
      <c r="C57" s="1908"/>
      <c r="D57" s="1772"/>
      <c r="E57" s="1957"/>
    </row>
    <row r="58" spans="2:5" ht="30" hidden="1" customHeight="1">
      <c r="B58" s="1954" t="s">
        <v>59</v>
      </c>
      <c r="C58" s="1908"/>
      <c r="D58" s="1772"/>
      <c r="E58" s="1957"/>
    </row>
    <row r="59" spans="2:5" ht="20.100000000000001" hidden="1" customHeight="1">
      <c r="B59" s="1029"/>
      <c r="C59" s="1958"/>
      <c r="D59" s="1772"/>
      <c r="E59" s="1957"/>
    </row>
    <row r="60" spans="2:5" ht="20.100000000000001" hidden="1" customHeight="1">
      <c r="B60" s="1959" t="s">
        <v>338</v>
      </c>
      <c r="C60" s="1960"/>
      <c r="D60" s="1961">
        <f>'Data Input &amp; RESULTS '!C27 * 100</f>
        <v>96.505601675441028</v>
      </c>
      <c r="E60" s="1962">
        <f>'Data Input &amp; RESULTS '!D27 * 100</f>
        <v>96.505601675441028</v>
      </c>
    </row>
    <row r="61" spans="2:5" ht="20.100000000000001" hidden="1" customHeight="1" thickBot="1">
      <c r="B61" s="1963" t="s">
        <v>62</v>
      </c>
      <c r="C61" s="1964"/>
      <c r="D61" s="1809"/>
      <c r="E61" s="1965"/>
    </row>
    <row r="62" spans="2:5" ht="20.100000000000001" hidden="1" customHeight="1"/>
    <row r="63" spans="2:5" ht="20.100000000000001" hidden="1" customHeight="1"/>
    <row r="64" spans="2:5" ht="20.100000000000001" hidden="1" customHeight="1" thickBot="1"/>
    <row r="65" spans="2:4" ht="20.100000000000001" customHeight="1">
      <c r="B65" s="2707" t="s">
        <v>118</v>
      </c>
      <c r="C65" s="2708"/>
      <c r="D65" s="2709"/>
    </row>
    <row r="66" spans="2:4" ht="20.100000000000001" customHeight="1" thickBot="1">
      <c r="B66" s="2710" t="s">
        <v>119</v>
      </c>
      <c r="C66" s="2711"/>
      <c r="D66" s="2712"/>
    </row>
    <row r="67" spans="2:4" ht="20.100000000000001" customHeight="1">
      <c r="B67" s="1429"/>
      <c r="C67" s="1428"/>
      <c r="D67" s="1428"/>
    </row>
    <row r="68" spans="2:4" ht="20.100000000000001" customHeight="1">
      <c r="B68" s="1966" t="s">
        <v>120</v>
      </c>
      <c r="C68" s="2700" t="s">
        <v>1374</v>
      </c>
      <c r="D68" s="2701"/>
    </row>
    <row r="69" spans="2:4" ht="20.100000000000001" customHeight="1" thickBot="1">
      <c r="B69" s="1429"/>
      <c r="C69" s="1428"/>
      <c r="D69" s="1428"/>
    </row>
    <row r="70" spans="2:4" ht="20.100000000000001" customHeight="1">
      <c r="B70" s="1967" t="s">
        <v>121</v>
      </c>
      <c r="C70" s="1968" t="s">
        <v>122</v>
      </c>
      <c r="D70" s="2029"/>
    </row>
    <row r="71" spans="2:4" ht="20.100000000000001" customHeight="1">
      <c r="B71" s="2028" t="s">
        <v>123</v>
      </c>
      <c r="C71" s="2144">
        <v>0.94099999999999995</v>
      </c>
      <c r="D71" s="2706" t="s">
        <v>265</v>
      </c>
    </row>
    <row r="72" spans="2:4" ht="20.100000000000001" customHeight="1">
      <c r="B72" s="1572" t="s">
        <v>124</v>
      </c>
      <c r="C72" s="2145">
        <v>3.0099999999999998E-2</v>
      </c>
      <c r="D72" s="2706"/>
    </row>
    <row r="73" spans="2:4" ht="20.100000000000001" customHeight="1">
      <c r="B73" s="1572" t="s">
        <v>125</v>
      </c>
      <c r="C73" s="2145">
        <v>1.41E-2</v>
      </c>
      <c r="D73" s="2706"/>
    </row>
    <row r="74" spans="2:4" ht="20.100000000000001" customHeight="1">
      <c r="B74" s="944" t="s">
        <v>45</v>
      </c>
      <c r="C74" s="2145">
        <v>1E-4</v>
      </c>
      <c r="D74" s="2706"/>
    </row>
    <row r="75" spans="2:4" ht="20.100000000000001" customHeight="1">
      <c r="B75" s="944" t="s">
        <v>127</v>
      </c>
      <c r="C75" s="2145">
        <v>4.1999999999999997E-3</v>
      </c>
      <c r="D75" s="2706"/>
    </row>
    <row r="76" spans="2:4" ht="20.100000000000001" customHeight="1">
      <c r="B76" s="944" t="s">
        <v>129</v>
      </c>
      <c r="C76" s="2145">
        <v>2.8E-3</v>
      </c>
      <c r="D76" s="2706"/>
    </row>
    <row r="77" spans="2:4" ht="20.100000000000001" customHeight="1">
      <c r="B77" s="944" t="s">
        <v>319</v>
      </c>
      <c r="C77" s="2145">
        <v>0</v>
      </c>
      <c r="D77" s="2706"/>
    </row>
    <row r="78" spans="2:4" ht="20.100000000000001" customHeight="1">
      <c r="B78" s="944" t="s">
        <v>132</v>
      </c>
      <c r="C78" s="2145">
        <v>0</v>
      </c>
      <c r="D78" s="2706"/>
    </row>
    <row r="79" spans="2:4" ht="20.100000000000001" customHeight="1">
      <c r="B79" s="944" t="s">
        <v>318</v>
      </c>
      <c r="C79" s="2145">
        <v>2.0000000000000002E-5</v>
      </c>
      <c r="D79" s="2030"/>
    </row>
    <row r="80" spans="2:4" ht="20.100000000000001" customHeight="1">
      <c r="B80" s="944" t="s">
        <v>320</v>
      </c>
      <c r="C80" s="2145">
        <v>0</v>
      </c>
      <c r="D80" s="2030"/>
    </row>
    <row r="81" spans="2:5" ht="20.100000000000001" customHeight="1">
      <c r="B81" s="944" t="s">
        <v>48</v>
      </c>
      <c r="C81" s="2145">
        <v>1E-4</v>
      </c>
      <c r="D81" s="2030"/>
    </row>
    <row r="82" spans="2:5" ht="20.100000000000001" customHeight="1">
      <c r="B82" s="944" t="s">
        <v>300</v>
      </c>
      <c r="C82" s="2146">
        <f>SUM(C71:C81)</f>
        <v>0.99241999999999997</v>
      </c>
      <c r="D82" s="2030"/>
    </row>
    <row r="83" spans="2:5" ht="20.100000000000001" customHeight="1" thickBot="1">
      <c r="B83" s="2026" t="s">
        <v>133</v>
      </c>
      <c r="C83" s="2027">
        <f>1-C82</f>
        <v>7.5800000000000312E-3</v>
      </c>
      <c r="D83" s="2031"/>
    </row>
    <row r="84" spans="2:5" ht="20.100000000000001" customHeight="1" thickBot="1">
      <c r="B84" s="1429"/>
      <c r="C84" s="1428"/>
      <c r="D84" s="1428"/>
    </row>
    <row r="85" spans="2:5" ht="20.100000000000001" hidden="1" customHeight="1" thickBot="1">
      <c r="B85" s="1429" t="s">
        <v>134</v>
      </c>
      <c r="C85" s="1969" t="s">
        <v>1116</v>
      </c>
      <c r="D85" s="1969">
        <v>0</v>
      </c>
    </row>
    <row r="86" spans="2:5" ht="20.100000000000001" customHeight="1">
      <c r="B86" s="1970"/>
      <c r="C86" s="1971"/>
      <c r="D86" s="1972" t="s">
        <v>1114</v>
      </c>
      <c r="E86" s="1973" t="s">
        <v>1115</v>
      </c>
    </row>
    <row r="87" spans="2:5" ht="20.100000000000001" customHeight="1">
      <c r="B87" s="1083" t="s">
        <v>435</v>
      </c>
      <c r="C87" s="1974" t="s">
        <v>80</v>
      </c>
      <c r="D87" s="2166"/>
      <c r="E87" s="2167"/>
    </row>
    <row r="88" spans="2:5" ht="20.100000000000001" customHeight="1">
      <c r="B88" s="1084" t="s">
        <v>433</v>
      </c>
      <c r="C88" s="1974" t="s">
        <v>80</v>
      </c>
      <c r="D88" s="2168">
        <f>D9</f>
        <v>0</v>
      </c>
      <c r="E88" s="2169">
        <f>E9</f>
        <v>0</v>
      </c>
    </row>
    <row r="89" spans="2:5" ht="20.100000000000001" customHeight="1">
      <c r="B89" s="1084" t="s">
        <v>434</v>
      </c>
      <c r="C89" s="1974" t="s">
        <v>80</v>
      </c>
      <c r="D89" s="2168">
        <f>D5</f>
        <v>0</v>
      </c>
      <c r="E89" s="2169">
        <f>E5</f>
        <v>0</v>
      </c>
    </row>
    <row r="90" spans="2:5" ht="20.100000000000001" customHeight="1" thickBot="1">
      <c r="B90" s="1871" t="s">
        <v>136</v>
      </c>
      <c r="C90" s="1579" t="s">
        <v>1116</v>
      </c>
      <c r="D90" s="2015">
        <f>IF($D$6="% Oxygen",D10/100,D8/100)</f>
        <v>0</v>
      </c>
      <c r="E90" s="2016">
        <f>IF($D$6="% Oxygen",E10/100,E8/100)</f>
        <v>0</v>
      </c>
    </row>
    <row r="91" spans="2:5" ht="20.100000000000001" hidden="1" customHeight="1" thickBot="1">
      <c r="B91" s="1975" t="s">
        <v>137</v>
      </c>
      <c r="C91" s="1976" t="s">
        <v>1116</v>
      </c>
      <c r="D91" s="1976"/>
      <c r="E91" s="1977"/>
    </row>
    <row r="92" spans="2:5" ht="20.100000000000001" customHeight="1" thickBot="1">
      <c r="B92" s="1045"/>
      <c r="C92" s="1428"/>
      <c r="D92" s="1428"/>
    </row>
    <row r="93" spans="2:5" ht="20.100000000000001" customHeight="1">
      <c r="B93" s="2017" t="s">
        <v>599</v>
      </c>
      <c r="C93" s="2011"/>
      <c r="D93" s="1972" t="s">
        <v>1114</v>
      </c>
      <c r="E93" s="1973" t="s">
        <v>1115</v>
      </c>
    </row>
    <row r="94" spans="2:5" ht="20.100000000000001" customHeight="1">
      <c r="B94" s="1084" t="s">
        <v>138</v>
      </c>
      <c r="C94" s="1573" t="s">
        <v>1116</v>
      </c>
      <c r="D94" s="2020">
        <f>'Calculations - vol current'!H75</f>
        <v>0.90133904135354603</v>
      </c>
      <c r="E94" s="2021">
        <f>'Calculations vol mod'!H75</f>
        <v>0.90133904135354603</v>
      </c>
    </row>
    <row r="95" spans="2:5" ht="20.100000000000001" customHeight="1">
      <c r="B95" s="2702" t="s">
        <v>139</v>
      </c>
      <c r="C95" s="2018" t="s">
        <v>1622</v>
      </c>
      <c r="D95" s="2022">
        <f>'Calculations - vol current'!C48</f>
        <v>1033.217268552</v>
      </c>
      <c r="E95" s="2023">
        <f>'Calculations vol mod'!C48</f>
        <v>1033.217268552</v>
      </c>
    </row>
    <row r="96" spans="2:5" ht="20.100000000000001" customHeight="1">
      <c r="B96" s="2703"/>
      <c r="C96" s="2019" t="s">
        <v>1623</v>
      </c>
      <c r="D96" s="2024">
        <f>'Calculations - vol current'!C48*8.9</f>
        <v>9195.6336901127997</v>
      </c>
      <c r="E96" s="2025">
        <f>'Calculations vol mod'!C48*8.9</f>
        <v>9195.6336901127997</v>
      </c>
    </row>
    <row r="97" spans="2:5" ht="20.100000000000001" customHeight="1">
      <c r="B97" s="1084" t="s">
        <v>140</v>
      </c>
      <c r="C97" s="1573" t="s">
        <v>1116</v>
      </c>
      <c r="D97" s="2147">
        <f>'Calculations - vol current'!I14</f>
        <v>0</v>
      </c>
      <c r="E97" s="2148">
        <f>'Calculations vol mod'!I14</f>
        <v>0</v>
      </c>
    </row>
    <row r="98" spans="2:5" ht="20.100000000000001" customHeight="1">
      <c r="B98" s="1082" t="s">
        <v>141</v>
      </c>
      <c r="C98" s="2704" t="s">
        <v>1624</v>
      </c>
      <c r="D98" s="2207">
        <f>'Calculations - vol current'!C80</f>
        <v>10.227344463652615</v>
      </c>
      <c r="E98" s="2208">
        <f>'Calculations vol mod'!C80</f>
        <v>10.227344463652615</v>
      </c>
    </row>
    <row r="99" spans="2:5" ht="20.100000000000001" customHeight="1" thickBot="1">
      <c r="B99" s="1871" t="s">
        <v>142</v>
      </c>
      <c r="C99" s="2705"/>
      <c r="D99" s="2209">
        <f>'Calculations - vol current'!C83</f>
        <v>10.227344463652615</v>
      </c>
      <c r="E99" s="2210">
        <f>'Calculations vol mod'!C83</f>
        <v>10.227344463652615</v>
      </c>
    </row>
    <row r="100" spans="2:5" ht="20.100000000000001" customHeight="1" thickBot="1">
      <c r="B100" s="2694" t="s">
        <v>1316</v>
      </c>
      <c r="C100" s="2695"/>
      <c r="D100" s="2695"/>
      <c r="E100" s="2696"/>
    </row>
    <row r="101" spans="2:5" ht="20.100000000000001" customHeight="1"/>
    <row r="102" spans="2:5" ht="20.100000000000001" customHeight="1"/>
    <row r="103" spans="2:5" ht="20.100000000000001" customHeight="1"/>
    <row r="104" spans="2:5" ht="20.100000000000001" customHeight="1"/>
    <row r="105" spans="2:5" ht="20.100000000000001" customHeight="1"/>
    <row r="106" spans="2:5" ht="20.100000000000001" customHeight="1"/>
    <row r="107" spans="2:5" ht="20.100000000000001" customHeight="1"/>
    <row r="108" spans="2:5" ht="20.100000000000001" customHeight="1"/>
    <row r="109" spans="2:5" ht="20.100000000000001" customHeight="1"/>
    <row r="110" spans="2:5" ht="20.100000000000001" customHeight="1"/>
    <row r="111" spans="2:5" ht="20.100000000000001" customHeight="1"/>
    <row r="112" spans="2: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20.100000000000001" customHeight="1"/>
    <row r="122" ht="20.100000000000001" customHeight="1"/>
    <row r="123" ht="20.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20.100000000000001" customHeight="1"/>
    <row r="133" ht="20.100000000000001" customHeight="1"/>
    <row r="134" ht="20.100000000000001" customHeight="1"/>
    <row r="135" ht="20.100000000000001" customHeight="1"/>
    <row r="136" ht="20.100000000000001" customHeight="1"/>
    <row r="137" ht="20.100000000000001" customHeight="1"/>
  </sheetData>
  <sheetProtection password="B61E" sheet="1" objects="1" scenarios="1"/>
  <mergeCells count="20">
    <mergeCell ref="B18:E18"/>
    <mergeCell ref="B19:E19"/>
    <mergeCell ref="B20:E20"/>
    <mergeCell ref="B21:E21"/>
    <mergeCell ref="B22:E22"/>
    <mergeCell ref="B17:E17"/>
    <mergeCell ref="B2:E2"/>
    <mergeCell ref="D4:E4"/>
    <mergeCell ref="L4:M4"/>
    <mergeCell ref="B16:E16"/>
    <mergeCell ref="F12:H13"/>
    <mergeCell ref="B100:E100"/>
    <mergeCell ref="B27:E27"/>
    <mergeCell ref="C68:D68"/>
    <mergeCell ref="B95:B96"/>
    <mergeCell ref="C98:C99"/>
    <mergeCell ref="D71:D78"/>
    <mergeCell ref="B65:D65"/>
    <mergeCell ref="B66:D66"/>
    <mergeCell ref="B48:E48"/>
  </mergeCells>
  <phoneticPr fontId="5" type="noConversion"/>
  <conditionalFormatting sqref="D7:E7">
    <cfRule type="expression" dxfId="5" priority="4" stopIfTrue="1">
      <formula>D6="% XS Air"</formula>
    </cfRule>
  </conditionalFormatting>
  <conditionalFormatting sqref="D8:E8">
    <cfRule type="expression" dxfId="4" priority="3" stopIfTrue="1">
      <formula>D6="% Oxygen"</formula>
    </cfRule>
  </conditionalFormatting>
  <conditionalFormatting sqref="D12 D60">
    <cfRule type="expression" dxfId="3" priority="9" stopIfTrue="1">
      <formula>$D$13="Calculated"</formula>
    </cfRule>
  </conditionalFormatting>
  <conditionalFormatting sqref="E12 E60">
    <cfRule type="expression" dxfId="2" priority="8" stopIfTrue="1">
      <formula>$E$13="Calculated"</formula>
    </cfRule>
  </conditionalFormatting>
  <conditionalFormatting sqref="E94">
    <cfRule type="expression" dxfId="1" priority="14" stopIfTrue="1">
      <formula>$E$13="Calculated"</formula>
    </cfRule>
  </conditionalFormatting>
  <conditionalFormatting sqref="D94">
    <cfRule type="expression" dxfId="0" priority="15" stopIfTrue="1">
      <formula>$D$13="Calculated"</formula>
    </cfRule>
  </conditionalFormatting>
  <dataValidations count="4">
    <dataValidation type="list" allowBlank="1" showInputMessage="1" showErrorMessage="1" sqref="D13:E13">
      <formula1>"Calculated, User Defined"</formula1>
    </dataValidation>
    <dataValidation type="decimal" allowBlank="1" showInputMessage="1" showErrorMessage="1" error="Cannor Enter a Number Less than 0 or Greater than 21%" sqref="E7">
      <formula1>0</formula1>
      <formula2>21</formula2>
    </dataValidation>
    <dataValidation type="decimal" allowBlank="1" showInputMessage="1" showErrorMessage="1" error="Cannot Enter a number less than 0 or greater than 21%" sqref="D7">
      <formula1>0</formula1>
      <formula2>21</formula2>
    </dataValidation>
    <dataValidation type="list" allowBlank="1" showInputMessage="1" showErrorMessage="1" sqref="D6">
      <formula1>" % XS Air, % Oxygen"</formula1>
    </dataValidation>
  </dataValidations>
  <pageMargins left="0.75" right="0.75" top="1" bottom="1" header="0.5" footer="0.5"/>
  <pageSetup scale="77" fitToHeight="3" orientation="portrait" r:id="rId1"/>
  <headerFooter alignWithMargins="0">
    <oddHeader>&amp;LFlue Gas Loss</oddHeader>
    <oddFooter>&amp;LUS Department of Energy&amp;C&amp;P&amp;R&amp;D</oddFooter>
  </headerFooter>
  <rowBreaks count="2" manualBreakCount="2">
    <brk id="24" min="1" max="4" man="1"/>
    <brk id="47" min="1" max="4" man="1"/>
  </rowBreaks>
  <drawing r:id="rId2"/>
  <legacyDrawing r:id="rId3"/>
  <controls>
    <mc:AlternateContent xmlns:mc="http://schemas.openxmlformats.org/markup-compatibility/2006">
      <mc:Choice Requires="x14">
        <control shapeId="2518090" r:id="rId4" name="OptionButton4">
          <controlPr defaultSize="0" autoLine="0" autoPict="0" r:id="rId5">
            <anchor moveWithCells="1" sizeWithCells="1">
              <from>
                <xdr:col>1</xdr:col>
                <xdr:colOff>133350</xdr:colOff>
                <xdr:row>26</xdr:row>
                <xdr:rowOff>0</xdr:rowOff>
              </from>
              <to>
                <xdr:col>4</xdr:col>
                <xdr:colOff>1200150</xdr:colOff>
                <xdr:row>26</xdr:row>
                <xdr:rowOff>0</xdr:rowOff>
              </to>
            </anchor>
          </controlPr>
        </control>
      </mc:Choice>
      <mc:Fallback>
        <control shapeId="2518090" r:id="rId4" name="OptionButton4"/>
      </mc:Fallback>
    </mc:AlternateContent>
    <mc:AlternateContent xmlns:mc="http://schemas.openxmlformats.org/markup-compatibility/2006">
      <mc:Choice Requires="x14">
        <control shapeId="2518089" r:id="rId6" name="OptionButton3">
          <controlPr defaultSize="0" autoLine="0" autoPict="0" r:id="rId7">
            <anchor moveWithCells="1" sizeWithCells="1">
              <from>
                <xdr:col>1</xdr:col>
                <xdr:colOff>142875</xdr:colOff>
                <xdr:row>26</xdr:row>
                <xdr:rowOff>0</xdr:rowOff>
              </from>
              <to>
                <xdr:col>4</xdr:col>
                <xdr:colOff>1190625</xdr:colOff>
                <xdr:row>26</xdr:row>
                <xdr:rowOff>0</xdr:rowOff>
              </to>
            </anchor>
          </controlPr>
        </control>
      </mc:Choice>
      <mc:Fallback>
        <control shapeId="2518089" r:id="rId6" name="OptionButton3"/>
      </mc:Fallback>
    </mc:AlternateContent>
    <mc:AlternateContent xmlns:mc="http://schemas.openxmlformats.org/markup-compatibility/2006">
      <mc:Choice Requires="x14">
        <control shapeId="2518018" r:id="rId8" name="CommandButtonFlueGasData">
          <controlPr defaultSize="0" print="0" autoLine="0" autoPict="0" r:id="rId9">
            <anchor moveWithCells="1" sizeWithCells="1">
              <from>
                <xdr:col>5</xdr:col>
                <xdr:colOff>400050</xdr:colOff>
                <xdr:row>3</xdr:row>
                <xdr:rowOff>180975</xdr:rowOff>
              </from>
              <to>
                <xdr:col>7</xdr:col>
                <xdr:colOff>152400</xdr:colOff>
                <xdr:row>5</xdr:row>
                <xdr:rowOff>85725</xdr:rowOff>
              </to>
            </anchor>
          </controlPr>
        </control>
      </mc:Choice>
      <mc:Fallback>
        <control shapeId="2518018" r:id="rId8" name="CommandButtonFlueGasData"/>
      </mc:Fallback>
    </mc:AlternateContent>
    <mc:AlternateContent xmlns:mc="http://schemas.openxmlformats.org/markup-compatibility/2006">
      <mc:Choice Requires="x14">
        <control shapeId="2518033" r:id="rId10" name="CommandButton1">
          <controlPr defaultSize="0" autoLine="0" r:id="rId11">
            <anchor moveWithCells="1" sizeWithCells="1">
              <from>
                <xdr:col>0</xdr:col>
                <xdr:colOff>85725</xdr:colOff>
                <xdr:row>3</xdr:row>
                <xdr:rowOff>238125</xdr:rowOff>
              </from>
              <to>
                <xdr:col>0</xdr:col>
                <xdr:colOff>695325</xdr:colOff>
                <xdr:row>13</xdr:row>
                <xdr:rowOff>85725</xdr:rowOff>
              </to>
            </anchor>
          </controlPr>
        </control>
      </mc:Choice>
      <mc:Fallback>
        <control shapeId="2518033" r:id="rId10" name="CommandButton1"/>
      </mc:Fallback>
    </mc:AlternateContent>
    <mc:AlternateContent xmlns:mc="http://schemas.openxmlformats.org/markup-compatibility/2006">
      <mc:Choice Requires="x14">
        <control shapeId="2518037" r:id="rId12" name="CommandButton2">
          <controlPr defaultSize="0" autoLine="0" autoPict="0" r:id="rId13">
            <anchor moveWithCells="1" sizeWithCells="1">
              <from>
                <xdr:col>5</xdr:col>
                <xdr:colOff>400050</xdr:colOff>
                <xdr:row>6</xdr:row>
                <xdr:rowOff>123825</xdr:rowOff>
              </from>
              <to>
                <xdr:col>7</xdr:col>
                <xdr:colOff>142875</xdr:colOff>
                <xdr:row>8</xdr:row>
                <xdr:rowOff>85725</xdr:rowOff>
              </to>
            </anchor>
          </controlPr>
        </control>
      </mc:Choice>
      <mc:Fallback>
        <control shapeId="2518037" r:id="rId12" name="CommandButton2"/>
      </mc:Fallback>
    </mc:AlternateContent>
    <mc:AlternateContent xmlns:mc="http://schemas.openxmlformats.org/markup-compatibility/2006">
      <mc:Choice Requires="x14">
        <control shapeId="2518052" r:id="rId14" name="CommandButton3">
          <controlPr defaultSize="0" autoLine="0" r:id="rId15">
            <anchor moveWithCells="1" sizeWithCells="1">
              <from>
                <xdr:col>6</xdr:col>
                <xdr:colOff>419100</xdr:colOff>
                <xdr:row>13</xdr:row>
                <xdr:rowOff>0</xdr:rowOff>
              </from>
              <to>
                <xdr:col>7</xdr:col>
                <xdr:colOff>771525</xdr:colOff>
                <xdr:row>15</xdr:row>
                <xdr:rowOff>133350</xdr:rowOff>
              </to>
            </anchor>
          </controlPr>
        </control>
      </mc:Choice>
      <mc:Fallback>
        <control shapeId="2518052" r:id="rId14" name="CommandButton3"/>
      </mc:Fallback>
    </mc:AlternateContent>
    <mc:AlternateContent xmlns:mc="http://schemas.openxmlformats.org/markup-compatibility/2006">
      <mc:Choice Requires="x14">
        <control shapeId="2518057" r:id="rId16" name="CommandButton4">
          <controlPr defaultSize="0" autoLine="0" r:id="rId17">
            <anchor moveWithCells="1" sizeWithCells="1">
              <from>
                <xdr:col>6</xdr:col>
                <xdr:colOff>161925</xdr:colOff>
                <xdr:row>100</xdr:row>
                <xdr:rowOff>38100</xdr:rowOff>
              </from>
              <to>
                <xdr:col>7</xdr:col>
                <xdr:colOff>514350</xdr:colOff>
                <xdr:row>102</xdr:row>
                <xdr:rowOff>152400</xdr:rowOff>
              </to>
            </anchor>
          </controlPr>
        </control>
      </mc:Choice>
      <mc:Fallback>
        <control shapeId="2518057" r:id="rId16" name="CommandButton4"/>
      </mc:Fallback>
    </mc:AlternateContent>
    <mc:AlternateContent xmlns:mc="http://schemas.openxmlformats.org/markup-compatibility/2006">
      <mc:Choice Requires="x14">
        <control shapeId="2518072" r:id="rId18" name="OptionButton1">
          <controlPr autoLine="0" autoPict="0" r:id="rId19">
            <anchor moveWithCells="1" sizeWithCells="1">
              <from>
                <xdr:col>1</xdr:col>
                <xdr:colOff>66675</xdr:colOff>
                <xdr:row>26</xdr:row>
                <xdr:rowOff>0</xdr:rowOff>
              </from>
              <to>
                <xdr:col>3</xdr:col>
                <xdr:colOff>781050</xdr:colOff>
                <xdr:row>26</xdr:row>
                <xdr:rowOff>0</xdr:rowOff>
              </to>
            </anchor>
          </controlPr>
        </control>
      </mc:Choice>
      <mc:Fallback>
        <control shapeId="2518072" r:id="rId18" name="OptionButton1"/>
      </mc:Fallback>
    </mc:AlternateContent>
    <mc:AlternateContent xmlns:mc="http://schemas.openxmlformats.org/markup-compatibility/2006">
      <mc:Choice Requires="x14">
        <control shapeId="2518073" r:id="rId20" name="OptionButton2">
          <controlPr autoLine="0" autoPict="0" r:id="rId21">
            <anchor moveWithCells="1" sizeWithCells="1">
              <from>
                <xdr:col>1</xdr:col>
                <xdr:colOff>66675</xdr:colOff>
                <xdr:row>26</xdr:row>
                <xdr:rowOff>0</xdr:rowOff>
              </from>
              <to>
                <xdr:col>3</xdr:col>
                <xdr:colOff>790575</xdr:colOff>
                <xdr:row>26</xdr:row>
                <xdr:rowOff>0</xdr:rowOff>
              </to>
            </anchor>
          </controlPr>
        </control>
      </mc:Choice>
      <mc:Fallback>
        <control shapeId="2518073" r:id="rId20" name="OptionButton2"/>
      </mc:Fallback>
    </mc:AlternateContent>
    <mc:AlternateContent xmlns:mc="http://schemas.openxmlformats.org/markup-compatibility/2006">
      <mc:Choice Requires="x14">
        <control shapeId="2518092" r:id="rId22" name="OptionButton5">
          <controlPr defaultSize="0" autoLine="0" r:id="rId23">
            <anchor>
              <from>
                <xdr:col>1</xdr:col>
                <xdr:colOff>76200</xdr:colOff>
                <xdr:row>27</xdr:row>
                <xdr:rowOff>57150</xdr:rowOff>
              </from>
              <to>
                <xdr:col>4</xdr:col>
                <xdr:colOff>1209675</xdr:colOff>
                <xdr:row>29</xdr:row>
                <xdr:rowOff>114300</xdr:rowOff>
              </to>
            </anchor>
          </controlPr>
        </control>
      </mc:Choice>
      <mc:Fallback>
        <control shapeId="2518092" r:id="rId22" name="OptionButton5"/>
      </mc:Fallback>
    </mc:AlternateContent>
    <mc:AlternateContent xmlns:mc="http://schemas.openxmlformats.org/markup-compatibility/2006">
      <mc:Choice Requires="x14">
        <control shapeId="2518093" r:id="rId24" name="OptionButton6">
          <controlPr defaultSize="0" autoLine="0" r:id="rId25">
            <anchor>
              <from>
                <xdr:col>1</xdr:col>
                <xdr:colOff>85725</xdr:colOff>
                <xdr:row>29</xdr:row>
                <xdr:rowOff>200025</xdr:rowOff>
              </from>
              <to>
                <xdr:col>4</xdr:col>
                <xdr:colOff>1228725</xdr:colOff>
                <xdr:row>31</xdr:row>
                <xdr:rowOff>209550</xdr:rowOff>
              </to>
            </anchor>
          </controlPr>
        </control>
      </mc:Choice>
      <mc:Fallback>
        <control shapeId="2518093" r:id="rId24" name="OptionButton6"/>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25"/>
  <sheetViews>
    <sheetView topLeftCell="A57" workbookViewId="0"/>
  </sheetViews>
  <sheetFormatPr defaultRowHeight="12.75"/>
  <cols>
    <col min="1" max="1" width="8.85546875" style="96" customWidth="1"/>
    <col min="2" max="2" width="36.5703125" style="96" customWidth="1"/>
    <col min="3" max="5" width="14.5703125" style="96" customWidth="1"/>
    <col min="6" max="6" width="12.28515625" style="180" bestFit="1" customWidth="1"/>
    <col min="7" max="7" width="13" style="180" customWidth="1"/>
    <col min="8" max="8" width="17" style="180" customWidth="1"/>
    <col min="9" max="9" width="13" style="180" customWidth="1"/>
    <col min="10" max="11" width="11.7109375" style="180" customWidth="1"/>
    <col min="12" max="12" width="14.28515625" style="181" customWidth="1"/>
    <col min="13" max="13" width="10.7109375" customWidth="1"/>
    <col min="14" max="14" width="10.140625" customWidth="1"/>
    <col min="16" max="17" width="9.5703125" bestFit="1" customWidth="1"/>
  </cols>
  <sheetData>
    <row r="1" spans="1:12" hidden="1"/>
    <row r="2" spans="1:12" hidden="1"/>
    <row r="3" spans="1:12" hidden="1"/>
    <row r="4" spans="1:12" hidden="1"/>
    <row r="5" spans="1:12" hidden="1"/>
    <row r="6" spans="1:12" hidden="1"/>
    <row r="7" spans="1:12" hidden="1"/>
    <row r="8" spans="1:12" s="4" customFormat="1" hidden="1">
      <c r="A8" s="1"/>
      <c r="B8" s="2735" t="s">
        <v>64</v>
      </c>
      <c r="C8" s="2744" t="s">
        <v>482</v>
      </c>
      <c r="D8" s="183"/>
      <c r="E8" s="183"/>
      <c r="F8" s="184" t="s">
        <v>1114</v>
      </c>
      <c r="G8" s="184" t="s">
        <v>65</v>
      </c>
      <c r="H8" s="182"/>
      <c r="I8" s="182"/>
      <c r="J8" s="182"/>
      <c r="K8" s="182"/>
      <c r="L8" s="2735" t="s">
        <v>66</v>
      </c>
    </row>
    <row r="9" spans="1:12" s="4" customFormat="1" ht="25.5" hidden="1">
      <c r="A9" s="1"/>
      <c r="B9" s="2743"/>
      <c r="C9" s="2745"/>
      <c r="D9" s="185"/>
      <c r="E9" s="185"/>
      <c r="F9" s="186" t="s">
        <v>67</v>
      </c>
      <c r="G9" s="186" t="s">
        <v>68</v>
      </c>
      <c r="H9" s="185"/>
      <c r="I9" s="185"/>
      <c r="J9" s="185"/>
      <c r="K9" s="185"/>
      <c r="L9" s="2736"/>
    </row>
    <row r="10" spans="1:12" s="4" customFormat="1" ht="45" hidden="1">
      <c r="A10" s="1"/>
      <c r="B10" s="187" t="s">
        <v>69</v>
      </c>
      <c r="C10" s="20" t="s">
        <v>70</v>
      </c>
      <c r="D10" s="20"/>
      <c r="E10" s="20"/>
      <c r="F10" s="171">
        <v>3500</v>
      </c>
      <c r="G10" s="188" t="e">
        <f>G11</f>
        <v>#REF!</v>
      </c>
      <c r="H10" s="188"/>
      <c r="I10" s="188"/>
      <c r="J10" s="188"/>
      <c r="K10" s="188"/>
      <c r="L10" s="189" t="s">
        <v>71</v>
      </c>
    </row>
    <row r="11" spans="1:12" s="4" customFormat="1" ht="22.5" hidden="1">
      <c r="A11" s="1"/>
      <c r="B11" s="20" t="s">
        <v>72</v>
      </c>
      <c r="C11" s="20" t="s">
        <v>1054</v>
      </c>
      <c r="D11" s="20"/>
      <c r="E11" s="20"/>
      <c r="F11" s="190">
        <f>F10</f>
        <v>3500</v>
      </c>
      <c r="G11" s="191" t="e">
        <f>F44</f>
        <v>#REF!</v>
      </c>
      <c r="H11" s="191"/>
      <c r="I11" s="191"/>
      <c r="J11" s="191"/>
      <c r="K11" s="191"/>
      <c r="L11" s="189" t="s">
        <v>73</v>
      </c>
    </row>
    <row r="12" spans="1:12" s="4" customFormat="1" ht="33.75" hidden="1">
      <c r="A12" s="1"/>
      <c r="B12" s="20" t="s">
        <v>74</v>
      </c>
      <c r="C12" s="20" t="s">
        <v>1054</v>
      </c>
      <c r="D12" s="20"/>
      <c r="E12" s="20"/>
      <c r="F12" s="192">
        <f>F11*(1+F16/100)*10</f>
        <v>52500</v>
      </c>
      <c r="G12" s="193"/>
      <c r="H12" s="193"/>
      <c r="I12" s="193"/>
      <c r="J12" s="193"/>
      <c r="K12" s="193"/>
      <c r="L12" s="189" t="s">
        <v>75</v>
      </c>
    </row>
    <row r="13" spans="1:12" s="4" customFormat="1" hidden="1">
      <c r="A13" s="1"/>
      <c r="B13" s="20" t="s">
        <v>76</v>
      </c>
      <c r="C13" s="20" t="s">
        <v>77</v>
      </c>
      <c r="D13" s="20"/>
      <c r="E13" s="20"/>
      <c r="F13" s="192">
        <f>0.0763*(0.6*F11+10*F11)</f>
        <v>2830.7300000000005</v>
      </c>
      <c r="G13" s="193"/>
      <c r="H13" s="193"/>
      <c r="I13" s="193"/>
      <c r="J13" s="193"/>
      <c r="K13" s="193"/>
      <c r="L13" s="189"/>
    </row>
    <row r="14" spans="1:12" s="4" customFormat="1" hidden="1">
      <c r="A14" s="1"/>
      <c r="B14" s="20" t="s">
        <v>78</v>
      </c>
      <c r="C14" s="20" t="s">
        <v>77</v>
      </c>
      <c r="D14" s="20"/>
      <c r="E14" s="20"/>
      <c r="F14" s="194">
        <f>0.0763*(0.6*F11+F12)</f>
        <v>4165.9800000000005</v>
      </c>
      <c r="G14" s="195"/>
      <c r="H14" s="195"/>
      <c r="I14" s="195"/>
      <c r="J14" s="195"/>
      <c r="K14" s="195"/>
      <c r="L14" s="189"/>
    </row>
    <row r="15" spans="1:12" s="4" customFormat="1" hidden="1">
      <c r="A15" s="1"/>
      <c r="B15" s="20" t="s">
        <v>79</v>
      </c>
      <c r="C15" s="20" t="s">
        <v>80</v>
      </c>
      <c r="D15" s="20"/>
      <c r="E15" s="20"/>
      <c r="F15" s="171">
        <v>425</v>
      </c>
      <c r="G15" s="196">
        <f>F15</f>
        <v>425</v>
      </c>
      <c r="H15" s="196"/>
      <c r="I15" s="196"/>
      <c r="J15" s="196"/>
      <c r="K15" s="196"/>
      <c r="L15" s="189" t="s">
        <v>81</v>
      </c>
    </row>
    <row r="16" spans="1:12" s="4" customFormat="1" ht="56.25" hidden="1">
      <c r="A16" s="1"/>
      <c r="B16" s="20" t="s">
        <v>82</v>
      </c>
      <c r="C16" s="20" t="s">
        <v>1116</v>
      </c>
      <c r="D16" s="20"/>
      <c r="E16" s="20"/>
      <c r="F16" s="171">
        <v>50</v>
      </c>
      <c r="G16" s="196">
        <f>F16</f>
        <v>50</v>
      </c>
      <c r="H16" s="196"/>
      <c r="I16" s="196"/>
      <c r="J16" s="196"/>
      <c r="K16" s="196"/>
      <c r="L16" s="189" t="s">
        <v>421</v>
      </c>
    </row>
    <row r="17" spans="1:13" s="4" customFormat="1" hidden="1">
      <c r="A17" s="1"/>
      <c r="B17" s="20" t="s">
        <v>83</v>
      </c>
      <c r="C17" s="20" t="s">
        <v>1116</v>
      </c>
      <c r="D17" s="20"/>
      <c r="E17" s="20"/>
      <c r="F17" s="197" t="e">
        <f>#REF!</f>
        <v>#REF!</v>
      </c>
      <c r="G17" s="196"/>
      <c r="H17" s="196"/>
      <c r="I17" s="196"/>
      <c r="J17" s="196"/>
      <c r="K17" s="196"/>
      <c r="L17" s="189"/>
    </row>
    <row r="18" spans="1:13" s="4" customFormat="1" ht="45" hidden="1">
      <c r="A18" s="1"/>
      <c r="B18" s="20" t="s">
        <v>84</v>
      </c>
      <c r="C18" s="20" t="s">
        <v>77</v>
      </c>
      <c r="D18" s="20"/>
      <c r="E18" s="20"/>
      <c r="F18" s="197">
        <f>G107</f>
        <v>1926.5118790496763</v>
      </c>
      <c r="G18" s="196"/>
      <c r="H18" s="196"/>
      <c r="I18" s="196"/>
      <c r="J18" s="196"/>
      <c r="K18" s="196"/>
      <c r="L18" s="189" t="s">
        <v>85</v>
      </c>
    </row>
    <row r="19" spans="1:13" s="4" customFormat="1" ht="22.5" hidden="1">
      <c r="A19" s="1"/>
      <c r="B19" s="20" t="s">
        <v>86</v>
      </c>
      <c r="C19" s="20" t="s">
        <v>77</v>
      </c>
      <c r="D19" s="20"/>
      <c r="E19" s="20"/>
      <c r="F19" s="171">
        <v>1000</v>
      </c>
      <c r="G19" s="196">
        <f>F19</f>
        <v>1000</v>
      </c>
      <c r="H19" s="196"/>
      <c r="I19" s="196"/>
      <c r="J19" s="196"/>
      <c r="K19" s="196"/>
      <c r="L19" s="189" t="s">
        <v>87</v>
      </c>
    </row>
    <row r="20" spans="1:13" s="4" customFormat="1" ht="22.5" hidden="1">
      <c r="A20" s="1"/>
      <c r="B20" s="20" t="s">
        <v>88</v>
      </c>
      <c r="C20" s="20" t="s">
        <v>89</v>
      </c>
      <c r="D20" s="20"/>
      <c r="E20" s="20"/>
      <c r="F20" s="171">
        <v>3500</v>
      </c>
      <c r="G20" s="198">
        <f>F40</f>
        <v>2258.8288964405783</v>
      </c>
      <c r="H20" s="198"/>
      <c r="I20" s="198"/>
      <c r="J20" s="198"/>
      <c r="K20" s="198"/>
      <c r="L20" s="189" t="s">
        <v>90</v>
      </c>
    </row>
    <row r="21" spans="1:13" s="4" customFormat="1" hidden="1">
      <c r="A21" s="1"/>
      <c r="B21" s="20" t="s">
        <v>91</v>
      </c>
      <c r="C21" s="20"/>
      <c r="D21" s="199"/>
      <c r="E21" s="199"/>
      <c r="F21" s="2737" t="str">
        <f>IF(F10&lt;F35,"Heat Input Values are Too Low. Check data input","")</f>
        <v/>
      </c>
      <c r="G21" s="2738"/>
      <c r="H21" s="2738"/>
      <c r="I21" s="2738"/>
      <c r="J21" s="2738"/>
      <c r="K21" s="2738"/>
      <c r="L21" s="2739"/>
    </row>
    <row r="22" spans="1:13" s="4" customFormat="1" hidden="1">
      <c r="A22" s="1"/>
      <c r="B22" s="200" t="s">
        <v>92</v>
      </c>
      <c r="C22" s="200" t="s">
        <v>77</v>
      </c>
      <c r="D22" s="200"/>
      <c r="E22" s="200"/>
      <c r="F22" s="201">
        <f>0.0763*F20*60</f>
        <v>16023</v>
      </c>
      <c r="G22" s="195"/>
      <c r="H22" s="195"/>
      <c r="I22" s="195"/>
      <c r="J22" s="195"/>
      <c r="K22" s="195"/>
      <c r="L22" s="189"/>
    </row>
    <row r="23" spans="1:13" s="4" customFormat="1" hidden="1">
      <c r="A23" s="1"/>
      <c r="B23" s="200" t="s">
        <v>93</v>
      </c>
      <c r="C23" s="200" t="s">
        <v>77</v>
      </c>
      <c r="D23" s="200"/>
      <c r="E23" s="200"/>
      <c r="F23" s="201">
        <f>F14-F18</f>
        <v>2239.4681209503242</v>
      </c>
      <c r="G23" s="195"/>
      <c r="H23" s="195"/>
      <c r="I23" s="195"/>
      <c r="J23" s="195"/>
      <c r="K23" s="195"/>
      <c r="L23" s="189"/>
      <c r="M23" s="202"/>
    </row>
    <row r="24" spans="1:13" s="4" customFormat="1" hidden="1">
      <c r="A24" s="1"/>
      <c r="B24" s="20" t="s">
        <v>94</v>
      </c>
      <c r="C24" s="20" t="s">
        <v>95</v>
      </c>
      <c r="D24" s="20"/>
      <c r="E24" s="20"/>
      <c r="F24" s="203">
        <f>(F19+F18)/(F22+F23)</f>
        <v>0.16024733676016345</v>
      </c>
      <c r="G24" s="203" t="e">
        <f>F50</f>
        <v>#REF!</v>
      </c>
      <c r="H24" s="203"/>
      <c r="I24" s="203"/>
      <c r="J24" s="203"/>
      <c r="K24" s="203"/>
      <c r="L24" s="189"/>
    </row>
    <row r="25" spans="1:13" s="4" customFormat="1" hidden="1">
      <c r="A25" s="1"/>
      <c r="B25" s="20" t="s">
        <v>96</v>
      </c>
      <c r="C25" s="20" t="s">
        <v>1054</v>
      </c>
      <c r="D25" s="20"/>
      <c r="E25" s="20"/>
      <c r="F25" s="204">
        <f>(1/0.0763)*((F14-F18) +F22) +20*(F18+F19)</f>
        <v>297881.06485426117</v>
      </c>
      <c r="G25" s="193"/>
      <c r="H25" s="193"/>
      <c r="I25" s="193"/>
      <c r="J25" s="193"/>
      <c r="K25" s="193"/>
      <c r="L25" s="189"/>
    </row>
    <row r="26" spans="1:13" s="4" customFormat="1" hidden="1">
      <c r="A26" s="1"/>
      <c r="B26" s="20" t="s">
        <v>96</v>
      </c>
      <c r="C26" s="20" t="s">
        <v>89</v>
      </c>
      <c r="D26" s="20"/>
      <c r="E26" s="20"/>
      <c r="F26" s="204">
        <f>F25/60</f>
        <v>4964.6844142376858</v>
      </c>
      <c r="G26" s="193"/>
      <c r="H26" s="193"/>
      <c r="I26" s="193"/>
      <c r="J26" s="193"/>
      <c r="K26" s="193"/>
      <c r="L26" s="189"/>
    </row>
    <row r="27" spans="1:13" s="4" customFormat="1" ht="22.5" hidden="1">
      <c r="A27" s="1"/>
      <c r="B27" s="20" t="s">
        <v>97</v>
      </c>
      <c r="C27" s="20" t="s">
        <v>1116</v>
      </c>
      <c r="D27" s="20"/>
      <c r="E27" s="20"/>
      <c r="F27" s="205">
        <v>0.25</v>
      </c>
      <c r="G27" s="206">
        <f>F27</f>
        <v>0.25</v>
      </c>
      <c r="H27" s="206"/>
      <c r="I27" s="206"/>
      <c r="J27" s="206"/>
      <c r="K27" s="206"/>
      <c r="L27" s="189" t="s">
        <v>98</v>
      </c>
    </row>
    <row r="28" spans="1:13" s="4" customFormat="1" hidden="1">
      <c r="A28" s="1"/>
      <c r="B28" s="20" t="s">
        <v>99</v>
      </c>
      <c r="C28" s="20" t="s">
        <v>89</v>
      </c>
      <c r="D28" s="20"/>
      <c r="E28" s="20"/>
      <c r="F28" s="204">
        <f>F27*F26</f>
        <v>1241.1711035594215</v>
      </c>
      <c r="G28" s="193"/>
      <c r="H28" s="193"/>
      <c r="I28" s="193"/>
      <c r="J28" s="193"/>
      <c r="K28" s="193"/>
      <c r="L28" s="189"/>
    </row>
    <row r="29" spans="1:13" s="4" customFormat="1" hidden="1">
      <c r="A29" s="1"/>
      <c r="B29" s="200" t="s">
        <v>100</v>
      </c>
      <c r="C29" s="20" t="s">
        <v>1116</v>
      </c>
      <c r="D29" s="20"/>
      <c r="E29" s="20"/>
      <c r="F29" s="207" t="s">
        <v>101</v>
      </c>
      <c r="G29" s="208" t="e">
        <f>F51</f>
        <v>#REF!</v>
      </c>
      <c r="H29" s="208"/>
      <c r="I29" s="208"/>
      <c r="J29" s="208"/>
      <c r="K29" s="208"/>
      <c r="L29" s="189"/>
    </row>
    <row r="30" spans="1:13" s="4" customFormat="1" hidden="1">
      <c r="A30" s="1"/>
      <c r="B30" s="200" t="s">
        <v>102</v>
      </c>
      <c r="C30" s="20" t="s">
        <v>103</v>
      </c>
      <c r="D30" s="20"/>
      <c r="E30" s="20"/>
      <c r="F30" s="209">
        <v>6500</v>
      </c>
      <c r="G30" s="196">
        <f>F30</f>
        <v>6500</v>
      </c>
      <c r="H30" s="196"/>
      <c r="I30" s="196"/>
      <c r="J30" s="196"/>
      <c r="K30" s="196"/>
      <c r="L30" s="189"/>
    </row>
    <row r="31" spans="1:13" s="4" customFormat="1" hidden="1">
      <c r="A31" s="1"/>
      <c r="B31" s="200" t="s">
        <v>104</v>
      </c>
      <c r="C31" s="20" t="s">
        <v>105</v>
      </c>
      <c r="D31" s="20"/>
      <c r="E31" s="20"/>
      <c r="F31" s="210">
        <v>0.95</v>
      </c>
      <c r="G31" s="211">
        <f>F31</f>
        <v>0.95</v>
      </c>
      <c r="H31" s="211"/>
      <c r="I31" s="211"/>
      <c r="J31" s="211"/>
      <c r="K31" s="211"/>
      <c r="L31" s="189"/>
    </row>
    <row r="32" spans="1:13" s="4" customFormat="1" hidden="1">
      <c r="A32" s="1"/>
      <c r="B32" s="200" t="s">
        <v>106</v>
      </c>
      <c r="C32" s="20" t="s">
        <v>107</v>
      </c>
      <c r="D32" s="20"/>
      <c r="E32" s="20"/>
      <c r="F32" s="207" t="s">
        <v>101</v>
      </c>
      <c r="G32" s="212" t="e">
        <f>G29*G30*F11/100</f>
        <v>#REF!</v>
      </c>
      <c r="H32" s="212"/>
      <c r="I32" s="212"/>
      <c r="J32" s="212"/>
      <c r="K32" s="212"/>
      <c r="L32" s="189"/>
      <c r="M32" s="15"/>
    </row>
    <row r="33" spans="1:12" s="4" customFormat="1" hidden="1">
      <c r="A33" s="1"/>
      <c r="B33" s="200" t="s">
        <v>108</v>
      </c>
      <c r="C33" s="20" t="s">
        <v>109</v>
      </c>
      <c r="D33" s="20"/>
      <c r="E33" s="20"/>
      <c r="F33" s="207" t="s">
        <v>101</v>
      </c>
      <c r="G33" s="213" t="e">
        <f>G32*G31</f>
        <v>#REF!</v>
      </c>
      <c r="H33" s="213"/>
      <c r="I33" s="213"/>
      <c r="J33" s="213"/>
      <c r="K33" s="213"/>
      <c r="L33" s="189"/>
    </row>
    <row r="34" spans="1:12" s="4" customFormat="1" hidden="1">
      <c r="A34" s="1"/>
      <c r="B34" s="1"/>
      <c r="C34" s="1"/>
      <c r="D34" s="1"/>
      <c r="E34" s="1"/>
      <c r="F34" s="214"/>
      <c r="G34" s="214"/>
      <c r="H34" s="214"/>
      <c r="I34" s="214"/>
      <c r="J34" s="214"/>
      <c r="K34" s="214"/>
      <c r="L34" s="215"/>
    </row>
    <row r="35" spans="1:12" s="4" customFormat="1" hidden="1">
      <c r="A35" s="1"/>
      <c r="B35" s="1" t="s">
        <v>110</v>
      </c>
      <c r="C35" s="1" t="s">
        <v>111</v>
      </c>
      <c r="D35" s="1"/>
      <c r="E35" s="1"/>
      <c r="F35" s="214">
        <f>(F19*1100 + 0.02*F20*(F15-60)*60)/1000</f>
        <v>2633</v>
      </c>
      <c r="G35" s="214"/>
      <c r="H35" s="214"/>
      <c r="I35" s="214"/>
      <c r="J35" s="214"/>
      <c r="K35" s="214"/>
      <c r="L35" s="215"/>
    </row>
    <row r="36" spans="1:12" s="4" customFormat="1" hidden="1">
      <c r="A36" s="1"/>
      <c r="B36" s="1"/>
      <c r="C36" s="1"/>
      <c r="D36" s="1"/>
      <c r="E36" s="1"/>
      <c r="F36" s="214"/>
      <c r="G36" s="214"/>
      <c r="H36" s="214"/>
      <c r="I36" s="214"/>
      <c r="J36" s="214"/>
      <c r="K36" s="214"/>
      <c r="L36" s="215"/>
    </row>
    <row r="37" spans="1:12" s="4" customFormat="1" ht="13.5" hidden="1" thickBot="1">
      <c r="A37" s="1"/>
      <c r="B37" s="1"/>
      <c r="C37" s="1"/>
      <c r="D37" s="1"/>
      <c r="E37" s="1"/>
      <c r="F37" s="214"/>
      <c r="G37" s="214"/>
      <c r="H37" s="214"/>
      <c r="I37" s="214"/>
      <c r="J37" s="214"/>
      <c r="K37" s="214"/>
      <c r="L37" s="215"/>
    </row>
    <row r="38" spans="1:12" s="4" customFormat="1" hidden="1">
      <c r="A38" s="1"/>
      <c r="B38" s="2740" t="s">
        <v>112</v>
      </c>
      <c r="C38" s="2741"/>
      <c r="D38" s="2741"/>
      <c r="E38" s="2741"/>
      <c r="F38" s="2742"/>
      <c r="G38" s="5"/>
      <c r="H38" s="5"/>
      <c r="I38" s="5"/>
      <c r="J38" s="5"/>
      <c r="K38" s="5"/>
      <c r="L38" s="215"/>
    </row>
    <row r="39" spans="1:12" s="4" customFormat="1" hidden="1">
      <c r="A39" s="1"/>
      <c r="B39" s="216" t="s">
        <v>113</v>
      </c>
      <c r="C39" s="217" t="s">
        <v>89</v>
      </c>
      <c r="D39" s="217"/>
      <c r="E39" s="217"/>
      <c r="F39" s="218">
        <f>F28</f>
        <v>1241.1711035594215</v>
      </c>
      <c r="G39" s="219"/>
      <c r="H39" s="219"/>
      <c r="I39" s="219"/>
      <c r="J39" s="219"/>
      <c r="K39" s="219"/>
      <c r="L39" s="215"/>
    </row>
    <row r="40" spans="1:12" s="4" customFormat="1" hidden="1">
      <c r="A40" s="1"/>
      <c r="B40" s="216" t="s">
        <v>114</v>
      </c>
      <c r="C40" s="217" t="s">
        <v>89</v>
      </c>
      <c r="D40" s="217"/>
      <c r="E40" s="217"/>
      <c r="F40" s="218">
        <f>F20-F39</f>
        <v>2258.8288964405783</v>
      </c>
      <c r="G40" s="219"/>
      <c r="H40" s="219"/>
      <c r="I40" s="219"/>
      <c r="J40" s="219"/>
      <c r="K40" s="219"/>
      <c r="L40" s="215"/>
    </row>
    <row r="41" spans="1:12" s="4" customFormat="1" hidden="1">
      <c r="A41" s="1"/>
      <c r="B41" s="220" t="s">
        <v>115</v>
      </c>
      <c r="C41" s="221" t="s">
        <v>77</v>
      </c>
      <c r="D41" s="221"/>
      <c r="E41" s="221"/>
      <c r="F41" s="218">
        <f>0.0763*F40*60</f>
        <v>10340.918687904968</v>
      </c>
      <c r="G41" s="219"/>
      <c r="H41" s="219"/>
      <c r="I41" s="219"/>
      <c r="J41" s="219"/>
      <c r="K41" s="219"/>
      <c r="L41" s="215"/>
    </row>
    <row r="42" spans="1:12" s="4" customFormat="1" hidden="1">
      <c r="A42" s="1"/>
      <c r="B42" s="216" t="s">
        <v>116</v>
      </c>
      <c r="C42" s="217" t="s">
        <v>1173</v>
      </c>
      <c r="D42" s="217"/>
      <c r="E42" s="217"/>
      <c r="F42" s="218">
        <f>F39*60*0.02* (F15-100)</f>
        <v>484056.73038817442</v>
      </c>
      <c r="G42" s="219"/>
      <c r="H42" s="219"/>
      <c r="I42" s="219"/>
      <c r="J42" s="219"/>
      <c r="K42" s="219"/>
      <c r="L42" s="215"/>
    </row>
    <row r="43" spans="1:12" s="4" customFormat="1" hidden="1">
      <c r="A43" s="1"/>
      <c r="B43" s="220" t="s">
        <v>117</v>
      </c>
      <c r="C43" s="221" t="s">
        <v>1173</v>
      </c>
      <c r="D43" s="221"/>
      <c r="E43" s="221"/>
      <c r="F43" s="218" t="e">
        <f>F42/(F17/100)</f>
        <v>#REF!</v>
      </c>
      <c r="G43" s="219"/>
      <c r="H43" s="219"/>
      <c r="I43" s="219"/>
      <c r="J43" s="219"/>
      <c r="K43" s="219"/>
      <c r="L43" s="215"/>
    </row>
    <row r="44" spans="1:12" s="4" customFormat="1" hidden="1">
      <c r="A44" s="1"/>
      <c r="B44" s="220" t="s">
        <v>267</v>
      </c>
      <c r="C44" s="221" t="s">
        <v>1054</v>
      </c>
      <c r="D44" s="221"/>
      <c r="E44" s="221"/>
      <c r="F44" s="218" t="e">
        <f>F11-F43/1000</f>
        <v>#REF!</v>
      </c>
      <c r="G44" s="219"/>
      <c r="H44" s="219"/>
      <c r="I44" s="219"/>
      <c r="J44" s="219"/>
      <c r="K44" s="219"/>
      <c r="L44" s="215"/>
    </row>
    <row r="45" spans="1:12" s="4" customFormat="1" hidden="1">
      <c r="A45" s="1"/>
      <c r="B45" s="220" t="s">
        <v>268</v>
      </c>
      <c r="C45" s="221" t="s">
        <v>1054</v>
      </c>
      <c r="D45" s="221"/>
      <c r="E45" s="221"/>
      <c r="F45" s="218" t="e">
        <f>F44*(1+F16/100)*10</f>
        <v>#REF!</v>
      </c>
      <c r="G45" s="219"/>
      <c r="H45" s="219"/>
      <c r="I45" s="219"/>
      <c r="J45" s="219"/>
      <c r="K45" s="219"/>
      <c r="L45" s="215"/>
    </row>
    <row r="46" spans="1:12" s="4" customFormat="1" hidden="1">
      <c r="A46" s="1"/>
      <c r="B46" s="220" t="s">
        <v>269</v>
      </c>
      <c r="C46" s="221" t="s">
        <v>77</v>
      </c>
      <c r="D46" s="221"/>
      <c r="E46" s="221"/>
      <c r="F46" s="218" t="e">
        <f>0.0763*(0.6*F44+F45)</f>
        <v>#REF!</v>
      </c>
      <c r="G46" s="219"/>
      <c r="H46" s="219"/>
      <c r="I46" s="219"/>
      <c r="J46" s="219"/>
      <c r="K46" s="219"/>
      <c r="L46" s="215"/>
    </row>
    <row r="47" spans="1:12" s="4" customFormat="1" ht="25.5" hidden="1">
      <c r="A47" s="1"/>
      <c r="B47" s="220" t="s">
        <v>270</v>
      </c>
      <c r="C47" s="221" t="s">
        <v>77</v>
      </c>
      <c r="D47" s="221"/>
      <c r="E47" s="221"/>
      <c r="F47" s="218" t="e">
        <f>0.0763*(0.6*F44+10*F44)</f>
        <v>#REF!</v>
      </c>
      <c r="G47" s="219"/>
      <c r="H47" s="219"/>
      <c r="I47" s="219"/>
      <c r="J47" s="219"/>
      <c r="K47" s="219"/>
      <c r="L47" s="215"/>
    </row>
    <row r="48" spans="1:12" s="4" customFormat="1" hidden="1">
      <c r="A48" s="1"/>
      <c r="B48" s="220" t="s">
        <v>84</v>
      </c>
      <c r="C48" s="221" t="s">
        <v>77</v>
      </c>
      <c r="D48" s="221"/>
      <c r="E48" s="221"/>
      <c r="F48" s="218" t="e">
        <f>0.1*11*F44*0.0763</f>
        <v>#REF!</v>
      </c>
      <c r="G48" s="219"/>
      <c r="H48" s="219"/>
      <c r="I48" s="219"/>
      <c r="J48" s="219"/>
      <c r="K48" s="219"/>
      <c r="L48" s="215"/>
    </row>
    <row r="49" spans="1:13" s="4" customFormat="1" hidden="1">
      <c r="A49" s="1"/>
      <c r="B49" s="220" t="s">
        <v>93</v>
      </c>
      <c r="C49" s="221" t="s">
        <v>77</v>
      </c>
      <c r="D49" s="221"/>
      <c r="E49" s="221"/>
      <c r="F49" s="218" t="e">
        <f>F46-F48</f>
        <v>#REF!</v>
      </c>
      <c r="G49" s="219"/>
      <c r="H49" s="219"/>
      <c r="I49" s="219"/>
      <c r="J49" s="219"/>
      <c r="K49" s="219"/>
      <c r="L49" s="215"/>
      <c r="M49" s="202"/>
    </row>
    <row r="50" spans="1:13" s="4" customFormat="1" hidden="1">
      <c r="A50" s="1"/>
      <c r="B50" s="222" t="s">
        <v>271</v>
      </c>
      <c r="C50" s="223" t="s">
        <v>95</v>
      </c>
      <c r="D50" s="223"/>
      <c r="E50" s="223"/>
      <c r="F50" s="224" t="e">
        <f>(F19+F48)/(F41+F49)</f>
        <v>#REF!</v>
      </c>
      <c r="G50" s="225"/>
      <c r="H50" s="225"/>
      <c r="I50" s="225"/>
      <c r="J50" s="225"/>
      <c r="K50" s="225"/>
      <c r="L50" s="215"/>
      <c r="M50" s="226"/>
    </row>
    <row r="51" spans="1:13" s="4" customFormat="1" hidden="1">
      <c r="A51" s="1"/>
      <c r="B51" s="145" t="s">
        <v>272</v>
      </c>
      <c r="C51" s="11"/>
      <c r="D51" s="11"/>
      <c r="E51" s="11"/>
      <c r="F51" s="227" t="e">
        <f>(F11-F44)/F11</f>
        <v>#REF!</v>
      </c>
      <c r="G51" s="228"/>
      <c r="H51" s="228"/>
      <c r="I51" s="228"/>
      <c r="J51" s="228"/>
      <c r="K51" s="228"/>
      <c r="L51" s="215"/>
    </row>
    <row r="52" spans="1:13" s="4" customFormat="1" ht="13.5" hidden="1" thickBot="1">
      <c r="A52" s="1"/>
      <c r="B52" s="229"/>
      <c r="C52" s="230"/>
      <c r="D52" s="230"/>
      <c r="E52" s="230"/>
      <c r="F52" s="231"/>
      <c r="G52" s="232"/>
      <c r="H52" s="232"/>
      <c r="I52" s="232"/>
      <c r="J52" s="232"/>
      <c r="K52" s="232"/>
      <c r="L52" s="215"/>
    </row>
    <row r="53" spans="1:13" s="4" customFormat="1" hidden="1">
      <c r="A53" s="1"/>
      <c r="B53" s="1"/>
      <c r="C53" s="1"/>
      <c r="D53" s="1"/>
      <c r="E53" s="1"/>
      <c r="F53" s="233"/>
      <c r="G53" s="233"/>
      <c r="H53" s="233"/>
      <c r="I53" s="233"/>
      <c r="J53" s="233"/>
      <c r="K53" s="233"/>
      <c r="L53" s="215"/>
    </row>
    <row r="54" spans="1:13" s="4" customFormat="1" hidden="1">
      <c r="A54" s="1"/>
      <c r="B54" s="1"/>
      <c r="C54" s="1"/>
      <c r="D54" s="1"/>
      <c r="E54" s="1"/>
      <c r="F54" s="233"/>
      <c r="G54" s="233"/>
      <c r="H54" s="233"/>
      <c r="I54" s="233"/>
      <c r="J54" s="233"/>
      <c r="K54" s="233"/>
      <c r="L54" s="215"/>
    </row>
    <row r="55" spans="1:13" s="4" customFormat="1" hidden="1">
      <c r="A55" s="1"/>
      <c r="B55" s="1"/>
      <c r="C55" s="1"/>
      <c r="D55" s="1"/>
      <c r="E55" s="1"/>
      <c r="F55" s="233"/>
      <c r="G55" s="233"/>
      <c r="H55" s="233"/>
      <c r="I55" s="233"/>
      <c r="J55" s="233"/>
      <c r="K55" s="233"/>
      <c r="L55" s="215"/>
    </row>
    <row r="56" spans="1:13" s="4" customFormat="1" hidden="1">
      <c r="A56" s="1"/>
      <c r="B56" s="1"/>
      <c r="C56" s="1"/>
      <c r="D56" s="1"/>
      <c r="E56" s="1"/>
      <c r="F56" s="233"/>
      <c r="G56" s="233"/>
      <c r="H56" s="233"/>
      <c r="I56" s="233"/>
      <c r="J56" s="233"/>
      <c r="K56" s="233"/>
      <c r="L56" s="215"/>
    </row>
    <row r="57" spans="1:13" s="4" customFormat="1">
      <c r="A57" s="1"/>
      <c r="B57" s="1"/>
      <c r="C57" s="1"/>
      <c r="D57" s="1"/>
      <c r="E57" s="1"/>
      <c r="F57" s="233"/>
      <c r="G57" s="233"/>
      <c r="H57" s="233"/>
      <c r="I57" s="233"/>
      <c r="J57" s="233"/>
      <c r="K57" s="233"/>
      <c r="L57" s="215"/>
    </row>
    <row r="58" spans="1:13" s="4" customFormat="1" ht="23.25">
      <c r="A58" s="1"/>
      <c r="B58" s="1"/>
      <c r="C58" s="1"/>
      <c r="D58" s="234" t="s">
        <v>273</v>
      </c>
      <c r="E58" s="165"/>
      <c r="F58" s="235"/>
      <c r="G58" s="235"/>
      <c r="H58" s="233"/>
      <c r="I58" s="233"/>
      <c r="J58" s="236"/>
      <c r="K58" s="236"/>
      <c r="L58" s="237">
        <f>I69+J69</f>
        <v>1.7278617710583153</v>
      </c>
    </row>
    <row r="59" spans="1:13" s="4" customFormat="1">
      <c r="A59" s="1"/>
      <c r="B59" s="1"/>
      <c r="C59" s="1"/>
      <c r="D59" s="1"/>
      <c r="E59" s="1"/>
      <c r="F59" s="233"/>
      <c r="G59" s="233"/>
      <c r="H59" s="233"/>
      <c r="I59" s="233"/>
      <c r="J59" s="233"/>
      <c r="K59" s="233"/>
      <c r="L59" s="215"/>
    </row>
    <row r="60" spans="1:13" s="4" customFormat="1" ht="15">
      <c r="B60" s="2734" t="s">
        <v>274</v>
      </c>
      <c r="C60" s="2734"/>
      <c r="D60" s="2734"/>
      <c r="E60" s="2734"/>
      <c r="F60" s="2734"/>
      <c r="G60" s="2734"/>
      <c r="H60" s="2734"/>
      <c r="I60" s="2734"/>
      <c r="J60" s="2734"/>
      <c r="K60" s="2734"/>
      <c r="L60" s="2734"/>
    </row>
    <row r="61" spans="1:13" s="4" customFormat="1" ht="15">
      <c r="B61" s="238"/>
      <c r="C61" s="238"/>
      <c r="D61" s="238"/>
      <c r="E61" s="238"/>
      <c r="F61" s="238" t="s">
        <v>275</v>
      </c>
      <c r="G61" s="238"/>
      <c r="H61" s="238"/>
      <c r="I61" s="238"/>
      <c r="J61" s="238"/>
      <c r="K61" s="238"/>
      <c r="L61" s="238"/>
    </row>
    <row r="62" spans="1:13" s="4" customFormat="1" ht="15">
      <c r="B62" s="239"/>
      <c r="C62" s="240" t="s">
        <v>48</v>
      </c>
      <c r="D62" s="241" t="s">
        <v>50</v>
      </c>
      <c r="E62" s="238" t="s">
        <v>276</v>
      </c>
      <c r="F62" s="238"/>
      <c r="G62" s="238"/>
      <c r="H62" s="238"/>
      <c r="I62" s="238"/>
      <c r="J62" s="238"/>
      <c r="K62" s="238"/>
      <c r="L62" s="238"/>
    </row>
    <row r="63" spans="1:13" s="4" customFormat="1" ht="15">
      <c r="B63" s="242" t="s">
        <v>277</v>
      </c>
      <c r="C63" s="243">
        <v>23.15</v>
      </c>
      <c r="D63" s="244">
        <f>100-C63</f>
        <v>76.849999999999994</v>
      </c>
      <c r="E63" s="245">
        <f>D63/C63</f>
        <v>3.3196544276457884</v>
      </c>
      <c r="F63" s="238"/>
      <c r="G63" s="238"/>
      <c r="H63" s="238"/>
      <c r="I63" s="238"/>
      <c r="J63" s="238"/>
      <c r="K63" s="238"/>
      <c r="L63" s="238"/>
    </row>
    <row r="64" spans="1:13" s="4" customFormat="1" ht="15">
      <c r="B64" s="246" t="s">
        <v>278</v>
      </c>
      <c r="C64" s="247">
        <v>20.99</v>
      </c>
      <c r="D64" s="248">
        <f>100-C64</f>
        <v>79.010000000000005</v>
      </c>
      <c r="E64" s="245">
        <f>D64/C64</f>
        <v>3.7641734159123397</v>
      </c>
      <c r="F64" s="238"/>
      <c r="G64" s="238"/>
      <c r="H64" s="238"/>
      <c r="I64" s="238"/>
      <c r="J64" s="238"/>
      <c r="K64" s="238"/>
      <c r="L64" s="238"/>
    </row>
    <row r="65" spans="1:17" s="4" customFormat="1" ht="15">
      <c r="B65" s="238"/>
      <c r="C65" s="238"/>
      <c r="D65" s="238"/>
      <c r="E65" s="238"/>
      <c r="F65" s="238"/>
      <c r="G65" s="238"/>
      <c r="H65" s="238"/>
      <c r="I65" s="238"/>
      <c r="J65" s="238"/>
      <c r="K65" s="238"/>
      <c r="L65" s="238"/>
    </row>
    <row r="66" spans="1:17" s="1" customFormat="1" ht="45">
      <c r="B66" s="249" t="s">
        <v>279</v>
      </c>
      <c r="C66" s="249" t="s">
        <v>280</v>
      </c>
      <c r="D66" s="249" t="s">
        <v>281</v>
      </c>
      <c r="E66" s="249" t="s">
        <v>282</v>
      </c>
      <c r="F66" s="250" t="s">
        <v>422</v>
      </c>
      <c r="G66" s="250" t="s">
        <v>283</v>
      </c>
      <c r="H66" s="250" t="s">
        <v>284</v>
      </c>
      <c r="I66" s="250" t="s">
        <v>285</v>
      </c>
      <c r="J66" s="250" t="s">
        <v>286</v>
      </c>
      <c r="K66" s="250" t="s">
        <v>1056</v>
      </c>
      <c r="L66" s="251" t="s">
        <v>287</v>
      </c>
      <c r="M66" s="252" t="s">
        <v>288</v>
      </c>
      <c r="N66" s="1" t="s">
        <v>289</v>
      </c>
    </row>
    <row r="67" spans="1:17" s="1" customFormat="1" ht="15">
      <c r="B67" s="249" t="s">
        <v>41</v>
      </c>
      <c r="C67" s="249"/>
      <c r="D67" s="249"/>
      <c r="E67" s="249"/>
      <c r="F67" s="250"/>
      <c r="G67" s="250"/>
      <c r="H67" s="250"/>
      <c r="I67" s="250"/>
      <c r="J67" s="250"/>
      <c r="K67" s="250"/>
      <c r="L67" s="251"/>
      <c r="M67" s="252"/>
    </row>
    <row r="68" spans="1:17" s="4" customFormat="1">
      <c r="B68" s="253" t="s">
        <v>939</v>
      </c>
      <c r="C68" s="254">
        <f>'Data Input &amp; RESULTS '!C6</f>
        <v>0.75</v>
      </c>
      <c r="D68" s="254">
        <f t="shared" ref="D68:D74" si="0">C68/$C$82</f>
        <v>0.75</v>
      </c>
      <c r="E68" s="255">
        <v>14100</v>
      </c>
      <c r="F68" s="256">
        <f>(D68)*44/12</f>
        <v>2.75</v>
      </c>
      <c r="G68" s="256"/>
      <c r="H68" s="256"/>
      <c r="I68" s="257">
        <f>D68*32/12</f>
        <v>2</v>
      </c>
      <c r="J68" s="257">
        <f>I68*$E$63</f>
        <v>6.6393088552915769</v>
      </c>
      <c r="K68" s="257">
        <f>I68+J68</f>
        <v>8.6393088552915778</v>
      </c>
      <c r="L68" s="258">
        <f t="shared" ref="L68:L73" si="1">C68*E68</f>
        <v>10575</v>
      </c>
      <c r="M68" s="4">
        <f>D68*44/12</f>
        <v>2.75</v>
      </c>
      <c r="N68" s="4">
        <v>150</v>
      </c>
      <c r="P68" s="259">
        <f t="shared" ref="P68:P74" si="2">SUM(F68:H68)+J68</f>
        <v>9.3893088552915778</v>
      </c>
      <c r="Q68" s="4">
        <f>D68*44/12</f>
        <v>2.75</v>
      </c>
    </row>
    <row r="69" spans="1:17" s="4" customFormat="1">
      <c r="B69" s="253" t="s">
        <v>290</v>
      </c>
      <c r="C69" s="254">
        <f>'Data Input &amp; RESULTS '!C7</f>
        <v>0.05</v>
      </c>
      <c r="D69" s="254">
        <f t="shared" si="0"/>
        <v>0.05</v>
      </c>
      <c r="E69" s="255">
        <v>61100</v>
      </c>
      <c r="F69" s="256"/>
      <c r="G69" s="256">
        <f>D69*18/2</f>
        <v>0.45</v>
      </c>
      <c r="H69" s="256"/>
      <c r="I69" s="257">
        <f>D69*16/2</f>
        <v>0.4</v>
      </c>
      <c r="J69" s="257">
        <f>I69*$E$63</f>
        <v>1.3278617710583154</v>
      </c>
      <c r="K69" s="257">
        <f>I69+J69</f>
        <v>1.7278617710583153</v>
      </c>
      <c r="L69" s="258">
        <f t="shared" si="1"/>
        <v>3055</v>
      </c>
      <c r="M69" s="4">
        <f>D69*18/2</f>
        <v>0.45</v>
      </c>
      <c r="N69" s="4">
        <v>451</v>
      </c>
      <c r="P69" s="259">
        <f t="shared" si="2"/>
        <v>1.7778617710583153</v>
      </c>
    </row>
    <row r="70" spans="1:17" s="4" customFormat="1">
      <c r="B70" s="253" t="s">
        <v>46</v>
      </c>
      <c r="C70" s="254">
        <f>'Data Input &amp; RESULTS '!C8</f>
        <v>5.0000000000000001E-3</v>
      </c>
      <c r="D70" s="254">
        <f t="shared" si="0"/>
        <v>5.0000000000000001E-3</v>
      </c>
      <c r="E70" s="255">
        <v>3980</v>
      </c>
      <c r="F70" s="256"/>
      <c r="G70" s="260"/>
      <c r="H70" s="260">
        <f>D70*64/32</f>
        <v>0.01</v>
      </c>
      <c r="I70" s="261">
        <f>D70*32/32</f>
        <v>5.0000000000000001E-3</v>
      </c>
      <c r="J70" s="257">
        <f>I70*$E$63</f>
        <v>1.6598272138228943E-2</v>
      </c>
      <c r="K70" s="257">
        <f>I70+J70</f>
        <v>2.1598272138228944E-2</v>
      </c>
      <c r="L70" s="258">
        <f t="shared" si="1"/>
        <v>19.900000000000002</v>
      </c>
      <c r="M70" s="4">
        <v>5.2999999999999999E-2</v>
      </c>
      <c r="N70" s="4">
        <v>56.4</v>
      </c>
      <c r="P70" s="259">
        <f t="shared" si="2"/>
        <v>2.6598272138228941E-2</v>
      </c>
    </row>
    <row r="71" spans="1:17" s="4" customFormat="1">
      <c r="A71" s="1"/>
      <c r="B71" s="262" t="s">
        <v>291</v>
      </c>
      <c r="C71" s="254">
        <f>'Data Input &amp; RESULTS '!C9</f>
        <v>0.1</v>
      </c>
      <c r="D71" s="254">
        <f t="shared" si="0"/>
        <v>0.1</v>
      </c>
      <c r="E71" s="255"/>
      <c r="F71" s="263"/>
      <c r="G71" s="256"/>
      <c r="H71" s="256"/>
      <c r="I71" s="257"/>
      <c r="J71" s="257">
        <f>I71*$E$63</f>
        <v>0</v>
      </c>
      <c r="K71" s="257">
        <f>I71+J71</f>
        <v>0</v>
      </c>
      <c r="L71" s="258">
        <f t="shared" si="1"/>
        <v>0</v>
      </c>
      <c r="M71" s="4">
        <v>0.01</v>
      </c>
      <c r="N71" s="4">
        <v>0</v>
      </c>
      <c r="P71" s="259">
        <f t="shared" si="2"/>
        <v>0</v>
      </c>
    </row>
    <row r="72" spans="1:17" s="4" customFormat="1">
      <c r="A72" s="1"/>
      <c r="B72" s="262" t="s">
        <v>48</v>
      </c>
      <c r="C72" s="254">
        <f>'Data Input &amp; RESULTS '!C10</f>
        <v>0.08</v>
      </c>
      <c r="D72" s="254">
        <f t="shared" si="0"/>
        <v>0.08</v>
      </c>
      <c r="E72" s="255"/>
      <c r="F72" s="263"/>
      <c r="G72" s="260"/>
      <c r="H72" s="260"/>
      <c r="I72" s="261">
        <f>-(C72)</f>
        <v>-0.08</v>
      </c>
      <c r="J72" s="257">
        <f>I72*$E$63</f>
        <v>-0.26557235421166309</v>
      </c>
      <c r="K72" s="257">
        <f>I72+J72</f>
        <v>-0.3455723542116631</v>
      </c>
      <c r="L72" s="258">
        <f t="shared" si="1"/>
        <v>0</v>
      </c>
      <c r="M72" s="4">
        <v>-3.3099999999999997E-2</v>
      </c>
      <c r="N72" s="4">
        <f>-1/0.0763</f>
        <v>-13.10615989515072</v>
      </c>
      <c r="P72" s="259">
        <f t="shared" si="2"/>
        <v>-0.26557235421166309</v>
      </c>
    </row>
    <row r="73" spans="1:17" s="4" customFormat="1">
      <c r="A73" s="1"/>
      <c r="B73" s="262" t="s">
        <v>49</v>
      </c>
      <c r="C73" s="254">
        <f>'Data Input &amp; RESULTS '!C11</f>
        <v>0</v>
      </c>
      <c r="D73" s="254">
        <f t="shared" si="0"/>
        <v>0</v>
      </c>
      <c r="E73" s="264"/>
      <c r="F73" s="263"/>
      <c r="G73" s="263">
        <f>D73</f>
        <v>0</v>
      </c>
      <c r="H73" s="263"/>
      <c r="I73" s="265"/>
      <c r="J73" s="265"/>
      <c r="K73" s="265"/>
      <c r="L73" s="258">
        <f t="shared" si="1"/>
        <v>0</v>
      </c>
      <c r="N73" s="4">
        <v>0</v>
      </c>
      <c r="P73" s="259">
        <f t="shared" si="2"/>
        <v>0</v>
      </c>
    </row>
    <row r="74" spans="1:17" s="4" customFormat="1">
      <c r="A74" s="1"/>
      <c r="B74" s="262" t="s">
        <v>292</v>
      </c>
      <c r="C74" s="254">
        <f>'Data Input &amp; RESULTS '!C12</f>
        <v>1.4999999999999999E-2</v>
      </c>
      <c r="D74" s="254">
        <f t="shared" si="0"/>
        <v>1.4999999999999999E-2</v>
      </c>
      <c r="E74" s="264"/>
      <c r="F74" s="263"/>
      <c r="G74" s="263"/>
      <c r="H74" s="263"/>
      <c r="I74" s="265"/>
      <c r="J74" s="265"/>
      <c r="K74" s="265"/>
      <c r="L74" s="266"/>
      <c r="N74" s="4">
        <v>0</v>
      </c>
      <c r="P74" s="259">
        <f t="shared" si="2"/>
        <v>0</v>
      </c>
    </row>
    <row r="75" spans="1:17" s="4" customFormat="1">
      <c r="A75" s="1"/>
      <c r="B75" s="267" t="s">
        <v>1172</v>
      </c>
      <c r="C75" s="162"/>
      <c r="D75" s="162"/>
      <c r="E75" s="162"/>
      <c r="F75" s="268">
        <f t="shared" ref="F75:L75" si="3">SUM(F68:F74)</f>
        <v>2.75</v>
      </c>
      <c r="G75" s="268">
        <f t="shared" si="3"/>
        <v>0.45</v>
      </c>
      <c r="H75" s="268">
        <f t="shared" si="3"/>
        <v>0.01</v>
      </c>
      <c r="I75" s="268">
        <f t="shared" si="3"/>
        <v>2.3249999999999997</v>
      </c>
      <c r="J75" s="268">
        <f t="shared" si="3"/>
        <v>7.7181965442764575</v>
      </c>
      <c r="K75" s="268">
        <f t="shared" si="3"/>
        <v>10.043196544276459</v>
      </c>
      <c r="L75" s="269">
        <f t="shared" si="3"/>
        <v>13649.9</v>
      </c>
    </row>
    <row r="76" spans="1:17" s="4" customFormat="1">
      <c r="A76" s="1"/>
      <c r="B76" s="267" t="s">
        <v>293</v>
      </c>
      <c r="C76" s="162"/>
      <c r="D76" s="162"/>
      <c r="E76" s="162"/>
      <c r="F76" s="268"/>
      <c r="G76" s="268"/>
      <c r="H76" s="268"/>
      <c r="I76" s="270">
        <f>($C$83)*I75</f>
        <v>0</v>
      </c>
      <c r="J76" s="270">
        <f>($C$83)*J75</f>
        <v>0</v>
      </c>
      <c r="K76" s="270">
        <f>($C$83)*K75</f>
        <v>0</v>
      </c>
      <c r="L76" s="266"/>
    </row>
    <row r="77" spans="1:17" s="4" customFormat="1">
      <c r="A77" s="1"/>
      <c r="B77" s="267" t="s">
        <v>294</v>
      </c>
      <c r="C77" s="162"/>
      <c r="D77" s="162"/>
      <c r="E77" s="162"/>
      <c r="F77" s="268"/>
      <c r="G77" s="268"/>
      <c r="H77" s="268"/>
      <c r="I77" s="270">
        <f>I75+I76</f>
        <v>2.3249999999999997</v>
      </c>
      <c r="J77" s="270">
        <f>J75+J76</f>
        <v>7.7181965442764575</v>
      </c>
      <c r="K77" s="270">
        <f>K75+K76</f>
        <v>10.043196544276459</v>
      </c>
      <c r="L77" s="266"/>
    </row>
    <row r="78" spans="1:17" s="4" customFormat="1">
      <c r="A78" s="1"/>
      <c r="B78" s="267" t="s">
        <v>295</v>
      </c>
      <c r="C78" s="271">
        <f>'Data Input &amp; RESULTS '!C21</f>
        <v>0.01</v>
      </c>
      <c r="D78" s="271"/>
      <c r="E78" s="271"/>
      <c r="F78" s="272"/>
      <c r="G78" s="272">
        <f>(C78*K77)</f>
        <v>0.10043196544276459</v>
      </c>
      <c r="H78" s="272"/>
      <c r="I78" s="273"/>
      <c r="J78" s="273"/>
      <c r="K78" s="273"/>
      <c r="L78" s="266" t="s">
        <v>296</v>
      </c>
    </row>
    <row r="79" spans="1:17" s="4" customFormat="1" ht="25.5">
      <c r="A79" s="1"/>
      <c r="B79" s="262"/>
      <c r="C79" s="274" t="s">
        <v>297</v>
      </c>
      <c r="D79" s="274"/>
      <c r="E79" s="274"/>
      <c r="F79" s="275">
        <f>F75</f>
        <v>2.75</v>
      </c>
      <c r="G79" s="275">
        <f>G75+G78</f>
        <v>0.55043196544276463</v>
      </c>
      <c r="H79" s="275">
        <f>H75</f>
        <v>0.01</v>
      </c>
      <c r="I79" s="275">
        <f>I76</f>
        <v>0</v>
      </c>
      <c r="J79" s="275">
        <f>J77</f>
        <v>7.7181965442764575</v>
      </c>
      <c r="K79" s="275"/>
      <c r="L79" s="276">
        <f>SUM(F79:J79)</f>
        <v>11.028628509719223</v>
      </c>
    </row>
    <row r="80" spans="1:17" s="4" customFormat="1">
      <c r="A80" s="1"/>
      <c r="B80" s="262"/>
      <c r="C80" s="274" t="s">
        <v>298</v>
      </c>
      <c r="D80" s="274"/>
      <c r="E80" s="274"/>
      <c r="F80" s="275"/>
      <c r="G80" s="275"/>
      <c r="H80" s="275"/>
      <c r="I80" s="275"/>
      <c r="J80" s="275"/>
      <c r="K80" s="275"/>
      <c r="L80" s="276">
        <f>L79</f>
        <v>11.028628509719223</v>
      </c>
    </row>
    <row r="81" spans="1:19" s="4" customFormat="1">
      <c r="A81" s="1"/>
      <c r="B81" s="262"/>
      <c r="C81" s="274" t="s">
        <v>299</v>
      </c>
      <c r="D81" s="274"/>
      <c r="E81" s="274"/>
      <c r="F81" s="275"/>
      <c r="G81" s="275"/>
      <c r="H81" s="275"/>
      <c r="I81" s="275"/>
      <c r="J81" s="275"/>
      <c r="K81" s="275"/>
      <c r="L81" s="276">
        <f>L80-G79</f>
        <v>10.478196544276457</v>
      </c>
    </row>
    <row r="82" spans="1:19" s="4" customFormat="1">
      <c r="A82" s="1"/>
      <c r="B82" s="262" t="s">
        <v>300</v>
      </c>
      <c r="C82" s="264">
        <f>SUM(C68:C74)</f>
        <v>1</v>
      </c>
      <c r="D82" s="264">
        <f>SUM(D68:D81)</f>
        <v>1</v>
      </c>
      <c r="E82" s="264"/>
      <c r="F82" s="263"/>
      <c r="G82" s="263"/>
      <c r="H82" s="263"/>
      <c r="I82" s="265"/>
      <c r="J82" s="265"/>
      <c r="K82" s="265"/>
      <c r="L82" s="266"/>
    </row>
    <row r="83" spans="1:19" s="4" customFormat="1">
      <c r="A83" s="1"/>
      <c r="B83" s="262" t="s">
        <v>301</v>
      </c>
      <c r="C83" s="277">
        <f>'Data Input &amp; RESULTS '!C17</f>
        <v>0</v>
      </c>
      <c r="D83" s="278"/>
      <c r="E83" s="278"/>
      <c r="F83" s="263"/>
      <c r="G83" s="263"/>
      <c r="H83" s="263"/>
      <c r="I83" s="265"/>
      <c r="J83" s="265"/>
      <c r="K83" s="265"/>
      <c r="L83" s="266"/>
    </row>
    <row r="84" spans="1:19" s="4" customFormat="1">
      <c r="A84" s="1"/>
      <c r="B84" s="262"/>
      <c r="C84" s="279"/>
      <c r="D84" s="279"/>
      <c r="E84" s="279"/>
      <c r="F84" s="263"/>
      <c r="G84" s="263"/>
      <c r="H84" s="263"/>
      <c r="I84" s="265"/>
      <c r="J84" s="265"/>
      <c r="K84" s="265"/>
      <c r="L84" s="266"/>
      <c r="M84" s="280">
        <v>1.8190000000000001E-3</v>
      </c>
    </row>
    <row r="85" spans="1:19" s="4" customFormat="1">
      <c r="A85" s="1"/>
      <c r="B85" s="262" t="s">
        <v>302</v>
      </c>
      <c r="C85" s="264"/>
      <c r="D85" s="264"/>
      <c r="E85" s="264"/>
      <c r="F85" s="263">
        <f>SUM(F68:F74)</f>
        <v>2.75</v>
      </c>
      <c r="G85" s="263">
        <f>SUM(G68:G74)</f>
        <v>0.45</v>
      </c>
      <c r="H85" s="263">
        <f>SUM(H68:H74)</f>
        <v>0.01</v>
      </c>
      <c r="I85" s="263">
        <f>SUM(I68:I74)</f>
        <v>2.3249999999999997</v>
      </c>
      <c r="J85" s="263">
        <f>SUM(J68:J75)</f>
        <v>15.436393088552915</v>
      </c>
      <c r="K85" s="263"/>
      <c r="L85" s="266">
        <f>SUM(L68:L73)</f>
        <v>13649.9</v>
      </c>
      <c r="M85" s="98">
        <f>100*(C68*M68+M69*C69+C70*M70+C71*M71+C72*M72)</f>
        <v>208.36169999999998</v>
      </c>
      <c r="N85" s="281" t="e">
        <f>($C$68*N68+0.5*$C$69*N69+$C$70*N70+$C$71*N71+$C$72*N72+$C$73*N73+$C$74*N74+$C$75*N75+$C$76*N76+$C$77*N77+$C$81*N81)*(1+$C$83/100)</f>
        <v>#VALUE!</v>
      </c>
      <c r="P85" s="98">
        <f>SUM(P68:P75)</f>
        <v>10.928196544276458</v>
      </c>
      <c r="Q85" s="98">
        <f>I86+F85+G85+H85-I85</f>
        <v>18.646393088552916</v>
      </c>
    </row>
    <row r="86" spans="1:19" s="4" customFormat="1">
      <c r="A86" s="1"/>
      <c r="B86" s="262" t="s">
        <v>303</v>
      </c>
      <c r="C86" s="282">
        <f>'Data Input &amp; RESULTS '!C18</f>
        <v>0</v>
      </c>
      <c r="D86" s="264"/>
      <c r="E86" s="264"/>
      <c r="F86" s="263"/>
      <c r="G86" s="263"/>
      <c r="H86" s="263" t="s">
        <v>304</v>
      </c>
      <c r="I86" s="2729">
        <f>I85+J85</f>
        <v>17.761393088552914</v>
      </c>
      <c r="J86" s="2729"/>
      <c r="K86" s="263"/>
      <c r="L86" s="266"/>
      <c r="M86" s="280"/>
      <c r="N86" s="67"/>
    </row>
    <row r="87" spans="1:19" s="4" customFormat="1">
      <c r="A87" s="1"/>
      <c r="B87" s="6" t="s">
        <v>305</v>
      </c>
      <c r="C87" s="283">
        <f>'Data Input &amp; RESULTS '!C20</f>
        <v>70</v>
      </c>
      <c r="D87" s="284"/>
      <c r="E87" s="284"/>
      <c r="F87" s="285"/>
      <c r="G87" s="286"/>
      <c r="H87" s="286"/>
      <c r="I87" s="286"/>
      <c r="J87" s="286"/>
      <c r="K87" s="286"/>
      <c r="L87" s="215"/>
      <c r="N87" s="15" t="e">
        <f>100*N85/L85</f>
        <v>#VALUE!</v>
      </c>
    </row>
    <row r="88" spans="1:19" s="4" customFormat="1">
      <c r="A88" s="1"/>
      <c r="B88" s="6" t="s">
        <v>306</v>
      </c>
      <c r="C88" s="283">
        <f>'Data Input &amp; RESULTS '!C19</f>
        <v>0</v>
      </c>
      <c r="D88" s="284"/>
      <c r="E88" s="284"/>
      <c r="F88" s="285"/>
      <c r="G88" s="286"/>
      <c r="H88" s="286"/>
      <c r="I88" s="286"/>
      <c r="J88" s="286"/>
      <c r="K88" s="286"/>
      <c r="L88" s="215"/>
      <c r="N88" s="15"/>
    </row>
    <row r="89" spans="1:19" s="4" customFormat="1">
      <c r="A89" s="1"/>
      <c r="B89" s="6"/>
      <c r="C89" s="284"/>
      <c r="D89" s="284"/>
      <c r="E89" s="284"/>
      <c r="F89" s="285"/>
      <c r="G89" s="286"/>
      <c r="H89" s="286"/>
      <c r="I89" s="286"/>
      <c r="J89" s="286"/>
      <c r="K89" s="286"/>
      <c r="L89" s="215"/>
      <c r="N89" s="15"/>
    </row>
    <row r="90" spans="1:19" s="4" customFormat="1" ht="13.5" thickBot="1">
      <c r="A90" s="1"/>
      <c r="B90" s="6"/>
      <c r="C90" s="284"/>
      <c r="D90" s="284"/>
      <c r="E90" s="284"/>
      <c r="F90" s="285"/>
      <c r="G90" s="286"/>
      <c r="H90" s="286"/>
      <c r="I90" s="286"/>
      <c r="J90" s="286"/>
      <c r="K90" s="286"/>
      <c r="L90" s="215"/>
      <c r="N90" s="15"/>
    </row>
    <row r="91" spans="1:19" s="4" customFormat="1">
      <c r="A91" s="1"/>
      <c r="B91" s="287" t="s">
        <v>307</v>
      </c>
      <c r="C91" s="288">
        <f>C83</f>
        <v>0</v>
      </c>
      <c r="D91" s="289"/>
      <c r="E91" s="289"/>
      <c r="F91" s="285"/>
      <c r="G91" s="286"/>
      <c r="H91" s="286"/>
      <c r="I91" s="286"/>
      <c r="J91" s="286"/>
      <c r="K91" s="286"/>
      <c r="L91" s="215"/>
      <c r="N91" s="15" t="e">
        <f>1/N87</f>
        <v>#VALUE!</v>
      </c>
    </row>
    <row r="92" spans="1:19" s="4" customFormat="1">
      <c r="A92" s="1"/>
      <c r="B92" s="290" t="s">
        <v>308</v>
      </c>
      <c r="C92" s="291">
        <f>I85*C91</f>
        <v>0</v>
      </c>
      <c r="D92" s="292"/>
      <c r="E92" s="292"/>
      <c r="F92" s="285"/>
      <c r="G92" s="286"/>
      <c r="H92" s="286"/>
      <c r="I92" s="286"/>
      <c r="J92" s="286"/>
      <c r="K92" s="286"/>
      <c r="L92" s="215"/>
    </row>
    <row r="93" spans="1:19" s="4" customFormat="1" ht="13.5" thickBot="1">
      <c r="A93" s="1"/>
      <c r="B93" s="290" t="s">
        <v>309</v>
      </c>
      <c r="C93" s="291">
        <f>C92*H206</f>
        <v>0</v>
      </c>
      <c r="D93" s="292"/>
      <c r="E93" s="292"/>
      <c r="F93" s="285"/>
      <c r="G93" s="286"/>
      <c r="H93" s="286"/>
      <c r="I93" s="286"/>
      <c r="J93" s="286"/>
      <c r="K93" s="286"/>
      <c r="L93" s="215">
        <f>16/0.23</f>
        <v>69.565217391304344</v>
      </c>
    </row>
    <row r="94" spans="1:19" s="4" customFormat="1" ht="13.5" thickBot="1">
      <c r="A94" s="1"/>
      <c r="B94" s="293" t="s">
        <v>310</v>
      </c>
      <c r="C94" s="294">
        <f>C92+C93</f>
        <v>0</v>
      </c>
      <c r="D94" s="292"/>
      <c r="E94" s="292"/>
      <c r="F94" s="285"/>
      <c r="G94" s="286"/>
      <c r="H94" s="286"/>
      <c r="I94" s="286"/>
      <c r="J94" s="286"/>
      <c r="K94" s="286"/>
      <c r="L94" s="215"/>
      <c r="N94" s="295" t="s">
        <v>311</v>
      </c>
      <c r="O94" s="296" t="s">
        <v>312</v>
      </c>
      <c r="P94" s="296" t="s">
        <v>313</v>
      </c>
      <c r="Q94" s="296" t="s">
        <v>314</v>
      </c>
      <c r="R94" s="296" t="s">
        <v>315</v>
      </c>
      <c r="S94" s="297" t="s">
        <v>316</v>
      </c>
    </row>
    <row r="95" spans="1:19" s="4" customFormat="1">
      <c r="A95" s="1"/>
      <c r="B95" s="1"/>
      <c r="C95" s="284"/>
      <c r="D95" s="284"/>
      <c r="E95" s="284"/>
      <c r="F95" s="285"/>
      <c r="G95" s="286"/>
      <c r="H95" s="286"/>
      <c r="I95" s="286"/>
      <c r="J95" s="286"/>
      <c r="K95" s="286"/>
      <c r="L95" s="215"/>
      <c r="M95" s="226"/>
      <c r="N95" s="298">
        <v>12</v>
      </c>
      <c r="O95" s="9">
        <v>32</v>
      </c>
      <c r="P95" s="299">
        <f>O95*3.3103</f>
        <v>105.92959999999999</v>
      </c>
      <c r="Q95" s="9">
        <v>44</v>
      </c>
      <c r="R95" s="299">
        <f>P95+Q95</f>
        <v>149.92959999999999</v>
      </c>
      <c r="S95" s="300">
        <f>R95/N95</f>
        <v>12.494133333333332</v>
      </c>
    </row>
    <row r="96" spans="1:19" s="4" customFormat="1">
      <c r="A96" s="1"/>
      <c r="B96" s="1"/>
      <c r="C96" s="284"/>
      <c r="D96" s="284"/>
      <c r="E96" s="284"/>
      <c r="F96" s="285"/>
      <c r="G96" s="286"/>
      <c r="H96" s="286"/>
      <c r="I96" s="286"/>
      <c r="J96" s="286"/>
      <c r="K96" s="286"/>
      <c r="L96" s="215"/>
      <c r="N96" s="298">
        <v>2</v>
      </c>
      <c r="O96" s="9">
        <v>16</v>
      </c>
      <c r="P96" s="299">
        <f>O96*3.3103</f>
        <v>52.964799999999997</v>
      </c>
      <c r="Q96" s="9">
        <v>18</v>
      </c>
      <c r="R96" s="299">
        <f>P96+Q96</f>
        <v>70.964799999999997</v>
      </c>
      <c r="S96" s="300">
        <f>R96/N96</f>
        <v>35.482399999999998</v>
      </c>
    </row>
    <row r="97" spans="1:19" s="4" customFormat="1" ht="13.5" thickBot="1">
      <c r="A97" s="1"/>
      <c r="B97" s="1"/>
      <c r="C97" s="284"/>
      <c r="D97" s="284"/>
      <c r="E97" s="284"/>
      <c r="F97" s="285"/>
      <c r="G97" s="286"/>
      <c r="H97" s="286"/>
      <c r="I97" s="286"/>
      <c r="J97" s="286"/>
      <c r="K97" s="286"/>
      <c r="L97" s="215"/>
      <c r="N97" s="301">
        <v>32</v>
      </c>
      <c r="O97" s="94">
        <v>32</v>
      </c>
      <c r="P97" s="302">
        <f>O97*3.3103</f>
        <v>105.92959999999999</v>
      </c>
      <c r="Q97" s="94">
        <v>64</v>
      </c>
      <c r="R97" s="302">
        <f>P97+Q97</f>
        <v>169.92959999999999</v>
      </c>
      <c r="S97" s="303">
        <f>R97/N97</f>
        <v>5.3102999999999998</v>
      </c>
    </row>
    <row r="98" spans="1:19" s="4" customFormat="1" ht="15.75">
      <c r="A98" s="1"/>
      <c r="B98" s="304" t="s">
        <v>317</v>
      </c>
      <c r="C98" s="305"/>
      <c r="D98" s="305"/>
      <c r="E98" s="305"/>
      <c r="F98" s="306" t="s">
        <v>318</v>
      </c>
      <c r="G98" s="307" t="s">
        <v>319</v>
      </c>
      <c r="H98" s="307" t="s">
        <v>320</v>
      </c>
      <c r="I98" s="307" t="s">
        <v>48</v>
      </c>
      <c r="J98" s="307" t="s">
        <v>50</v>
      </c>
      <c r="K98" s="307"/>
      <c r="L98" s="308" t="s">
        <v>321</v>
      </c>
      <c r="M98" s="4" t="s">
        <v>322</v>
      </c>
      <c r="N98" s="309"/>
    </row>
    <row r="99" spans="1:19" s="4" customFormat="1" ht="15">
      <c r="A99" s="1"/>
      <c r="B99" s="310" t="s">
        <v>323</v>
      </c>
      <c r="C99" s="311"/>
      <c r="D99" s="311"/>
      <c r="E99" s="311"/>
      <c r="F99" s="312">
        <f>F79</f>
        <v>2.75</v>
      </c>
      <c r="G99" s="312">
        <f>G79</f>
        <v>0.55043196544276463</v>
      </c>
      <c r="H99" s="312">
        <f>H79</f>
        <v>0.01</v>
      </c>
      <c r="I99" s="312">
        <f>I79</f>
        <v>0</v>
      </c>
      <c r="J99" s="312">
        <f>J79</f>
        <v>7.7181965442764575</v>
      </c>
      <c r="K99" s="312"/>
      <c r="L99" s="313">
        <f>SUM(F99:J99)</f>
        <v>11.028628509719223</v>
      </c>
      <c r="M99" s="314">
        <f>(M85-L99)/L99</f>
        <v>17.892802474612019</v>
      </c>
    </row>
    <row r="100" spans="1:19" s="4" customFormat="1" ht="15">
      <c r="A100" s="1"/>
      <c r="B100" s="315" t="s">
        <v>324</v>
      </c>
      <c r="C100" s="316"/>
      <c r="D100" s="316"/>
      <c r="E100" s="316"/>
      <c r="F100" s="317">
        <f>F99/$L$99</f>
        <v>0.2493510410271324</v>
      </c>
      <c r="G100" s="317">
        <f>G99/$L$99</f>
        <v>4.9909375853732341E-2</v>
      </c>
      <c r="H100" s="317">
        <f>H99/$L$99</f>
        <v>9.0673105828048149E-4</v>
      </c>
      <c r="I100" s="317">
        <f>I99/$L$99</f>
        <v>0</v>
      </c>
      <c r="J100" s="317">
        <f>J99/$L$99</f>
        <v>0.69983285206085477</v>
      </c>
      <c r="K100" s="317"/>
      <c r="L100" s="318">
        <f>L99/$L$99</f>
        <v>1</v>
      </c>
      <c r="M100" s="314"/>
    </row>
    <row r="101" spans="1:19" s="4" customFormat="1" ht="15">
      <c r="A101" s="1"/>
      <c r="B101" s="315" t="s">
        <v>325</v>
      </c>
      <c r="C101" s="316"/>
      <c r="D101" s="316"/>
      <c r="E101" s="316"/>
      <c r="F101" s="317">
        <f>F99/$L$81</f>
        <v>0.26244974394015758</v>
      </c>
      <c r="G101" s="317">
        <v>0</v>
      </c>
      <c r="H101" s="317">
        <f>H99/$L$81</f>
        <v>9.5436270523693661E-4</v>
      </c>
      <c r="I101" s="317">
        <f>I99/$L$81</f>
        <v>0</v>
      </c>
      <c r="J101" s="317">
        <f>J99/$L$81</f>
        <v>0.73659589335460551</v>
      </c>
      <c r="K101" s="317"/>
      <c r="L101" s="317">
        <f>L100</f>
        <v>1</v>
      </c>
      <c r="M101" s="314"/>
    </row>
    <row r="102" spans="1:19" s="4" customFormat="1" ht="30">
      <c r="A102" s="1"/>
      <c r="B102" s="310" t="s">
        <v>326</v>
      </c>
      <c r="C102" s="311"/>
      <c r="D102" s="311"/>
      <c r="E102" s="311"/>
      <c r="F102" s="312">
        <f>F99*'Cp calculationsHTcurrent'!H14</f>
        <v>37.144642857142856</v>
      </c>
      <c r="G102" s="312">
        <f>G99*'Cp calculationsHTcurrent'!H20</f>
        <v>11.565187185025199</v>
      </c>
      <c r="H102" s="312">
        <f>H99*'Cp calculationsHTcurrent'!H14</f>
        <v>0.13507142857142856</v>
      </c>
      <c r="I102" s="312">
        <f>I99*'Cp calculationsHTcurrent'!H8</f>
        <v>0</v>
      </c>
      <c r="J102" s="312">
        <f>J99*'Cp calculationsHTcurrent'!H11</f>
        <v>104.25078332304842</v>
      </c>
      <c r="K102" s="312"/>
      <c r="L102" s="313">
        <f>SUM(F102:J102)</f>
        <v>153.09568479378791</v>
      </c>
      <c r="M102" s="314"/>
    </row>
    <row r="103" spans="1:19" s="4" customFormat="1" ht="15">
      <c r="A103" s="1"/>
      <c r="B103" s="319" t="s">
        <v>327</v>
      </c>
      <c r="C103" s="320"/>
      <c r="D103" s="320"/>
      <c r="E103" s="320"/>
      <c r="F103" s="321">
        <f>F102/$L$102</f>
        <v>0.24262370887314555</v>
      </c>
      <c r="G103" s="321">
        <f>G102/$L$102</f>
        <v>7.5542215318497821E-2</v>
      </c>
      <c r="H103" s="321">
        <f>H102/$L$102</f>
        <v>8.8226803226598379E-4</v>
      </c>
      <c r="I103" s="321">
        <f>I102/$L$102</f>
        <v>0</v>
      </c>
      <c r="J103" s="321">
        <f>J102/$L$102</f>
        <v>0.68095180777609066</v>
      </c>
      <c r="K103" s="321"/>
      <c r="L103" s="322">
        <f>L102/$L$102</f>
        <v>1</v>
      </c>
      <c r="M103" s="314"/>
    </row>
    <row r="104" spans="1:19" s="4" customFormat="1" ht="15">
      <c r="A104" s="1"/>
      <c r="B104" s="319" t="s">
        <v>328</v>
      </c>
      <c r="C104" s="320"/>
      <c r="D104" s="320"/>
      <c r="E104" s="320"/>
      <c r="F104" s="321">
        <f>F103/(1-$G$103)</f>
        <v>0.26244974394015752</v>
      </c>
      <c r="G104" s="321">
        <v>0</v>
      </c>
      <c r="H104" s="321">
        <f>H103/(1-$G$103)</f>
        <v>9.543627052369365E-4</v>
      </c>
      <c r="I104" s="321">
        <f>I103/(1-$G$103)</f>
        <v>0</v>
      </c>
      <c r="J104" s="321">
        <f>J103/(1-$G$103)</f>
        <v>0.73659589335460551</v>
      </c>
      <c r="K104" s="321"/>
      <c r="L104" s="322">
        <f>SUM(H104:J104)+F104</f>
        <v>1</v>
      </c>
      <c r="M104" s="314"/>
    </row>
    <row r="105" spans="1:19" s="4" customFormat="1" ht="15">
      <c r="A105" s="1"/>
      <c r="B105" s="310" t="s">
        <v>329</v>
      </c>
      <c r="C105" s="323"/>
      <c r="D105" s="323"/>
      <c r="E105" s="323"/>
      <c r="F105" s="324"/>
      <c r="G105" s="324"/>
      <c r="H105" s="324"/>
      <c r="I105" s="324"/>
      <c r="J105" s="324"/>
      <c r="K105" s="324"/>
      <c r="L105" s="325">
        <f>L85</f>
        <v>13649.9</v>
      </c>
    </row>
    <row r="106" spans="1:19" s="4" customFormat="1" hidden="1">
      <c r="A106" s="1"/>
      <c r="B106" s="326" t="s">
        <v>330</v>
      </c>
      <c r="C106" s="323"/>
      <c r="D106" s="323"/>
      <c r="E106" s="323"/>
      <c r="F106" s="327">
        <f>F11</f>
        <v>3500</v>
      </c>
      <c r="G106" s="328">
        <f>F11</f>
        <v>3500</v>
      </c>
      <c r="H106" s="328"/>
      <c r="I106" s="328"/>
      <c r="J106" s="328"/>
      <c r="K106" s="328"/>
      <c r="L106" s="329"/>
    </row>
    <row r="107" spans="1:19" s="4" customFormat="1" hidden="1">
      <c r="A107" s="1"/>
      <c r="B107" s="326" t="s">
        <v>331</v>
      </c>
      <c r="C107" s="323"/>
      <c r="D107" s="323"/>
      <c r="E107" s="323"/>
      <c r="F107" s="327">
        <f>F99*F11</f>
        <v>9625</v>
      </c>
      <c r="G107" s="328">
        <f>G99*F11</f>
        <v>1926.5118790496763</v>
      </c>
      <c r="H107" s="328"/>
      <c r="I107" s="328"/>
      <c r="J107" s="328"/>
      <c r="K107" s="328"/>
      <c r="L107" s="329"/>
    </row>
    <row r="108" spans="1:19" s="4" customFormat="1" ht="30">
      <c r="A108" s="1"/>
      <c r="B108" s="310" t="s">
        <v>332</v>
      </c>
      <c r="C108" s="311"/>
      <c r="D108" s="311"/>
      <c r="E108" s="311"/>
      <c r="F108" s="330">
        <f>F99*'Cp calculationsHTcurrent'!G24*('Av.Ht.Solid - current '!C88-60)</f>
        <v>-32.504489603024574</v>
      </c>
      <c r="G108" s="330">
        <f>'Av.Ht.Solid - current '!G75*(J121+'Cp calculationsHTcurrent'!G94*('Av.Ht.Solid - current '!C88-60))+G78*'Cp calculationsHTcurrent'!G94*('Av.Ht.Solid - current '!C88-60)</f>
        <v>483.49392302392437</v>
      </c>
      <c r="H108" s="330">
        <f>H99*'Cp calculationsHTcurrent'!G24*('Av.Ht.Solid - current '!C88-60)</f>
        <v>-0.11819814401099844</v>
      </c>
      <c r="I108" s="330">
        <f>I99*'Cp calculationsHTcurrent'!G9*('Av.Ht.Solid - current '!C88-60)</f>
        <v>0</v>
      </c>
      <c r="J108" s="330">
        <f>J99*'Cp calculationsHTcurrent'!G12*('Av.Ht.Solid - current '!C88-60)</f>
        <v>-115.49563084029703</v>
      </c>
      <c r="K108" s="330"/>
      <c r="L108" s="325">
        <f>SUM(F108:J108)</f>
        <v>335.37560443659174</v>
      </c>
    </row>
    <row r="109" spans="1:19" s="4" customFormat="1">
      <c r="A109" s="1"/>
      <c r="B109" s="326"/>
      <c r="C109" s="323"/>
      <c r="D109" s="323"/>
      <c r="E109" s="323"/>
      <c r="F109" s="327"/>
      <c r="G109" s="328"/>
      <c r="H109" s="328"/>
      <c r="I109" s="328"/>
      <c r="J109" s="328"/>
      <c r="K109" s="328"/>
      <c r="L109" s="329"/>
    </row>
    <row r="110" spans="1:19" s="4" customFormat="1">
      <c r="A110" s="1"/>
      <c r="B110" s="326" t="s">
        <v>333</v>
      </c>
      <c r="C110" s="323"/>
      <c r="D110" s="323"/>
      <c r="E110" s="323"/>
      <c r="F110" s="331">
        <f>F99*10^6/$L$105</f>
        <v>201.46667741155613</v>
      </c>
      <c r="G110" s="331">
        <f>G99*10^6/$L$105</f>
        <v>40.324981534133187</v>
      </c>
      <c r="H110" s="331"/>
      <c r="I110" s="331"/>
      <c r="J110" s="331"/>
      <c r="K110" s="331"/>
      <c r="L110" s="332"/>
      <c r="N110" s="67"/>
    </row>
    <row r="111" spans="1:19" s="4" customFormat="1" ht="25.5" thickBot="1">
      <c r="A111" s="1"/>
      <c r="B111" s="333" t="s">
        <v>423</v>
      </c>
      <c r="C111" s="334"/>
      <c r="D111" s="334"/>
      <c r="E111" s="334"/>
      <c r="F111" s="335">
        <f>F110*12/44</f>
        <v>54.945457475878946</v>
      </c>
      <c r="G111" s="336"/>
      <c r="H111" s="336"/>
      <c r="I111" s="336"/>
      <c r="J111" s="336"/>
      <c r="K111" s="336"/>
      <c r="L111" s="337"/>
      <c r="N111" s="338"/>
    </row>
    <row r="112" spans="1:19" s="4" customFormat="1">
      <c r="A112" s="1"/>
      <c r="B112" s="1"/>
      <c r="C112" s="1"/>
      <c r="D112" s="1"/>
      <c r="E112" s="1"/>
      <c r="F112" s="285"/>
      <c r="G112" s="233"/>
      <c r="H112" s="233"/>
      <c r="I112" s="233"/>
      <c r="J112" s="233"/>
      <c r="K112" s="233"/>
      <c r="L112" s="215"/>
      <c r="N112" s="67"/>
    </row>
    <row r="113" spans="1:20" s="4" customFormat="1">
      <c r="A113" s="1"/>
      <c r="B113" s="1"/>
      <c r="C113" s="1"/>
      <c r="D113" s="1"/>
      <c r="E113" s="1"/>
      <c r="F113" s="285"/>
      <c r="G113" s="233"/>
      <c r="H113" s="233"/>
      <c r="I113" s="233"/>
      <c r="J113" s="233"/>
      <c r="K113" s="233"/>
      <c r="L113" s="215"/>
      <c r="N113" s="67"/>
    </row>
    <row r="114" spans="1:20" s="4" customFormat="1">
      <c r="A114" s="1"/>
      <c r="B114" s="339" t="s">
        <v>334</v>
      </c>
      <c r="C114" s="340"/>
      <c r="D114" s="340"/>
      <c r="E114" s="341"/>
      <c r="F114" s="285"/>
      <c r="G114" s="233"/>
      <c r="H114" s="233"/>
      <c r="I114" s="233"/>
      <c r="J114" s="233"/>
      <c r="K114" s="233"/>
      <c r="L114" s="215"/>
      <c r="N114" s="67"/>
    </row>
    <row r="115" spans="1:20" s="4" customFormat="1">
      <c r="A115" s="1"/>
      <c r="B115" s="342" t="s">
        <v>335</v>
      </c>
      <c r="C115" s="5"/>
      <c r="D115" s="5"/>
      <c r="E115" s="343"/>
      <c r="F115" s="285"/>
      <c r="G115" s="233"/>
      <c r="H115" s="233"/>
      <c r="I115" s="233"/>
      <c r="J115" s="233"/>
      <c r="K115" s="233"/>
      <c r="L115" s="215"/>
      <c r="N115" s="67"/>
    </row>
    <row r="116" spans="1:20" s="4" customFormat="1" ht="18">
      <c r="A116" s="1"/>
      <c r="B116" s="342" t="s">
        <v>336</v>
      </c>
      <c r="C116" s="5"/>
      <c r="D116" s="344" t="s">
        <v>337</v>
      </c>
      <c r="E116" s="345">
        <f>K77*'Cp calculationsHTcurrent'!F68*('Av.Ht.Solid - current '!C86-60)/0.075</f>
        <v>-144.25627246738483</v>
      </c>
      <c r="F116" s="285"/>
      <c r="G116" s="233"/>
      <c r="H116" s="2732" t="s">
        <v>339</v>
      </c>
      <c r="I116" s="2733"/>
      <c r="J116" s="2733"/>
      <c r="K116" s="2733"/>
      <c r="L116" s="2733"/>
      <c r="M116" s="2733"/>
      <c r="N116" s="67"/>
    </row>
    <row r="117" spans="1:20" s="4" customFormat="1" ht="51">
      <c r="A117" s="1"/>
      <c r="B117" s="342" t="s">
        <v>340</v>
      </c>
      <c r="C117" s="5"/>
      <c r="D117" s="344" t="s">
        <v>337</v>
      </c>
      <c r="E117" s="345">
        <f>0.24*(1-C73)*(C87-60)</f>
        <v>2.4</v>
      </c>
      <c r="F117" s="285"/>
      <c r="G117" s="233"/>
      <c r="H117" s="346" t="s">
        <v>341</v>
      </c>
      <c r="I117" s="347"/>
      <c r="J117" s="347" t="s">
        <v>342</v>
      </c>
      <c r="K117" s="347"/>
      <c r="L117" s="348">
        <v>1096.7</v>
      </c>
      <c r="M117" s="349">
        <v>1.2999999999999999E-2</v>
      </c>
      <c r="N117" s="350" t="s">
        <v>343</v>
      </c>
      <c r="O117" s="349"/>
      <c r="P117" s="349"/>
      <c r="Q117" s="349"/>
      <c r="R117" s="349"/>
      <c r="S117" s="349"/>
    </row>
    <row r="118" spans="1:20" s="4" customFormat="1">
      <c r="A118" s="1"/>
      <c r="B118" s="342" t="s">
        <v>344</v>
      </c>
      <c r="C118" s="5"/>
      <c r="D118" s="344" t="s">
        <v>337</v>
      </c>
      <c r="E118" s="345">
        <f>C73*(C87-60)</f>
        <v>0</v>
      </c>
      <c r="F118" s="285"/>
      <c r="G118" s="233"/>
      <c r="H118" s="233"/>
      <c r="I118" s="233"/>
      <c r="J118" s="233"/>
      <c r="K118" s="233"/>
      <c r="L118" s="215"/>
    </row>
    <row r="119" spans="1:20" s="4" customFormat="1" ht="25.5">
      <c r="A119" s="1"/>
      <c r="B119" s="342" t="s">
        <v>345</v>
      </c>
      <c r="C119" s="5"/>
      <c r="D119" s="344" t="s">
        <v>337</v>
      </c>
      <c r="E119" s="351">
        <f>L105</f>
        <v>13649.9</v>
      </c>
      <c r="F119" s="285"/>
      <c r="G119" s="233"/>
      <c r="H119" s="352" t="s">
        <v>346</v>
      </c>
      <c r="I119" s="353"/>
      <c r="J119" s="354">
        <f>G103</f>
        <v>7.5542215318497821E-2</v>
      </c>
      <c r="K119" s="354"/>
      <c r="L119" s="355" t="s">
        <v>347</v>
      </c>
      <c r="M119" s="356"/>
      <c r="N119" s="356" t="s">
        <v>348</v>
      </c>
      <c r="O119" s="356"/>
      <c r="P119" s="356"/>
      <c r="Q119" s="356"/>
      <c r="R119" s="356"/>
      <c r="S119" s="357"/>
    </row>
    <row r="120" spans="1:20" s="4" customFormat="1">
      <c r="A120" s="1"/>
      <c r="B120" s="358" t="s">
        <v>349</v>
      </c>
      <c r="C120" s="359"/>
      <c r="D120" s="360" t="s">
        <v>337</v>
      </c>
      <c r="E120" s="361">
        <f>SUM(E116:E119)</f>
        <v>13508.043727532615</v>
      </c>
      <c r="F120" s="285"/>
      <c r="G120" s="233"/>
      <c r="H120" s="362"/>
      <c r="I120" s="363"/>
      <c r="J120" s="364">
        <f>J119*29.926</f>
        <v>2.2606763356213655</v>
      </c>
      <c r="K120" s="364"/>
      <c r="L120" s="365" t="s">
        <v>350</v>
      </c>
      <c r="M120" s="366"/>
      <c r="N120" s="366" t="s">
        <v>351</v>
      </c>
      <c r="O120" s="366"/>
      <c r="P120" s="366"/>
      <c r="Q120" s="366"/>
      <c r="R120" s="366"/>
      <c r="S120" s="367"/>
    </row>
    <row r="121" spans="1:20" s="4" customFormat="1" ht="38.25">
      <c r="A121" s="1"/>
      <c r="B121" s="6" t="s">
        <v>352</v>
      </c>
      <c r="C121" s="1"/>
      <c r="D121" s="344" t="s">
        <v>337</v>
      </c>
      <c r="E121" s="19">
        <f>L108</f>
        <v>335.37560443659174</v>
      </c>
      <c r="F121" s="285"/>
      <c r="G121" s="233"/>
      <c r="H121" s="346" t="s">
        <v>353</v>
      </c>
      <c r="I121" s="346"/>
      <c r="J121" s="346">
        <f>L117*J120^M117</f>
        <v>1108.3908770123517</v>
      </c>
      <c r="K121" s="346"/>
      <c r="L121" s="348" t="s">
        <v>354</v>
      </c>
      <c r="M121" s="349"/>
      <c r="N121" s="349" t="s">
        <v>355</v>
      </c>
      <c r="O121" s="349"/>
      <c r="P121" s="349"/>
      <c r="Q121" s="349"/>
      <c r="R121" s="349"/>
      <c r="S121" s="349"/>
    </row>
    <row r="122" spans="1:20" s="4" customFormat="1">
      <c r="A122" s="1"/>
      <c r="B122" s="6" t="s">
        <v>356</v>
      </c>
      <c r="C122" s="1"/>
      <c r="D122" s="344" t="s">
        <v>357</v>
      </c>
      <c r="E122" s="19">
        <v>14093</v>
      </c>
      <c r="F122" s="285"/>
      <c r="G122" s="233"/>
      <c r="H122" s="346"/>
      <c r="I122" s="346"/>
      <c r="J122" s="346"/>
      <c r="K122" s="346"/>
      <c r="L122" s="348"/>
      <c r="M122" s="349"/>
      <c r="N122" s="349"/>
      <c r="O122" s="349"/>
      <c r="P122" s="349"/>
      <c r="Q122" s="349"/>
      <c r="R122" s="349"/>
      <c r="S122" s="349"/>
    </row>
    <row r="123" spans="1:20" s="4" customFormat="1">
      <c r="A123" s="1"/>
      <c r="B123" s="6" t="s">
        <v>358</v>
      </c>
      <c r="C123" s="1"/>
      <c r="D123" s="344" t="s">
        <v>359</v>
      </c>
      <c r="E123" s="19">
        <f>'Data Input &amp; RESULTS '!C9*0.25*(1.8*'Data Input &amp; RESULTS '!C22+32-60)</f>
        <v>-0.25</v>
      </c>
      <c r="F123" s="285"/>
      <c r="G123" s="233"/>
      <c r="H123" s="346"/>
      <c r="I123" s="346"/>
      <c r="J123" s="346"/>
      <c r="K123" s="346"/>
      <c r="L123" s="348"/>
      <c r="M123" s="349"/>
      <c r="N123" s="349"/>
      <c r="O123" s="349"/>
      <c r="P123" s="349"/>
      <c r="Q123" s="349"/>
      <c r="R123" s="349"/>
      <c r="S123" s="349"/>
    </row>
    <row r="124" spans="1:20" s="4" customFormat="1">
      <c r="A124" s="1"/>
      <c r="B124" s="6" t="s">
        <v>360</v>
      </c>
      <c r="C124" s="1"/>
      <c r="D124" s="344" t="s">
        <v>337</v>
      </c>
      <c r="E124" s="19">
        <f>'Data Input &amp; RESULTS '!C23*'Data Input &amp; RESULTS '!C9*'Av.Ht.Solid - current '!E122</f>
        <v>0</v>
      </c>
      <c r="F124" s="285"/>
      <c r="G124" s="233"/>
      <c r="H124" s="346"/>
      <c r="I124" s="346"/>
      <c r="J124" s="346"/>
      <c r="K124" s="346"/>
      <c r="L124" s="348"/>
      <c r="M124" s="349"/>
      <c r="N124" s="349"/>
      <c r="O124" s="349"/>
      <c r="P124" s="349"/>
      <c r="Q124" s="349"/>
      <c r="R124" s="349"/>
      <c r="S124" s="349"/>
    </row>
    <row r="125" spans="1:20" s="4" customFormat="1">
      <c r="A125" s="1"/>
      <c r="B125" s="6"/>
      <c r="C125" s="1"/>
      <c r="D125" s="344"/>
      <c r="E125" s="19"/>
      <c r="F125" s="285"/>
      <c r="G125" s="233"/>
      <c r="H125" s="346"/>
      <c r="I125" s="346"/>
      <c r="J125" s="346"/>
      <c r="K125" s="346"/>
      <c r="L125" s="348"/>
      <c r="M125" s="349"/>
      <c r="N125" s="349"/>
      <c r="O125" s="349"/>
      <c r="P125" s="349"/>
      <c r="Q125" s="349"/>
      <c r="R125" s="349"/>
      <c r="S125" s="349"/>
    </row>
    <row r="126" spans="1:20" s="4" customFormat="1" ht="25.5">
      <c r="A126" s="1"/>
      <c r="B126" s="368" t="s">
        <v>361</v>
      </c>
      <c r="C126" s="368"/>
      <c r="D126" s="368" t="s">
        <v>1116</v>
      </c>
      <c r="E126" s="369">
        <f>(E120-E121-E124-E123)/E119</f>
        <v>0.96505601675441022</v>
      </c>
      <c r="F126" s="285"/>
      <c r="G126" s="233"/>
      <c r="H126" s="370" t="s">
        <v>362</v>
      </c>
      <c r="I126" s="370"/>
      <c r="J126" s="370">
        <f>J127*LN(J120)+J128</f>
        <v>110.42524613055899</v>
      </c>
      <c r="K126" s="370"/>
      <c r="L126" s="371" t="s">
        <v>1175</v>
      </c>
      <c r="M126" s="372"/>
      <c r="N126" s="372" t="s">
        <v>363</v>
      </c>
      <c r="O126" s="372"/>
      <c r="P126" s="372"/>
      <c r="Q126" s="372"/>
      <c r="R126" s="372"/>
      <c r="S126" s="372"/>
      <c r="T126" s="372"/>
    </row>
    <row r="127" spans="1:20" s="4" customFormat="1" ht="51">
      <c r="A127" s="1"/>
      <c r="B127" s="6"/>
      <c r="C127" s="1"/>
      <c r="D127" s="6"/>
      <c r="E127" s="1"/>
      <c r="F127" s="285"/>
      <c r="G127" s="233"/>
      <c r="H127" s="370"/>
      <c r="I127" s="370" t="s">
        <v>364</v>
      </c>
      <c r="J127" s="373">
        <v>36.009</v>
      </c>
      <c r="K127" s="373"/>
      <c r="L127" s="371"/>
      <c r="M127" s="372"/>
      <c r="N127" s="372"/>
      <c r="O127" s="372"/>
      <c r="P127" s="372"/>
      <c r="Q127" s="372"/>
      <c r="R127" s="372"/>
      <c r="S127" s="372"/>
      <c r="T127" s="372"/>
    </row>
    <row r="128" spans="1:20" s="4" customFormat="1" ht="14.25" customHeight="1">
      <c r="A128" s="1"/>
      <c r="B128" s="6"/>
      <c r="C128" s="1"/>
      <c r="D128" s="374"/>
      <c r="E128" s="375"/>
      <c r="F128" s="285"/>
      <c r="G128" s="233"/>
      <c r="H128" s="370"/>
      <c r="I128" s="370"/>
      <c r="J128" s="373">
        <v>81.054000000000002</v>
      </c>
      <c r="K128" s="373"/>
      <c r="L128" s="371"/>
      <c r="M128" s="372"/>
      <c r="N128" s="372"/>
      <c r="O128" s="372"/>
      <c r="P128" s="372"/>
      <c r="Q128" s="372"/>
      <c r="R128" s="372"/>
      <c r="S128" s="372"/>
      <c r="T128" s="372"/>
    </row>
    <row r="129" spans="1:20" s="4" customFormat="1">
      <c r="A129" s="1"/>
      <c r="B129" s="6"/>
      <c r="C129" s="1"/>
      <c r="D129" s="374"/>
      <c r="E129" s="375"/>
      <c r="F129" s="285"/>
      <c r="G129" s="233"/>
      <c r="H129" s="370"/>
      <c r="I129" s="370"/>
      <c r="J129" s="373"/>
      <c r="K129" s="373"/>
      <c r="L129" s="371"/>
      <c r="M129" s="372"/>
      <c r="N129" s="372"/>
      <c r="O129" s="372"/>
      <c r="P129" s="372"/>
      <c r="Q129" s="372"/>
      <c r="R129" s="372"/>
      <c r="S129" s="372"/>
      <c r="T129" s="372"/>
    </row>
    <row r="130" spans="1:20" s="4" customFormat="1">
      <c r="A130" s="1"/>
      <c r="B130" s="6"/>
      <c r="C130" s="1"/>
      <c r="D130" s="374"/>
      <c r="E130" s="375"/>
      <c r="F130" s="285"/>
      <c r="G130" s="233"/>
      <c r="H130" s="370"/>
      <c r="I130" s="370"/>
      <c r="J130" s="373"/>
      <c r="K130" s="373"/>
      <c r="L130" s="371"/>
      <c r="M130" s="372"/>
      <c r="N130" s="372"/>
      <c r="O130" s="372"/>
      <c r="P130" s="372"/>
      <c r="Q130" s="372"/>
      <c r="R130" s="372"/>
      <c r="S130" s="372"/>
      <c r="T130" s="372"/>
    </row>
    <row r="131" spans="1:20" s="4" customFormat="1">
      <c r="A131" s="1"/>
      <c r="B131" s="6"/>
      <c r="C131" s="1"/>
      <c r="D131" s="374"/>
      <c r="E131" s="375"/>
      <c r="F131" s="285"/>
      <c r="G131" s="233"/>
      <c r="H131" s="370"/>
      <c r="I131" s="370"/>
      <c r="J131" s="373"/>
      <c r="K131" s="373"/>
      <c r="L131" s="371"/>
      <c r="M131" s="372"/>
      <c r="N131" s="372"/>
      <c r="O131" s="372"/>
      <c r="P131" s="372"/>
      <c r="Q131" s="372"/>
      <c r="R131" s="372"/>
      <c r="S131" s="372"/>
      <c r="T131" s="372"/>
    </row>
    <row r="132" spans="1:20" s="4" customFormat="1">
      <c r="A132" s="1"/>
      <c r="B132" s="6"/>
      <c r="C132" s="1"/>
      <c r="D132" s="374"/>
      <c r="E132" s="375"/>
      <c r="F132" s="285"/>
      <c r="G132" s="233"/>
      <c r="H132" s="370"/>
      <c r="I132" s="370"/>
      <c r="J132" s="373"/>
      <c r="K132" s="373"/>
      <c r="L132" s="371"/>
      <c r="M132" s="372"/>
      <c r="N132" s="372"/>
      <c r="O132" s="372"/>
      <c r="P132" s="372"/>
      <c r="Q132" s="372"/>
      <c r="R132" s="372"/>
      <c r="S132" s="372"/>
      <c r="T132" s="372"/>
    </row>
    <row r="133" spans="1:20" s="4" customFormat="1">
      <c r="A133" s="1"/>
      <c r="B133" s="6"/>
      <c r="C133" s="1"/>
      <c r="D133" s="374"/>
      <c r="E133" s="375"/>
      <c r="F133" s="285"/>
      <c r="G133" s="233"/>
      <c r="H133" s="370"/>
      <c r="I133" s="370"/>
      <c r="J133" s="373"/>
      <c r="K133" s="373"/>
      <c r="L133" s="371"/>
      <c r="M133" s="372"/>
      <c r="N133" s="372"/>
      <c r="O133" s="372"/>
      <c r="P133" s="372"/>
      <c r="Q133" s="372"/>
      <c r="R133" s="372"/>
      <c r="S133" s="372"/>
      <c r="T133" s="372"/>
    </row>
    <row r="134" spans="1:20" s="4" customFormat="1" ht="14.25" customHeight="1">
      <c r="A134" s="1"/>
      <c r="B134" s="6"/>
      <c r="C134" s="1"/>
      <c r="D134" s="374"/>
      <c r="E134" s="375"/>
      <c r="F134" s="285"/>
      <c r="G134" s="233"/>
      <c r="H134" s="233"/>
      <c r="I134" s="233"/>
      <c r="J134" s="233"/>
      <c r="K134" s="233"/>
      <c r="L134" s="215"/>
    </row>
    <row r="135" spans="1:20" s="4" customFormat="1">
      <c r="A135" s="1"/>
      <c r="B135" s="6"/>
      <c r="C135" s="1"/>
      <c r="D135" s="374"/>
      <c r="E135" s="375"/>
      <c r="F135" s="285"/>
      <c r="G135" s="233"/>
      <c r="H135" s="233"/>
      <c r="I135" s="233"/>
      <c r="J135" s="233"/>
      <c r="K135" s="233"/>
      <c r="L135" s="215"/>
    </row>
    <row r="136" spans="1:20" s="4" customFormat="1" ht="47.25" customHeight="1">
      <c r="A136" s="1"/>
      <c r="B136" s="6"/>
      <c r="C136" s="1"/>
      <c r="D136" s="374"/>
      <c r="E136" s="375"/>
      <c r="F136" s="285"/>
      <c r="G136" s="233"/>
      <c r="H136" s="2726" t="s">
        <v>365</v>
      </c>
      <c r="I136" s="2727"/>
      <c r="J136" s="2727"/>
      <c r="K136" s="2727"/>
      <c r="L136" s="2727"/>
      <c r="M136" s="2727"/>
      <c r="N136" s="2727"/>
      <c r="O136" s="2727"/>
      <c r="P136" s="2727"/>
      <c r="Q136" s="2727"/>
      <c r="R136" s="2727"/>
      <c r="S136" s="2728"/>
    </row>
    <row r="137" spans="1:20" s="4" customFormat="1" ht="51">
      <c r="A137" s="1"/>
      <c r="B137" s="6"/>
      <c r="C137" s="1"/>
      <c r="D137" s="374"/>
      <c r="E137" s="375"/>
      <c r="F137" s="285"/>
      <c r="G137" s="233"/>
      <c r="H137" s="233">
        <f>G99*(J121+'Cp calculationsHTcurrent'!G94*('Av.Ht.Solid - current '!C88-60))</f>
        <v>594.81179728110442</v>
      </c>
      <c r="I137" s="233" t="s">
        <v>366</v>
      </c>
      <c r="J137" s="233"/>
      <c r="K137" s="233"/>
      <c r="L137" s="215"/>
    </row>
    <row r="138" spans="1:20" s="4" customFormat="1">
      <c r="A138" s="1"/>
      <c r="B138" s="6"/>
      <c r="C138" s="1"/>
      <c r="D138" s="374"/>
      <c r="E138" s="375"/>
      <c r="F138" s="285"/>
      <c r="G138" s="233"/>
      <c r="H138" s="233"/>
      <c r="I138" s="233"/>
      <c r="J138" s="233"/>
      <c r="K138" s="233"/>
      <c r="L138" s="215"/>
    </row>
    <row r="139" spans="1:20" s="4" customFormat="1">
      <c r="A139" s="1"/>
      <c r="B139" s="6"/>
      <c r="C139" s="1"/>
      <c r="D139" s="374"/>
      <c r="E139" s="375"/>
      <c r="F139" s="285"/>
      <c r="G139" s="233"/>
      <c r="H139" s="233"/>
      <c r="I139" s="233"/>
      <c r="J139" s="233"/>
      <c r="K139" s="233"/>
      <c r="L139" s="215"/>
    </row>
    <row r="140" spans="1:20" s="4" customFormat="1">
      <c r="A140" s="1"/>
      <c r="B140" s="6"/>
      <c r="C140" s="1"/>
      <c r="D140" s="6"/>
      <c r="E140" s="1"/>
      <c r="F140" s="285"/>
      <c r="G140" s="233"/>
      <c r="H140" s="233"/>
      <c r="I140" s="233"/>
      <c r="J140" s="233"/>
      <c r="K140" s="233"/>
      <c r="L140" s="215"/>
    </row>
    <row r="141" spans="1:20" s="4" customFormat="1">
      <c r="A141" s="1"/>
      <c r="B141" s="1"/>
      <c r="C141" s="1"/>
      <c r="D141" s="1"/>
      <c r="E141" s="1"/>
      <c r="F141" s="285"/>
      <c r="G141" s="233"/>
      <c r="H141" s="233"/>
      <c r="I141" s="233"/>
      <c r="J141" s="233"/>
      <c r="K141" s="233"/>
      <c r="L141" s="376"/>
    </row>
    <row r="142" spans="1:20" s="4" customFormat="1" ht="38.25">
      <c r="A142" s="1"/>
      <c r="B142" s="377" t="s">
        <v>367</v>
      </c>
      <c r="C142" s="377" t="s">
        <v>368</v>
      </c>
      <c r="D142" s="378"/>
      <c r="E142" s="378"/>
      <c r="F142" t="s">
        <v>369</v>
      </c>
      <c r="G142"/>
      <c r="H142"/>
      <c r="I142"/>
      <c r="J142"/>
      <c r="K142"/>
      <c r="L142" s="379"/>
      <c r="M142" s="379"/>
    </row>
    <row r="143" spans="1:20" s="4" customFormat="1" ht="18.75">
      <c r="A143" s="1"/>
      <c r="B143" s="380" t="s">
        <v>424</v>
      </c>
      <c r="C143" s="381">
        <v>1</v>
      </c>
      <c r="D143" s="382"/>
      <c r="E143" s="382"/>
      <c r="F143" s="4">
        <v>1</v>
      </c>
      <c r="G143"/>
      <c r="H143"/>
      <c r="I143"/>
      <c r="J143"/>
      <c r="K143"/>
      <c r="L143"/>
    </row>
    <row r="144" spans="1:20" s="4" customFormat="1" ht="18.75">
      <c r="A144" s="1"/>
      <c r="B144" s="380" t="s">
        <v>425</v>
      </c>
      <c r="C144" s="381">
        <v>21</v>
      </c>
      <c r="D144" s="382"/>
      <c r="E144" s="382"/>
      <c r="F144" s="4">
        <v>23</v>
      </c>
      <c r="G144"/>
      <c r="H144"/>
      <c r="I144"/>
      <c r="J144"/>
      <c r="K144"/>
      <c r="L144"/>
    </row>
    <row r="145" spans="1:12" s="4" customFormat="1" ht="18.75">
      <c r="A145" s="1"/>
      <c r="B145" s="380" t="s">
        <v>426</v>
      </c>
      <c r="C145" s="381">
        <v>310</v>
      </c>
      <c r="D145" s="382"/>
      <c r="E145" s="382"/>
      <c r="F145" s="4">
        <v>296</v>
      </c>
      <c r="G145"/>
      <c r="H145"/>
      <c r="I145"/>
      <c r="J145"/>
      <c r="K145"/>
      <c r="L145"/>
    </row>
    <row r="146" spans="1:12" s="4" customFormat="1" ht="31.5">
      <c r="A146" s="1"/>
      <c r="B146" s="380" t="s">
        <v>370</v>
      </c>
      <c r="C146" s="381">
        <v>1300</v>
      </c>
      <c r="D146" s="382"/>
      <c r="E146" s="382"/>
      <c r="F146" s="4">
        <v>1300</v>
      </c>
      <c r="G146"/>
      <c r="H146"/>
      <c r="I146"/>
      <c r="J146"/>
      <c r="K146"/>
      <c r="L146"/>
    </row>
    <row r="147" spans="1:12" s="4" customFormat="1" ht="15.75">
      <c r="A147" s="1"/>
      <c r="B147" s="383"/>
      <c r="C147"/>
      <c r="D147"/>
      <c r="E147"/>
      <c r="F147"/>
      <c r="G147"/>
      <c r="H147"/>
      <c r="I147"/>
      <c r="J147"/>
      <c r="K147"/>
      <c r="L147"/>
    </row>
    <row r="148" spans="1:12" s="4" customFormat="1">
      <c r="A148" s="1"/>
      <c r="B148" s="1"/>
      <c r="C148" s="1"/>
      <c r="D148" s="1"/>
      <c r="E148" s="1"/>
      <c r="F148" s="233"/>
      <c r="G148" s="233"/>
      <c r="H148" s="233"/>
      <c r="I148" s="233"/>
      <c r="J148" s="233"/>
      <c r="K148" s="233"/>
      <c r="L148" s="215"/>
    </row>
    <row r="149" spans="1:12" s="4" customFormat="1">
      <c r="A149" s="1"/>
      <c r="B149" s="1"/>
      <c r="C149" s="1"/>
      <c r="D149" s="1"/>
      <c r="E149" s="1"/>
      <c r="F149" s="233"/>
      <c r="G149" s="233"/>
      <c r="H149" s="233"/>
      <c r="I149" s="233"/>
      <c r="J149" s="233"/>
      <c r="K149" s="233"/>
      <c r="L149" s="215"/>
    </row>
    <row r="150" spans="1:12">
      <c r="B150" s="96" t="s">
        <v>371</v>
      </c>
    </row>
    <row r="151" spans="1:12" ht="91.9" customHeight="1">
      <c r="B151" s="2730" t="s">
        <v>372</v>
      </c>
      <c r="C151" s="2731"/>
      <c r="D151" s="2731"/>
      <c r="E151" s="2731"/>
      <c r="F151" s="2731"/>
      <c r="G151" s="2731"/>
      <c r="H151" s="2731"/>
      <c r="I151" s="2731"/>
      <c r="J151" s="2731"/>
      <c r="K151" s="2731"/>
      <c r="L151" s="2731"/>
    </row>
    <row r="153" spans="1:12" ht="18">
      <c r="B153" s="384" t="s">
        <v>373</v>
      </c>
      <c r="C153" s="385"/>
      <c r="D153" s="385"/>
      <c r="E153" s="385"/>
      <c r="F153" s="386"/>
      <c r="G153" s="386"/>
    </row>
    <row r="154" spans="1:12" ht="14.25">
      <c r="B154" s="385" t="s">
        <v>374</v>
      </c>
      <c r="C154" s="2721" t="str">
        <f>B156</f>
        <v>0.97C+ 0.7(VM - 0.1A) - M(0.6-0.01M)</v>
      </c>
      <c r="D154" s="2721"/>
      <c r="E154" s="2721"/>
      <c r="F154" s="2721"/>
      <c r="G154" s="2721"/>
    </row>
    <row r="155" spans="1:12" ht="14.25">
      <c r="B155" s="385" t="s">
        <v>375</v>
      </c>
      <c r="C155" s="2721"/>
      <c r="D155" s="2721"/>
      <c r="E155" s="2721"/>
      <c r="F155" s="2721"/>
      <c r="G155" s="2721"/>
    </row>
    <row r="156" spans="1:12" ht="14.25">
      <c r="B156" s="385" t="s">
        <v>376</v>
      </c>
      <c r="C156" s="2721"/>
      <c r="D156" s="2721"/>
      <c r="E156" s="2721"/>
      <c r="F156" s="2721"/>
      <c r="G156" s="2721"/>
    </row>
    <row r="157" spans="1:12" ht="14.25">
      <c r="B157" s="385" t="s">
        <v>377</v>
      </c>
      <c r="C157" s="2721" t="str">
        <f>B159</f>
        <v>0.036C + 0.086 (VM -0.1xA) - 0.0035M2 (1-0.02M)</v>
      </c>
      <c r="D157" s="2721"/>
      <c r="E157" s="2721"/>
      <c r="F157" s="2721"/>
      <c r="G157" s="2721"/>
    </row>
    <row r="158" spans="1:12" ht="14.25">
      <c r="B158" s="385" t="s">
        <v>375</v>
      </c>
      <c r="C158" s="2721"/>
      <c r="D158" s="2721"/>
      <c r="E158" s="2721"/>
      <c r="F158" s="2721"/>
      <c r="G158" s="2721"/>
    </row>
    <row r="159" spans="1:12" ht="28.5">
      <c r="B159" s="385" t="s">
        <v>378</v>
      </c>
      <c r="C159" s="2721"/>
      <c r="D159" s="2721"/>
      <c r="E159" s="2721"/>
      <c r="F159" s="2721"/>
      <c r="G159" s="2721"/>
    </row>
    <row r="160" spans="1:12" ht="14.25">
      <c r="B160" s="385" t="s">
        <v>379</v>
      </c>
      <c r="C160" s="2721" t="str">
        <f>B162</f>
        <v>2.10 -0.020 VM</v>
      </c>
      <c r="D160" s="2721"/>
      <c r="E160" s="2721"/>
      <c r="F160" s="2721"/>
      <c r="G160" s="2721"/>
    </row>
    <row r="161" spans="2:7" ht="14.25">
      <c r="B161" s="385" t="s">
        <v>375</v>
      </c>
      <c r="C161" s="2721"/>
      <c r="D161" s="2721"/>
      <c r="E161" s="2721"/>
      <c r="F161" s="2721"/>
      <c r="G161" s="2721"/>
    </row>
    <row r="162" spans="2:7" ht="14.25">
      <c r="B162" s="385" t="s">
        <v>380</v>
      </c>
      <c r="C162" s="2721"/>
      <c r="D162" s="2721"/>
      <c r="E162" s="2721"/>
      <c r="F162" s="2721"/>
      <c r="G162" s="2721"/>
    </row>
    <row r="163" spans="2:7" ht="14.25">
      <c r="B163" s="385" t="s">
        <v>381</v>
      </c>
      <c r="C163" s="2721"/>
      <c r="D163" s="2721"/>
      <c r="E163" s="2721"/>
      <c r="F163" s="2721"/>
      <c r="G163" s="2721"/>
    </row>
    <row r="164" spans="2:7" ht="14.25">
      <c r="B164" s="385" t="s">
        <v>939</v>
      </c>
      <c r="C164" s="2721" t="str">
        <f>B166</f>
        <v>% of fixed carbon</v>
      </c>
      <c r="D164" s="2721"/>
      <c r="E164" s="2721"/>
      <c r="F164" s="2721"/>
      <c r="G164" s="2721"/>
    </row>
    <row r="165" spans="2:7" ht="14.25" hidden="1">
      <c r="B165" s="385" t="s">
        <v>375</v>
      </c>
      <c r="C165" s="2721"/>
      <c r="D165" s="2721"/>
      <c r="E165" s="2721"/>
      <c r="F165" s="2721"/>
      <c r="G165" s="2721"/>
    </row>
    <row r="166" spans="2:7" ht="14.25" hidden="1">
      <c r="B166" s="385" t="s">
        <v>382</v>
      </c>
      <c r="C166" s="2721"/>
      <c r="D166" s="2721"/>
      <c r="E166" s="2721"/>
      <c r="F166" s="2721"/>
      <c r="G166" s="2721"/>
    </row>
    <row r="167" spans="2:7" ht="14.25">
      <c r="B167" s="385" t="s">
        <v>1181</v>
      </c>
      <c r="C167" s="2721" t="str">
        <f>B169</f>
        <v>% of ash</v>
      </c>
      <c r="D167" s="2721"/>
      <c r="E167" s="2721"/>
      <c r="F167" s="2721"/>
      <c r="G167" s="2721"/>
    </row>
    <row r="168" spans="2:7" ht="14.25" hidden="1">
      <c r="B168" s="385" t="s">
        <v>375</v>
      </c>
      <c r="C168" s="2721"/>
      <c r="D168" s="2721"/>
      <c r="E168" s="2721"/>
      <c r="F168" s="2721"/>
      <c r="G168" s="2721"/>
    </row>
    <row r="169" spans="2:7" ht="14.25" hidden="1">
      <c r="B169" s="385" t="s">
        <v>383</v>
      </c>
      <c r="C169" s="2721"/>
      <c r="D169" s="2721"/>
      <c r="E169" s="2721"/>
      <c r="F169" s="2721"/>
      <c r="G169" s="2721"/>
    </row>
    <row r="170" spans="2:7" ht="14.25">
      <c r="B170" s="385" t="s">
        <v>384</v>
      </c>
      <c r="C170" s="2721" t="str">
        <f>B172</f>
        <v>% of volatile matter</v>
      </c>
      <c r="D170" s="2721"/>
      <c r="E170" s="2721"/>
      <c r="F170" s="2721"/>
      <c r="G170" s="2721"/>
    </row>
    <row r="171" spans="2:7" ht="14.25" hidden="1">
      <c r="B171" s="385" t="s">
        <v>375</v>
      </c>
      <c r="C171" s="2721"/>
      <c r="D171" s="2721"/>
      <c r="E171" s="2721"/>
      <c r="F171" s="2721"/>
      <c r="G171" s="2721"/>
    </row>
    <row r="172" spans="2:7" ht="14.25" hidden="1">
      <c r="B172" s="385" t="s">
        <v>385</v>
      </c>
      <c r="C172" s="2721"/>
      <c r="D172" s="2721"/>
      <c r="E172" s="2721"/>
      <c r="F172" s="2721"/>
      <c r="G172" s="2721"/>
    </row>
    <row r="173" spans="2:7" ht="14.25">
      <c r="B173" s="385" t="s">
        <v>386</v>
      </c>
      <c r="C173" s="2721" t="str">
        <f>B175</f>
        <v>% of moisture</v>
      </c>
      <c r="D173" s="2721"/>
      <c r="E173" s="2721"/>
      <c r="F173" s="2721"/>
      <c r="G173" s="2721"/>
    </row>
    <row r="174" spans="2:7" hidden="1">
      <c r="B174" s="96" t="s">
        <v>375</v>
      </c>
      <c r="C174" s="2725"/>
      <c r="D174" s="2725"/>
      <c r="E174" s="2725"/>
      <c r="F174" s="2725"/>
      <c r="G174" s="2725"/>
    </row>
    <row r="175" spans="2:7" hidden="1">
      <c r="B175" s="96" t="s">
        <v>387</v>
      </c>
      <c r="C175" s="2725"/>
      <c r="D175" s="2725"/>
      <c r="E175" s="2725"/>
      <c r="F175" s="2725"/>
      <c r="G175" s="2725"/>
    </row>
    <row r="176" spans="2:7">
      <c r="B176" s="2722" t="s">
        <v>373</v>
      </c>
      <c r="C176" s="2723"/>
      <c r="D176" s="2723"/>
      <c r="E176" s="2724"/>
    </row>
    <row r="177" spans="2:5" ht="38.25">
      <c r="B177" s="387" t="s">
        <v>374</v>
      </c>
      <c r="C177" s="388" t="s">
        <v>388</v>
      </c>
      <c r="D177" s="388"/>
      <c r="E177" s="389"/>
    </row>
    <row r="178" spans="2:5">
      <c r="B178" s="387" t="s">
        <v>375</v>
      </c>
      <c r="C178" s="388"/>
      <c r="D178" s="388"/>
      <c r="E178" s="389"/>
    </row>
    <row r="179" spans="2:5">
      <c r="B179" s="387" t="s">
        <v>376</v>
      </c>
      <c r="C179" s="388"/>
      <c r="D179" s="388"/>
      <c r="E179" s="389"/>
    </row>
    <row r="180" spans="2:5">
      <c r="B180" s="387" t="s">
        <v>377</v>
      </c>
      <c r="C180" s="388"/>
      <c r="D180" s="388"/>
      <c r="E180" s="389"/>
    </row>
    <row r="181" spans="2:5">
      <c r="B181" s="387" t="s">
        <v>375</v>
      </c>
      <c r="C181" s="388"/>
      <c r="D181" s="388"/>
      <c r="E181" s="389"/>
    </row>
    <row r="182" spans="2:5" ht="25.5">
      <c r="B182" s="387" t="s">
        <v>378</v>
      </c>
      <c r="C182" s="388"/>
      <c r="D182" s="388"/>
      <c r="E182" s="389"/>
    </row>
    <row r="183" spans="2:5">
      <c r="B183" s="387" t="s">
        <v>379</v>
      </c>
      <c r="C183" s="388"/>
      <c r="D183" s="388"/>
      <c r="E183" s="389"/>
    </row>
    <row r="184" spans="2:5">
      <c r="B184" s="387" t="s">
        <v>375</v>
      </c>
      <c r="C184" s="388"/>
      <c r="D184" s="388"/>
      <c r="E184" s="389"/>
    </row>
    <row r="185" spans="2:5">
      <c r="B185" s="387" t="s">
        <v>380</v>
      </c>
      <c r="C185" s="388"/>
      <c r="D185" s="388"/>
      <c r="E185" s="389"/>
    </row>
    <row r="186" spans="2:5">
      <c r="B186" s="387" t="s">
        <v>381</v>
      </c>
      <c r="C186" s="388"/>
      <c r="D186" s="388"/>
      <c r="E186" s="389"/>
    </row>
    <row r="187" spans="2:5">
      <c r="B187" s="387" t="s">
        <v>939</v>
      </c>
      <c r="C187" s="388"/>
      <c r="D187" s="388"/>
      <c r="E187" s="389"/>
    </row>
    <row r="188" spans="2:5">
      <c r="B188" s="387" t="s">
        <v>375</v>
      </c>
      <c r="C188" s="388"/>
      <c r="D188" s="388"/>
      <c r="E188" s="389"/>
    </row>
    <row r="189" spans="2:5">
      <c r="B189" s="387" t="s">
        <v>382</v>
      </c>
      <c r="C189" s="388"/>
      <c r="D189" s="388"/>
      <c r="E189" s="389"/>
    </row>
    <row r="190" spans="2:5">
      <c r="B190" s="387" t="s">
        <v>1181</v>
      </c>
      <c r="C190" s="388"/>
      <c r="D190" s="388"/>
      <c r="E190" s="389"/>
    </row>
    <row r="191" spans="2:5">
      <c r="B191" s="387" t="s">
        <v>375</v>
      </c>
      <c r="C191" s="388"/>
      <c r="D191" s="388"/>
      <c r="E191" s="389"/>
    </row>
    <row r="192" spans="2:5">
      <c r="B192" s="387" t="s">
        <v>383</v>
      </c>
      <c r="C192" s="388"/>
      <c r="D192" s="388"/>
      <c r="E192" s="389"/>
    </row>
    <row r="193" spans="2:8">
      <c r="B193" s="387" t="s">
        <v>384</v>
      </c>
      <c r="C193" s="388"/>
      <c r="D193" s="388"/>
      <c r="E193" s="389"/>
    </row>
    <row r="194" spans="2:8">
      <c r="B194" s="387" t="s">
        <v>375</v>
      </c>
      <c r="C194" s="388"/>
      <c r="D194" s="388"/>
      <c r="E194" s="389"/>
    </row>
    <row r="195" spans="2:8">
      <c r="B195" s="387" t="s">
        <v>385</v>
      </c>
      <c r="C195" s="388"/>
      <c r="D195" s="388"/>
      <c r="E195" s="389"/>
    </row>
    <row r="196" spans="2:8">
      <c r="B196" s="387" t="s">
        <v>386</v>
      </c>
      <c r="C196" s="388"/>
      <c r="D196" s="388"/>
      <c r="E196" s="389"/>
    </row>
    <row r="197" spans="2:8">
      <c r="B197" s="387" t="s">
        <v>375</v>
      </c>
      <c r="C197" s="388"/>
      <c r="D197" s="388"/>
      <c r="E197" s="389"/>
    </row>
    <row r="198" spans="2:8">
      <c r="B198" s="387" t="s">
        <v>387</v>
      </c>
      <c r="C198" s="388"/>
      <c r="D198" s="388"/>
      <c r="E198" s="389"/>
    </row>
    <row r="199" spans="2:8">
      <c r="B199" s="390"/>
      <c r="C199" s="391"/>
      <c r="D199" s="391"/>
      <c r="E199" s="392"/>
    </row>
    <row r="202" spans="2:8">
      <c r="B202" s="136"/>
      <c r="C202"/>
      <c r="D202"/>
      <c r="E202"/>
      <c r="F202"/>
      <c r="G202"/>
    </row>
    <row r="203" spans="2:8" ht="52.5" hidden="1" thickBot="1">
      <c r="B203" s="393" t="s">
        <v>389</v>
      </c>
      <c r="C203"/>
      <c r="D203"/>
      <c r="E203"/>
      <c r="F203"/>
      <c r="G203"/>
    </row>
    <row r="204" spans="2:8" ht="26.25" hidden="1" thickBot="1">
      <c r="B204" s="394" t="s">
        <v>1198</v>
      </c>
      <c r="C204" s="395" t="s">
        <v>390</v>
      </c>
      <c r="D204" s="395" t="s">
        <v>391</v>
      </c>
      <c r="E204" s="395" t="s">
        <v>392</v>
      </c>
      <c r="F204" s="395" t="s">
        <v>393</v>
      </c>
      <c r="G204" s="396" t="s">
        <v>394</v>
      </c>
    </row>
    <row r="205" spans="2:8" ht="21" hidden="1" thickBot="1">
      <c r="B205" s="397" t="s">
        <v>1209</v>
      </c>
      <c r="C205" s="398">
        <v>78.08</v>
      </c>
      <c r="D205" s="398">
        <v>75.47</v>
      </c>
      <c r="E205" s="398">
        <v>780805</v>
      </c>
      <c r="F205" s="398" t="s">
        <v>427</v>
      </c>
      <c r="G205" s="399">
        <v>28.01</v>
      </c>
      <c r="H205" s="180" t="s">
        <v>395</v>
      </c>
    </row>
    <row r="206" spans="2:8" ht="15" hidden="1" thickBot="1">
      <c r="B206" s="400" t="s">
        <v>1208</v>
      </c>
      <c r="C206" s="401">
        <v>20.95</v>
      </c>
      <c r="D206" s="401">
        <v>23.2</v>
      </c>
      <c r="E206" s="401">
        <v>209450</v>
      </c>
      <c r="F206" s="401" t="s">
        <v>428</v>
      </c>
      <c r="G206" s="402">
        <v>32</v>
      </c>
      <c r="H206" s="403">
        <f>(100-D206)/D206</f>
        <v>3.3103448275862069</v>
      </c>
    </row>
    <row r="207" spans="2:8" ht="13.5" hidden="1" thickBot="1">
      <c r="B207" s="400" t="s">
        <v>396</v>
      </c>
      <c r="C207" s="401">
        <v>0.93</v>
      </c>
      <c r="D207" s="401">
        <v>1.28</v>
      </c>
      <c r="E207" s="401">
        <v>9340</v>
      </c>
      <c r="F207" s="401" t="s">
        <v>397</v>
      </c>
      <c r="G207" s="402">
        <v>39.950000000000003</v>
      </c>
    </row>
    <row r="208" spans="2:8" ht="15" hidden="1" thickBot="1">
      <c r="B208" s="404" t="s">
        <v>398</v>
      </c>
      <c r="C208" s="405">
        <v>3.9E-2</v>
      </c>
      <c r="D208" s="405">
        <v>6.0600000000000001E-2</v>
      </c>
      <c r="E208" s="405">
        <v>390</v>
      </c>
      <c r="F208" s="405" t="s">
        <v>429</v>
      </c>
      <c r="G208" s="406">
        <v>44.01</v>
      </c>
    </row>
    <row r="209" spans="2:12" ht="13.5" hidden="1" thickBot="1">
      <c r="B209" s="407" t="s">
        <v>399</v>
      </c>
      <c r="C209" s="408">
        <v>1.8E-3</v>
      </c>
      <c r="D209" s="409">
        <v>1.1999999999999999E-3</v>
      </c>
      <c r="E209" s="408">
        <v>18.21</v>
      </c>
      <c r="F209" s="408" t="s">
        <v>400</v>
      </c>
      <c r="G209" s="410">
        <v>20.18</v>
      </c>
    </row>
    <row r="210" spans="2:12" ht="13.5" hidden="1" thickBot="1">
      <c r="B210" s="407" t="s">
        <v>401</v>
      </c>
      <c r="C210" s="408">
        <v>5.0000000000000001E-4</v>
      </c>
      <c r="D210" s="409">
        <v>6.9999999999999994E-5</v>
      </c>
      <c r="E210" s="408">
        <v>5.24</v>
      </c>
      <c r="F210" s="408" t="s">
        <v>402</v>
      </c>
      <c r="G210" s="410">
        <v>4</v>
      </c>
    </row>
    <row r="211" spans="2:12" ht="13.5" hidden="1" thickBot="1">
      <c r="B211" s="407" t="s">
        <v>403</v>
      </c>
      <c r="C211" s="408">
        <v>1E-4</v>
      </c>
      <c r="D211" s="409">
        <v>2.9999999999999997E-4</v>
      </c>
      <c r="E211" s="408">
        <v>1.1399999999999999</v>
      </c>
      <c r="F211" s="408" t="s">
        <v>404</v>
      </c>
      <c r="G211" s="410">
        <v>83.8</v>
      </c>
    </row>
    <row r="212" spans="2:12" ht="16.5" hidden="1" thickBot="1">
      <c r="B212" s="407" t="s">
        <v>1211</v>
      </c>
      <c r="C212" s="408" t="s">
        <v>405</v>
      </c>
      <c r="D212" s="408" t="s">
        <v>406</v>
      </c>
      <c r="E212" s="408">
        <v>0.5</v>
      </c>
      <c r="F212" s="408" t="s">
        <v>430</v>
      </c>
      <c r="G212" s="410">
        <v>2.02</v>
      </c>
    </row>
    <row r="213" spans="2:12" ht="14.25" hidden="1">
      <c r="B213" s="411" t="s">
        <v>407</v>
      </c>
      <c r="C213" s="412" t="s">
        <v>431</v>
      </c>
      <c r="D213" s="413">
        <v>4.0000000000000003E-5</v>
      </c>
      <c r="E213" s="412">
        <v>8.6999999999999994E-2</v>
      </c>
      <c r="F213" s="412" t="s">
        <v>408</v>
      </c>
      <c r="G213" s="414">
        <v>131.30000000000001</v>
      </c>
    </row>
    <row r="216" spans="2:12" s="4" customFormat="1" ht="14.25">
      <c r="B216" s="415" t="s">
        <v>939</v>
      </c>
      <c r="C216" s="415" t="s">
        <v>409</v>
      </c>
      <c r="D216" s="415"/>
      <c r="E216" s="416">
        <v>0.67500000000000004</v>
      </c>
      <c r="F216" s="415"/>
      <c r="G216" s="415"/>
      <c r="H216" s="235"/>
      <c r="I216" s="235"/>
      <c r="J216" s="235"/>
      <c r="K216" s="235"/>
      <c r="L216" s="417"/>
    </row>
    <row r="217" spans="2:12" s="4" customFormat="1" ht="14.25">
      <c r="B217" s="415" t="s">
        <v>1181</v>
      </c>
      <c r="C217" s="415" t="s">
        <v>410</v>
      </c>
      <c r="D217" s="415"/>
      <c r="E217" s="416">
        <v>0.1</v>
      </c>
      <c r="F217" s="415"/>
      <c r="G217" s="415"/>
      <c r="H217" s="235"/>
      <c r="I217" s="235"/>
      <c r="J217" s="235"/>
      <c r="K217" s="235"/>
      <c r="L217" s="417"/>
    </row>
    <row r="218" spans="2:12" s="4" customFormat="1" ht="14.25">
      <c r="B218" s="415" t="s">
        <v>384</v>
      </c>
      <c r="C218" s="415" t="s">
        <v>411</v>
      </c>
      <c r="D218" s="415"/>
      <c r="E218" s="416">
        <v>0.15</v>
      </c>
      <c r="F218" s="415"/>
      <c r="G218" s="415"/>
      <c r="H218" s="235"/>
      <c r="I218" s="235"/>
      <c r="J218" s="235"/>
      <c r="K218" s="235"/>
      <c r="L218" s="417"/>
    </row>
    <row r="219" spans="2:12" s="4" customFormat="1" ht="14.25">
      <c r="B219" s="415" t="s">
        <v>386</v>
      </c>
      <c r="C219" s="415" t="s">
        <v>412</v>
      </c>
      <c r="D219" s="415"/>
      <c r="E219" s="416">
        <v>7.4999999999999997E-2</v>
      </c>
      <c r="F219" s="415"/>
      <c r="G219" s="415"/>
      <c r="H219" s="235"/>
      <c r="I219" s="235"/>
      <c r="J219" s="235"/>
      <c r="K219" s="235"/>
      <c r="L219" s="417"/>
    </row>
    <row r="220" spans="2:12" s="4" customFormat="1">
      <c r="B220" s="418" t="s">
        <v>321</v>
      </c>
      <c r="E220" s="419">
        <f>SUM(E216:E219)</f>
        <v>1</v>
      </c>
      <c r="F220" s="235"/>
      <c r="G220" s="235"/>
      <c r="H220" s="235"/>
      <c r="I220" s="235"/>
      <c r="J220" s="235"/>
      <c r="K220" s="235"/>
      <c r="L220" s="417"/>
    </row>
    <row r="221" spans="2:12" s="4" customFormat="1">
      <c r="B221" s="418" t="s">
        <v>413</v>
      </c>
      <c r="C221" s="418"/>
      <c r="E221" s="420"/>
      <c r="F221" s="235"/>
      <c r="G221" s="235"/>
      <c r="H221" s="235"/>
      <c r="I221" s="235"/>
      <c r="J221" s="235"/>
      <c r="K221" s="235"/>
      <c r="L221" s="417"/>
    </row>
    <row r="222" spans="2:12">
      <c r="B222" s="136" t="s">
        <v>45</v>
      </c>
      <c r="E222" s="421">
        <f>0.97*E216+0.7*(E218-0.1*E217)-E219*(0.6 - 0.01*E219)</f>
        <v>0.70780625000000008</v>
      </c>
    </row>
    <row r="223" spans="2:12">
      <c r="B223" s="136" t="s">
        <v>50</v>
      </c>
      <c r="E223" s="421">
        <f>0.036*E216+0.086*(E218-0.1*E217)-0.0035*E219^2*(1-0.02*E219)</f>
        <v>3.6320342031249994E-2</v>
      </c>
    </row>
    <row r="224" spans="2:12">
      <c r="E224" s="421">
        <f>(2.1-0.02*E218)/100</f>
        <v>2.0969999999999999E-2</v>
      </c>
      <c r="F224" s="422"/>
    </row>
    <row r="225" spans="6:6">
      <c r="F225" s="423">
        <f>SUM(E222:E224)</f>
        <v>0.76509659203125013</v>
      </c>
    </row>
  </sheetData>
  <mergeCells count="33">
    <mergeCell ref="L8:L9"/>
    <mergeCell ref="F21:L21"/>
    <mergeCell ref="B38:F38"/>
    <mergeCell ref="B8:B9"/>
    <mergeCell ref="C8:C9"/>
    <mergeCell ref="I86:J86"/>
    <mergeCell ref="C159:G159"/>
    <mergeCell ref="B151:L151"/>
    <mergeCell ref="H116:M116"/>
    <mergeCell ref="B60:L60"/>
    <mergeCell ref="C169:G169"/>
    <mergeCell ref="H136:S136"/>
    <mergeCell ref="C165:G165"/>
    <mergeCell ref="C166:G166"/>
    <mergeCell ref="C167:G167"/>
    <mergeCell ref="C168:G168"/>
    <mergeCell ref="C154:G154"/>
    <mergeCell ref="C155:G155"/>
    <mergeCell ref="C156:G156"/>
    <mergeCell ref="C157:G157"/>
    <mergeCell ref="C158:G158"/>
    <mergeCell ref="C160:G160"/>
    <mergeCell ref="C161:G161"/>
    <mergeCell ref="C162:G162"/>
    <mergeCell ref="C163:G163"/>
    <mergeCell ref="C164:G164"/>
    <mergeCell ref="C170:G170"/>
    <mergeCell ref="B176:E176"/>
    <mergeCell ref="C172:G172"/>
    <mergeCell ref="C173:G173"/>
    <mergeCell ref="C174:G174"/>
    <mergeCell ref="C175:G175"/>
    <mergeCell ref="C171:G171"/>
  </mergeCells>
  <phoneticPr fontId="5" type="noConversion"/>
  <pageMargins left="0.75" right="0.75" top="1" bottom="1" header="0.5" footer="0.5"/>
  <pageSetup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25"/>
  <sheetViews>
    <sheetView topLeftCell="A57" workbookViewId="0"/>
  </sheetViews>
  <sheetFormatPr defaultRowHeight="12.75"/>
  <cols>
    <col min="1" max="1" width="8.85546875" style="96" customWidth="1"/>
    <col min="2" max="2" width="36.5703125" style="96" customWidth="1"/>
    <col min="3" max="5" width="14.5703125" style="96" customWidth="1"/>
    <col min="6" max="6" width="12.28515625" style="180" bestFit="1" customWidth="1"/>
    <col min="7" max="7" width="13" style="180" customWidth="1"/>
    <col min="8" max="8" width="17" style="180" customWidth="1"/>
    <col min="9" max="9" width="13" style="180" customWidth="1"/>
    <col min="10" max="11" width="11.7109375" style="180" customWidth="1"/>
    <col min="12" max="12" width="14.28515625" style="181" customWidth="1"/>
    <col min="13" max="13" width="10.7109375" customWidth="1"/>
    <col min="14" max="14" width="10.140625" customWidth="1"/>
    <col min="16" max="17" width="9.5703125" bestFit="1" customWidth="1"/>
  </cols>
  <sheetData>
    <row r="1" spans="1:12" hidden="1"/>
    <row r="2" spans="1:12" hidden="1"/>
    <row r="3" spans="1:12" hidden="1"/>
    <row r="4" spans="1:12" hidden="1"/>
    <row r="5" spans="1:12" hidden="1"/>
    <row r="6" spans="1:12" hidden="1"/>
    <row r="7" spans="1:12" hidden="1"/>
    <row r="8" spans="1:12" s="4" customFormat="1" hidden="1">
      <c r="A8" s="1"/>
      <c r="B8" s="2735" t="s">
        <v>64</v>
      </c>
      <c r="C8" s="2744" t="s">
        <v>482</v>
      </c>
      <c r="D8" s="183"/>
      <c r="E8" s="183"/>
      <c r="F8" s="184" t="s">
        <v>1114</v>
      </c>
      <c r="G8" s="184" t="s">
        <v>65</v>
      </c>
      <c r="H8" s="182"/>
      <c r="I8" s="182"/>
      <c r="J8" s="182"/>
      <c r="K8" s="182"/>
      <c r="L8" s="2735" t="s">
        <v>66</v>
      </c>
    </row>
    <row r="9" spans="1:12" s="4" customFormat="1" ht="25.5" hidden="1">
      <c r="A9" s="1"/>
      <c r="B9" s="2743"/>
      <c r="C9" s="2745"/>
      <c r="D9" s="185"/>
      <c r="E9" s="185"/>
      <c r="F9" s="186" t="s">
        <v>67</v>
      </c>
      <c r="G9" s="186" t="s">
        <v>68</v>
      </c>
      <c r="H9" s="185"/>
      <c r="I9" s="185"/>
      <c r="J9" s="185"/>
      <c r="K9" s="185"/>
      <c r="L9" s="2736"/>
    </row>
    <row r="10" spans="1:12" s="4" customFormat="1" ht="45" hidden="1">
      <c r="A10" s="1"/>
      <c r="B10" s="187" t="s">
        <v>69</v>
      </c>
      <c r="C10" s="20" t="s">
        <v>70</v>
      </c>
      <c r="D10" s="20"/>
      <c r="E10" s="20"/>
      <c r="F10" s="171">
        <v>3500</v>
      </c>
      <c r="G10" s="188" t="e">
        <f>G11</f>
        <v>#REF!</v>
      </c>
      <c r="H10" s="188"/>
      <c r="I10" s="188"/>
      <c r="J10" s="188"/>
      <c r="K10" s="188"/>
      <c r="L10" s="189" t="s">
        <v>71</v>
      </c>
    </row>
    <row r="11" spans="1:12" s="4" customFormat="1" ht="22.5" hidden="1">
      <c r="A11" s="1"/>
      <c r="B11" s="20" t="s">
        <v>72</v>
      </c>
      <c r="C11" s="20" t="s">
        <v>1054</v>
      </c>
      <c r="D11" s="20"/>
      <c r="E11" s="20"/>
      <c r="F11" s="190">
        <f>F10</f>
        <v>3500</v>
      </c>
      <c r="G11" s="191" t="e">
        <f>F44</f>
        <v>#REF!</v>
      </c>
      <c r="H11" s="191"/>
      <c r="I11" s="191"/>
      <c r="J11" s="191"/>
      <c r="K11" s="191"/>
      <c r="L11" s="189" t="s">
        <v>73</v>
      </c>
    </row>
    <row r="12" spans="1:12" s="4" customFormat="1" ht="33.75" hidden="1">
      <c r="A12" s="1"/>
      <c r="B12" s="20" t="s">
        <v>74</v>
      </c>
      <c r="C12" s="20" t="s">
        <v>1054</v>
      </c>
      <c r="D12" s="20"/>
      <c r="E12" s="20"/>
      <c r="F12" s="192">
        <f>F11*(1+F16/100)*10</f>
        <v>52500</v>
      </c>
      <c r="G12" s="193"/>
      <c r="H12" s="193"/>
      <c r="I12" s="193"/>
      <c r="J12" s="193"/>
      <c r="K12" s="193"/>
      <c r="L12" s="189" t="s">
        <v>75</v>
      </c>
    </row>
    <row r="13" spans="1:12" s="4" customFormat="1" hidden="1">
      <c r="A13" s="1"/>
      <c r="B13" s="20" t="s">
        <v>76</v>
      </c>
      <c r="C13" s="20" t="s">
        <v>77</v>
      </c>
      <c r="D13" s="20"/>
      <c r="E13" s="20"/>
      <c r="F13" s="192">
        <f>0.0763*(0.6*F11+10*F11)</f>
        <v>2830.7300000000005</v>
      </c>
      <c r="G13" s="193"/>
      <c r="H13" s="193"/>
      <c r="I13" s="193"/>
      <c r="J13" s="193"/>
      <c r="K13" s="193"/>
      <c r="L13" s="189"/>
    </row>
    <row r="14" spans="1:12" s="4" customFormat="1" hidden="1">
      <c r="A14" s="1"/>
      <c r="B14" s="20" t="s">
        <v>78</v>
      </c>
      <c r="C14" s="20" t="s">
        <v>77</v>
      </c>
      <c r="D14" s="20"/>
      <c r="E14" s="20"/>
      <c r="F14" s="194">
        <f>0.0763*(0.6*F11+F12)</f>
        <v>4165.9800000000005</v>
      </c>
      <c r="G14" s="195"/>
      <c r="H14" s="195"/>
      <c r="I14" s="195"/>
      <c r="J14" s="195"/>
      <c r="K14" s="195"/>
      <c r="L14" s="189"/>
    </row>
    <row r="15" spans="1:12" s="4" customFormat="1" hidden="1">
      <c r="A15" s="1"/>
      <c r="B15" s="20" t="s">
        <v>79</v>
      </c>
      <c r="C15" s="20" t="s">
        <v>80</v>
      </c>
      <c r="D15" s="20"/>
      <c r="E15" s="20"/>
      <c r="F15" s="171">
        <v>425</v>
      </c>
      <c r="G15" s="196">
        <f>F15</f>
        <v>425</v>
      </c>
      <c r="H15" s="196"/>
      <c r="I15" s="196"/>
      <c r="J15" s="196"/>
      <c r="K15" s="196"/>
      <c r="L15" s="189" t="s">
        <v>81</v>
      </c>
    </row>
    <row r="16" spans="1:12" s="4" customFormat="1" ht="56.25" hidden="1">
      <c r="A16" s="1"/>
      <c r="B16" s="20" t="s">
        <v>82</v>
      </c>
      <c r="C16" s="20" t="s">
        <v>1116</v>
      </c>
      <c r="D16" s="20"/>
      <c r="E16" s="20"/>
      <c r="F16" s="171">
        <v>50</v>
      </c>
      <c r="G16" s="196">
        <f>F16</f>
        <v>50</v>
      </c>
      <c r="H16" s="196"/>
      <c r="I16" s="196"/>
      <c r="J16" s="196"/>
      <c r="K16" s="196"/>
      <c r="L16" s="189" t="s">
        <v>421</v>
      </c>
    </row>
    <row r="17" spans="1:13" s="4" customFormat="1" hidden="1">
      <c r="A17" s="1"/>
      <c r="B17" s="20" t="s">
        <v>83</v>
      </c>
      <c r="C17" s="20" t="s">
        <v>1116</v>
      </c>
      <c r="D17" s="20"/>
      <c r="E17" s="20"/>
      <c r="F17" s="197" t="e">
        <f>#REF!</f>
        <v>#REF!</v>
      </c>
      <c r="G17" s="196"/>
      <c r="H17" s="196"/>
      <c r="I17" s="196"/>
      <c r="J17" s="196"/>
      <c r="K17" s="196"/>
      <c r="L17" s="189"/>
    </row>
    <row r="18" spans="1:13" s="4" customFormat="1" ht="45" hidden="1">
      <c r="A18" s="1"/>
      <c r="B18" s="20" t="s">
        <v>84</v>
      </c>
      <c r="C18" s="20" t="s">
        <v>77</v>
      </c>
      <c r="D18" s="20"/>
      <c r="E18" s="20"/>
      <c r="F18" s="197">
        <f>G107</f>
        <v>1926.5118790496763</v>
      </c>
      <c r="G18" s="196"/>
      <c r="H18" s="196"/>
      <c r="I18" s="196"/>
      <c r="J18" s="196"/>
      <c r="K18" s="196"/>
      <c r="L18" s="189" t="s">
        <v>85</v>
      </c>
    </row>
    <row r="19" spans="1:13" s="4" customFormat="1" ht="22.5" hidden="1">
      <c r="A19" s="1"/>
      <c r="B19" s="20" t="s">
        <v>86</v>
      </c>
      <c r="C19" s="20" t="s">
        <v>77</v>
      </c>
      <c r="D19" s="20"/>
      <c r="E19" s="20"/>
      <c r="F19" s="171">
        <v>1000</v>
      </c>
      <c r="G19" s="196">
        <f>F19</f>
        <v>1000</v>
      </c>
      <c r="H19" s="196"/>
      <c r="I19" s="196"/>
      <c r="J19" s="196"/>
      <c r="K19" s="196"/>
      <c r="L19" s="189" t="s">
        <v>87</v>
      </c>
    </row>
    <row r="20" spans="1:13" s="4" customFormat="1" ht="22.5" hidden="1">
      <c r="A20" s="1"/>
      <c r="B20" s="20" t="s">
        <v>88</v>
      </c>
      <c r="C20" s="20" t="s">
        <v>89</v>
      </c>
      <c r="D20" s="20"/>
      <c r="E20" s="20"/>
      <c r="F20" s="171">
        <v>3500</v>
      </c>
      <c r="G20" s="198">
        <f>F40</f>
        <v>2258.8288964405783</v>
      </c>
      <c r="H20" s="198"/>
      <c r="I20" s="198"/>
      <c r="J20" s="198"/>
      <c r="K20" s="198"/>
      <c r="L20" s="189" t="s">
        <v>90</v>
      </c>
    </row>
    <row r="21" spans="1:13" s="4" customFormat="1" hidden="1">
      <c r="A21" s="1"/>
      <c r="B21" s="20" t="s">
        <v>91</v>
      </c>
      <c r="C21" s="20"/>
      <c r="D21" s="199"/>
      <c r="E21" s="199"/>
      <c r="F21" s="2737" t="str">
        <f>IF(F10&lt;F35,"Heat Input Values are Too Low. Check data input","")</f>
        <v/>
      </c>
      <c r="G21" s="2738"/>
      <c r="H21" s="2738"/>
      <c r="I21" s="2738"/>
      <c r="J21" s="2738"/>
      <c r="K21" s="2738"/>
      <c r="L21" s="2739"/>
    </row>
    <row r="22" spans="1:13" s="4" customFormat="1" hidden="1">
      <c r="A22" s="1"/>
      <c r="B22" s="200" t="s">
        <v>92</v>
      </c>
      <c r="C22" s="200" t="s">
        <v>77</v>
      </c>
      <c r="D22" s="200"/>
      <c r="E22" s="200"/>
      <c r="F22" s="201">
        <f>0.0763*F20*60</f>
        <v>16023</v>
      </c>
      <c r="G22" s="195"/>
      <c r="H22" s="195"/>
      <c r="I22" s="195"/>
      <c r="J22" s="195"/>
      <c r="K22" s="195"/>
      <c r="L22" s="189"/>
    </row>
    <row r="23" spans="1:13" s="4" customFormat="1" hidden="1">
      <c r="A23" s="1"/>
      <c r="B23" s="200" t="s">
        <v>93</v>
      </c>
      <c r="C23" s="200" t="s">
        <v>77</v>
      </c>
      <c r="D23" s="200"/>
      <c r="E23" s="200"/>
      <c r="F23" s="201">
        <f>F14-F18</f>
        <v>2239.4681209503242</v>
      </c>
      <c r="G23" s="195"/>
      <c r="H23" s="195"/>
      <c r="I23" s="195"/>
      <c r="J23" s="195"/>
      <c r="K23" s="195"/>
      <c r="L23" s="189"/>
      <c r="M23" s="202"/>
    </row>
    <row r="24" spans="1:13" s="4" customFormat="1" hidden="1">
      <c r="A24" s="1"/>
      <c r="B24" s="20" t="s">
        <v>94</v>
      </c>
      <c r="C24" s="20" t="s">
        <v>95</v>
      </c>
      <c r="D24" s="20"/>
      <c r="E24" s="20"/>
      <c r="F24" s="203">
        <f>(F19+F18)/(F22+F23)</f>
        <v>0.16024733676016345</v>
      </c>
      <c r="G24" s="203" t="e">
        <f>F50</f>
        <v>#REF!</v>
      </c>
      <c r="H24" s="203"/>
      <c r="I24" s="203"/>
      <c r="J24" s="203"/>
      <c r="K24" s="203"/>
      <c r="L24" s="189"/>
    </row>
    <row r="25" spans="1:13" s="4" customFormat="1" hidden="1">
      <c r="A25" s="1"/>
      <c r="B25" s="20" t="s">
        <v>96</v>
      </c>
      <c r="C25" s="20" t="s">
        <v>1054</v>
      </c>
      <c r="D25" s="20"/>
      <c r="E25" s="20"/>
      <c r="F25" s="204">
        <f>(1/0.0763)*((F14-F18) +F22) +20*(F18+F19)</f>
        <v>297881.06485426117</v>
      </c>
      <c r="G25" s="193"/>
      <c r="H25" s="193"/>
      <c r="I25" s="193"/>
      <c r="J25" s="193"/>
      <c r="K25" s="193"/>
      <c r="L25" s="189"/>
    </row>
    <row r="26" spans="1:13" s="4" customFormat="1" hidden="1">
      <c r="A26" s="1"/>
      <c r="B26" s="20" t="s">
        <v>96</v>
      </c>
      <c r="C26" s="20" t="s">
        <v>89</v>
      </c>
      <c r="D26" s="20"/>
      <c r="E26" s="20"/>
      <c r="F26" s="204">
        <f>F25/60</f>
        <v>4964.6844142376858</v>
      </c>
      <c r="G26" s="193"/>
      <c r="H26" s="193"/>
      <c r="I26" s="193"/>
      <c r="J26" s="193"/>
      <c r="K26" s="193"/>
      <c r="L26" s="189"/>
    </row>
    <row r="27" spans="1:13" s="4" customFormat="1" ht="22.5" hidden="1">
      <c r="A27" s="1"/>
      <c r="B27" s="20" t="s">
        <v>97</v>
      </c>
      <c r="C27" s="20" t="s">
        <v>1116</v>
      </c>
      <c r="D27" s="20"/>
      <c r="E27" s="20"/>
      <c r="F27" s="205">
        <v>0.25</v>
      </c>
      <c r="G27" s="206">
        <f>F27</f>
        <v>0.25</v>
      </c>
      <c r="H27" s="206"/>
      <c r="I27" s="206"/>
      <c r="J27" s="206"/>
      <c r="K27" s="206"/>
      <c r="L27" s="189" t="s">
        <v>98</v>
      </c>
    </row>
    <row r="28" spans="1:13" s="4" customFormat="1" hidden="1">
      <c r="A28" s="1"/>
      <c r="B28" s="20" t="s">
        <v>99</v>
      </c>
      <c r="C28" s="20" t="s">
        <v>89</v>
      </c>
      <c r="D28" s="20"/>
      <c r="E28" s="20"/>
      <c r="F28" s="204">
        <f>F27*F26</f>
        <v>1241.1711035594215</v>
      </c>
      <c r="G28" s="193"/>
      <c r="H28" s="193"/>
      <c r="I28" s="193"/>
      <c r="J28" s="193"/>
      <c r="K28" s="193"/>
      <c r="L28" s="189"/>
    </row>
    <row r="29" spans="1:13" s="4" customFormat="1" hidden="1">
      <c r="A29" s="1"/>
      <c r="B29" s="200" t="s">
        <v>100</v>
      </c>
      <c r="C29" s="20" t="s">
        <v>1116</v>
      </c>
      <c r="D29" s="20"/>
      <c r="E29" s="20"/>
      <c r="F29" s="207" t="s">
        <v>101</v>
      </c>
      <c r="G29" s="208" t="e">
        <f>F51</f>
        <v>#REF!</v>
      </c>
      <c r="H29" s="208"/>
      <c r="I29" s="208"/>
      <c r="J29" s="208"/>
      <c r="K29" s="208"/>
      <c r="L29" s="189"/>
    </row>
    <row r="30" spans="1:13" s="4" customFormat="1" hidden="1">
      <c r="A30" s="1"/>
      <c r="B30" s="200" t="s">
        <v>102</v>
      </c>
      <c r="C30" s="20" t="s">
        <v>103</v>
      </c>
      <c r="D30" s="20"/>
      <c r="E30" s="20"/>
      <c r="F30" s="209">
        <v>6500</v>
      </c>
      <c r="G30" s="196">
        <f>F30</f>
        <v>6500</v>
      </c>
      <c r="H30" s="196"/>
      <c r="I30" s="196"/>
      <c r="J30" s="196"/>
      <c r="K30" s="196"/>
      <c r="L30" s="189"/>
    </row>
    <row r="31" spans="1:13" s="4" customFormat="1" hidden="1">
      <c r="A31" s="1"/>
      <c r="B31" s="200" t="s">
        <v>104</v>
      </c>
      <c r="C31" s="20" t="s">
        <v>105</v>
      </c>
      <c r="D31" s="20"/>
      <c r="E31" s="20"/>
      <c r="F31" s="210">
        <v>0.95</v>
      </c>
      <c r="G31" s="211">
        <f>F31</f>
        <v>0.95</v>
      </c>
      <c r="H31" s="211"/>
      <c r="I31" s="211"/>
      <c r="J31" s="211"/>
      <c r="K31" s="211"/>
      <c r="L31" s="189"/>
    </row>
    <row r="32" spans="1:13" s="4" customFormat="1" hidden="1">
      <c r="A32" s="1"/>
      <c r="B32" s="200" t="s">
        <v>106</v>
      </c>
      <c r="C32" s="20" t="s">
        <v>107</v>
      </c>
      <c r="D32" s="20"/>
      <c r="E32" s="20"/>
      <c r="F32" s="207" t="s">
        <v>101</v>
      </c>
      <c r="G32" s="212" t="e">
        <f>G29*G30*F11/100</f>
        <v>#REF!</v>
      </c>
      <c r="H32" s="212"/>
      <c r="I32" s="212"/>
      <c r="J32" s="212"/>
      <c r="K32" s="212"/>
      <c r="L32" s="189"/>
      <c r="M32" s="15"/>
    </row>
    <row r="33" spans="1:12" s="4" customFormat="1" hidden="1">
      <c r="A33" s="1"/>
      <c r="B33" s="200" t="s">
        <v>108</v>
      </c>
      <c r="C33" s="20" t="s">
        <v>109</v>
      </c>
      <c r="D33" s="20"/>
      <c r="E33" s="20"/>
      <c r="F33" s="207" t="s">
        <v>101</v>
      </c>
      <c r="G33" s="213" t="e">
        <f>G32*G31</f>
        <v>#REF!</v>
      </c>
      <c r="H33" s="213"/>
      <c r="I33" s="213"/>
      <c r="J33" s="213"/>
      <c r="K33" s="213"/>
      <c r="L33" s="189"/>
    </row>
    <row r="34" spans="1:12" s="4" customFormat="1" hidden="1">
      <c r="A34" s="1"/>
      <c r="B34" s="1"/>
      <c r="C34" s="1"/>
      <c r="D34" s="1"/>
      <c r="E34" s="1"/>
      <c r="F34" s="214"/>
      <c r="G34" s="214"/>
      <c r="H34" s="214"/>
      <c r="I34" s="214"/>
      <c r="J34" s="214"/>
      <c r="K34" s="214"/>
      <c r="L34" s="215"/>
    </row>
    <row r="35" spans="1:12" s="4" customFormat="1" hidden="1">
      <c r="A35" s="1"/>
      <c r="B35" s="1" t="s">
        <v>110</v>
      </c>
      <c r="C35" s="1" t="s">
        <v>111</v>
      </c>
      <c r="D35" s="1"/>
      <c r="E35" s="1"/>
      <c r="F35" s="214">
        <f>(F19*1100 + 0.02*F20*(F15-60)*60)/1000</f>
        <v>2633</v>
      </c>
      <c r="G35" s="214"/>
      <c r="H35" s="214"/>
      <c r="I35" s="214"/>
      <c r="J35" s="214"/>
      <c r="K35" s="214"/>
      <c r="L35" s="215"/>
    </row>
    <row r="36" spans="1:12" s="4" customFormat="1" hidden="1">
      <c r="A36" s="1"/>
      <c r="B36" s="1"/>
      <c r="C36" s="1"/>
      <c r="D36" s="1"/>
      <c r="E36" s="1"/>
      <c r="F36" s="214"/>
      <c r="G36" s="214"/>
      <c r="H36" s="214"/>
      <c r="I36" s="214"/>
      <c r="J36" s="214"/>
      <c r="K36" s="214"/>
      <c r="L36" s="215"/>
    </row>
    <row r="37" spans="1:12" s="4" customFormat="1" hidden="1">
      <c r="A37" s="1"/>
      <c r="B37" s="1"/>
      <c r="C37" s="1"/>
      <c r="D37" s="1"/>
      <c r="E37" s="1"/>
      <c r="F37" s="214"/>
      <c r="G37" s="214"/>
      <c r="H37" s="214"/>
      <c r="I37" s="214"/>
      <c r="J37" s="214"/>
      <c r="K37" s="214"/>
      <c r="L37" s="215"/>
    </row>
    <row r="38" spans="1:12" s="4" customFormat="1" hidden="1">
      <c r="A38" s="1"/>
      <c r="B38" s="2740" t="s">
        <v>112</v>
      </c>
      <c r="C38" s="2741"/>
      <c r="D38" s="2741"/>
      <c r="E38" s="2741"/>
      <c r="F38" s="2742"/>
      <c r="G38" s="5"/>
      <c r="H38" s="5"/>
      <c r="I38" s="5"/>
      <c r="J38" s="5"/>
      <c r="K38" s="5"/>
      <c r="L38" s="215"/>
    </row>
    <row r="39" spans="1:12" s="4" customFormat="1" hidden="1">
      <c r="A39" s="1"/>
      <c r="B39" s="216" t="s">
        <v>113</v>
      </c>
      <c r="C39" s="217" t="s">
        <v>89</v>
      </c>
      <c r="D39" s="217"/>
      <c r="E39" s="217"/>
      <c r="F39" s="218">
        <f>F28</f>
        <v>1241.1711035594215</v>
      </c>
      <c r="G39" s="219"/>
      <c r="H39" s="219"/>
      <c r="I39" s="219"/>
      <c r="J39" s="219"/>
      <c r="K39" s="219"/>
      <c r="L39" s="215"/>
    </row>
    <row r="40" spans="1:12" s="4" customFormat="1" hidden="1">
      <c r="A40" s="1"/>
      <c r="B40" s="216" t="s">
        <v>114</v>
      </c>
      <c r="C40" s="217" t="s">
        <v>89</v>
      </c>
      <c r="D40" s="217"/>
      <c r="E40" s="217"/>
      <c r="F40" s="218">
        <f>F20-F39</f>
        <v>2258.8288964405783</v>
      </c>
      <c r="G40" s="219"/>
      <c r="H40" s="219"/>
      <c r="I40" s="219"/>
      <c r="J40" s="219"/>
      <c r="K40" s="219"/>
      <c r="L40" s="215"/>
    </row>
    <row r="41" spans="1:12" s="4" customFormat="1" hidden="1">
      <c r="A41" s="1"/>
      <c r="B41" s="220" t="s">
        <v>115</v>
      </c>
      <c r="C41" s="221" t="s">
        <v>77</v>
      </c>
      <c r="D41" s="221"/>
      <c r="E41" s="221"/>
      <c r="F41" s="218">
        <f>0.0763*F40*60</f>
        <v>10340.918687904968</v>
      </c>
      <c r="G41" s="219"/>
      <c r="H41" s="219"/>
      <c r="I41" s="219"/>
      <c r="J41" s="219"/>
      <c r="K41" s="219"/>
      <c r="L41" s="215"/>
    </row>
    <row r="42" spans="1:12" s="4" customFormat="1" hidden="1">
      <c r="A42" s="1"/>
      <c r="B42" s="216" t="s">
        <v>116</v>
      </c>
      <c r="C42" s="217" t="s">
        <v>1173</v>
      </c>
      <c r="D42" s="217"/>
      <c r="E42" s="217"/>
      <c r="F42" s="218">
        <f>F39*60*0.02* (F15-100)</f>
        <v>484056.73038817442</v>
      </c>
      <c r="G42" s="219"/>
      <c r="H42" s="219"/>
      <c r="I42" s="219"/>
      <c r="J42" s="219"/>
      <c r="K42" s="219"/>
      <c r="L42" s="215"/>
    </row>
    <row r="43" spans="1:12" s="4" customFormat="1" hidden="1">
      <c r="A43" s="1"/>
      <c r="B43" s="220" t="s">
        <v>117</v>
      </c>
      <c r="C43" s="221" t="s">
        <v>1173</v>
      </c>
      <c r="D43" s="221"/>
      <c r="E43" s="221"/>
      <c r="F43" s="218" t="e">
        <f>F42/(F17/100)</f>
        <v>#REF!</v>
      </c>
      <c r="G43" s="219"/>
      <c r="H43" s="219"/>
      <c r="I43" s="219"/>
      <c r="J43" s="219"/>
      <c r="K43" s="219"/>
      <c r="L43" s="215"/>
    </row>
    <row r="44" spans="1:12" s="4" customFormat="1" hidden="1">
      <c r="A44" s="1"/>
      <c r="B44" s="220" t="s">
        <v>267</v>
      </c>
      <c r="C44" s="221" t="s">
        <v>1054</v>
      </c>
      <c r="D44" s="221"/>
      <c r="E44" s="221"/>
      <c r="F44" s="218" t="e">
        <f>F11-F43/1000</f>
        <v>#REF!</v>
      </c>
      <c r="G44" s="219"/>
      <c r="H44" s="219"/>
      <c r="I44" s="219"/>
      <c r="J44" s="219"/>
      <c r="K44" s="219"/>
      <c r="L44" s="215"/>
    </row>
    <row r="45" spans="1:12" s="4" customFormat="1" hidden="1">
      <c r="A45" s="1"/>
      <c r="B45" s="220" t="s">
        <v>268</v>
      </c>
      <c r="C45" s="221" t="s">
        <v>1054</v>
      </c>
      <c r="D45" s="221"/>
      <c r="E45" s="221"/>
      <c r="F45" s="218" t="e">
        <f>F44*(1+F16/100)*10</f>
        <v>#REF!</v>
      </c>
      <c r="G45" s="219"/>
      <c r="H45" s="219"/>
      <c r="I45" s="219"/>
      <c r="J45" s="219"/>
      <c r="K45" s="219"/>
      <c r="L45" s="215"/>
    </row>
    <row r="46" spans="1:12" s="4" customFormat="1" hidden="1">
      <c r="A46" s="1"/>
      <c r="B46" s="220" t="s">
        <v>269</v>
      </c>
      <c r="C46" s="221" t="s">
        <v>77</v>
      </c>
      <c r="D46" s="221"/>
      <c r="E46" s="221"/>
      <c r="F46" s="218" t="e">
        <f>0.0763*(0.6*F44+F45)</f>
        <v>#REF!</v>
      </c>
      <c r="G46" s="219"/>
      <c r="H46" s="219"/>
      <c r="I46" s="219"/>
      <c r="J46" s="219"/>
      <c r="K46" s="219"/>
      <c r="L46" s="215"/>
    </row>
    <row r="47" spans="1:12" s="4" customFormat="1" ht="25.5" hidden="1">
      <c r="A47" s="1"/>
      <c r="B47" s="220" t="s">
        <v>270</v>
      </c>
      <c r="C47" s="221" t="s">
        <v>77</v>
      </c>
      <c r="D47" s="221"/>
      <c r="E47" s="221"/>
      <c r="F47" s="218" t="e">
        <f>0.0763*(0.6*F44+10*F44)</f>
        <v>#REF!</v>
      </c>
      <c r="G47" s="219"/>
      <c r="H47" s="219"/>
      <c r="I47" s="219"/>
      <c r="J47" s="219"/>
      <c r="K47" s="219"/>
      <c r="L47" s="215"/>
    </row>
    <row r="48" spans="1:12" s="4" customFormat="1" hidden="1">
      <c r="A48" s="1"/>
      <c r="B48" s="220" t="s">
        <v>84</v>
      </c>
      <c r="C48" s="221" t="s">
        <v>77</v>
      </c>
      <c r="D48" s="221"/>
      <c r="E48" s="221"/>
      <c r="F48" s="218" t="e">
        <f>0.1*11*F44*0.0763</f>
        <v>#REF!</v>
      </c>
      <c r="G48" s="219"/>
      <c r="H48" s="219"/>
      <c r="I48" s="219"/>
      <c r="J48" s="219"/>
      <c r="K48" s="219"/>
      <c r="L48" s="215"/>
    </row>
    <row r="49" spans="1:13" s="4" customFormat="1" hidden="1">
      <c r="A49" s="1"/>
      <c r="B49" s="220" t="s">
        <v>93</v>
      </c>
      <c r="C49" s="221" t="s">
        <v>77</v>
      </c>
      <c r="D49" s="221"/>
      <c r="E49" s="221"/>
      <c r="F49" s="218" t="e">
        <f>F46-F48</f>
        <v>#REF!</v>
      </c>
      <c r="G49" s="219"/>
      <c r="H49" s="219"/>
      <c r="I49" s="219"/>
      <c r="J49" s="219"/>
      <c r="K49" s="219"/>
      <c r="L49" s="215"/>
      <c r="M49" s="202"/>
    </row>
    <row r="50" spans="1:13" s="4" customFormat="1" hidden="1">
      <c r="A50" s="1"/>
      <c r="B50" s="222" t="s">
        <v>271</v>
      </c>
      <c r="C50" s="223" t="s">
        <v>95</v>
      </c>
      <c r="D50" s="223"/>
      <c r="E50" s="223"/>
      <c r="F50" s="224" t="e">
        <f>(F19+F48)/(F41+F49)</f>
        <v>#REF!</v>
      </c>
      <c r="G50" s="225"/>
      <c r="H50" s="225"/>
      <c r="I50" s="225"/>
      <c r="J50" s="225"/>
      <c r="K50" s="225"/>
      <c r="L50" s="215"/>
      <c r="M50" s="226"/>
    </row>
    <row r="51" spans="1:13" s="4" customFormat="1" hidden="1">
      <c r="A51" s="1"/>
      <c r="B51" s="145" t="s">
        <v>272</v>
      </c>
      <c r="C51" s="11"/>
      <c r="D51" s="11"/>
      <c r="E51" s="11"/>
      <c r="F51" s="227" t="e">
        <f>(F11-F44)/F11</f>
        <v>#REF!</v>
      </c>
      <c r="G51" s="228"/>
      <c r="H51" s="228"/>
      <c r="I51" s="228"/>
      <c r="J51" s="228"/>
      <c r="K51" s="228"/>
      <c r="L51" s="215"/>
    </row>
    <row r="52" spans="1:13" s="4" customFormat="1" ht="13.5" hidden="1" thickBot="1">
      <c r="A52" s="1"/>
      <c r="B52" s="229"/>
      <c r="C52" s="230"/>
      <c r="D52" s="230"/>
      <c r="E52" s="230"/>
      <c r="F52" s="231"/>
      <c r="G52" s="232"/>
      <c r="H52" s="232"/>
      <c r="I52" s="232"/>
      <c r="J52" s="232"/>
      <c r="K52" s="232"/>
      <c r="L52" s="215"/>
    </row>
    <row r="53" spans="1:13" s="4" customFormat="1" hidden="1">
      <c r="A53" s="1"/>
      <c r="B53" s="1"/>
      <c r="C53" s="1"/>
      <c r="D53" s="1"/>
      <c r="E53" s="1"/>
      <c r="F53" s="233"/>
      <c r="G53" s="233"/>
      <c r="H53" s="233"/>
      <c r="I53" s="233"/>
      <c r="J53" s="233"/>
      <c r="K53" s="233"/>
      <c r="L53" s="215"/>
    </row>
    <row r="54" spans="1:13" s="4" customFormat="1" hidden="1">
      <c r="A54" s="1"/>
      <c r="B54" s="1"/>
      <c r="C54" s="1"/>
      <c r="D54" s="1"/>
      <c r="E54" s="1"/>
      <c r="F54" s="233"/>
      <c r="G54" s="233"/>
      <c r="H54" s="233"/>
      <c r="I54" s="233"/>
      <c r="J54" s="233"/>
      <c r="K54" s="233"/>
      <c r="L54" s="215"/>
    </row>
    <row r="55" spans="1:13" s="4" customFormat="1" hidden="1">
      <c r="A55" s="1"/>
      <c r="B55" s="1"/>
      <c r="C55" s="1"/>
      <c r="D55" s="1"/>
      <c r="E55" s="1"/>
      <c r="F55" s="233"/>
      <c r="G55" s="233"/>
      <c r="H55" s="233"/>
      <c r="I55" s="233"/>
      <c r="J55" s="233"/>
      <c r="K55" s="233"/>
      <c r="L55" s="215"/>
    </row>
    <row r="56" spans="1:13" s="4" customFormat="1" hidden="1">
      <c r="A56" s="1"/>
      <c r="B56" s="1"/>
      <c r="C56" s="1"/>
      <c r="D56" s="1"/>
      <c r="E56" s="1"/>
      <c r="F56" s="233"/>
      <c r="G56" s="233"/>
      <c r="H56" s="233"/>
      <c r="I56" s="233"/>
      <c r="J56" s="233"/>
      <c r="K56" s="233"/>
      <c r="L56" s="215"/>
    </row>
    <row r="57" spans="1:13" s="4" customFormat="1">
      <c r="A57" s="1"/>
      <c r="B57" s="1"/>
      <c r="C57" s="1"/>
      <c r="D57" s="1"/>
      <c r="E57" s="1"/>
      <c r="F57" s="233"/>
      <c r="G57" s="233"/>
      <c r="H57" s="233"/>
      <c r="I57" s="233"/>
      <c r="J57" s="233"/>
      <c r="K57" s="233"/>
      <c r="L57" s="215"/>
    </row>
    <row r="58" spans="1:13" s="4" customFormat="1" ht="23.25">
      <c r="A58" s="1"/>
      <c r="B58" s="1"/>
      <c r="C58" s="1"/>
      <c r="D58" s="234" t="s">
        <v>273</v>
      </c>
      <c r="E58" s="165"/>
      <c r="F58" s="235"/>
      <c r="G58" s="235"/>
      <c r="H58" s="233"/>
      <c r="I58" s="233"/>
      <c r="J58" s="236"/>
      <c r="K58" s="236"/>
      <c r="L58" s="237">
        <f>I69+J69</f>
        <v>1.7278617710583153</v>
      </c>
    </row>
    <row r="59" spans="1:13" s="4" customFormat="1">
      <c r="A59" s="1"/>
      <c r="B59" s="1"/>
      <c r="C59" s="1"/>
      <c r="D59" s="1"/>
      <c r="E59" s="1"/>
      <c r="F59" s="233"/>
      <c r="G59" s="233"/>
      <c r="H59" s="233"/>
      <c r="I59" s="233"/>
      <c r="J59" s="233"/>
      <c r="K59" s="233"/>
      <c r="L59" s="215"/>
    </row>
    <row r="60" spans="1:13" s="4" customFormat="1" ht="15">
      <c r="B60" s="2734" t="s">
        <v>274</v>
      </c>
      <c r="C60" s="2734"/>
      <c r="D60" s="2734"/>
      <c r="E60" s="2734"/>
      <c r="F60" s="2734"/>
      <c r="G60" s="2734"/>
      <c r="H60" s="2734"/>
      <c r="I60" s="2734"/>
      <c r="J60" s="2734"/>
      <c r="K60" s="2734"/>
      <c r="L60" s="2734"/>
    </row>
    <row r="61" spans="1:13" s="4" customFormat="1" ht="15">
      <c r="B61" s="238"/>
      <c r="C61" s="238"/>
      <c r="D61" s="238"/>
      <c r="E61" s="238"/>
      <c r="F61" s="238" t="s">
        <v>275</v>
      </c>
      <c r="G61" s="238"/>
      <c r="H61" s="238"/>
      <c r="I61" s="238"/>
      <c r="J61" s="238"/>
      <c r="K61" s="238"/>
      <c r="L61" s="238"/>
    </row>
    <row r="62" spans="1:13" s="4" customFormat="1" ht="15">
      <c r="B62" s="239"/>
      <c r="C62" s="240" t="s">
        <v>48</v>
      </c>
      <c r="D62" s="241" t="s">
        <v>50</v>
      </c>
      <c r="E62" s="238" t="s">
        <v>276</v>
      </c>
      <c r="F62" s="238"/>
      <c r="G62" s="238"/>
      <c r="H62" s="238"/>
      <c r="I62" s="238"/>
      <c r="J62" s="238"/>
      <c r="K62" s="238"/>
      <c r="L62" s="238"/>
    </row>
    <row r="63" spans="1:13" s="4" customFormat="1" ht="15">
      <c r="B63" s="242" t="s">
        <v>277</v>
      </c>
      <c r="C63" s="243">
        <v>23.15</v>
      </c>
      <c r="D63" s="244">
        <f>100-C63</f>
        <v>76.849999999999994</v>
      </c>
      <c r="E63" s="245">
        <f>D63/C63</f>
        <v>3.3196544276457884</v>
      </c>
      <c r="F63" s="238"/>
      <c r="G63" s="238"/>
      <c r="H63" s="238"/>
      <c r="I63" s="238"/>
      <c r="J63" s="238"/>
      <c r="K63" s="238"/>
      <c r="L63" s="238"/>
    </row>
    <row r="64" spans="1:13" s="4" customFormat="1" ht="15">
      <c r="B64" s="246" t="s">
        <v>278</v>
      </c>
      <c r="C64" s="247">
        <v>20.99</v>
      </c>
      <c r="D64" s="248">
        <f>100-C64</f>
        <v>79.010000000000005</v>
      </c>
      <c r="E64" s="245">
        <f>D64/C64</f>
        <v>3.7641734159123397</v>
      </c>
      <c r="F64" s="238"/>
      <c r="G64" s="238"/>
      <c r="H64" s="238"/>
      <c r="I64" s="238"/>
      <c r="J64" s="238"/>
      <c r="K64" s="238"/>
      <c r="L64" s="238"/>
    </row>
    <row r="65" spans="1:17" s="4" customFormat="1" ht="15">
      <c r="B65" s="238"/>
      <c r="C65" s="238"/>
      <c r="D65" s="238"/>
      <c r="E65" s="238"/>
      <c r="F65" s="238"/>
      <c r="G65" s="238"/>
      <c r="H65" s="238"/>
      <c r="I65" s="238"/>
      <c r="J65" s="238"/>
      <c r="K65" s="238"/>
      <c r="L65" s="238"/>
    </row>
    <row r="66" spans="1:17" s="1" customFormat="1" ht="45">
      <c r="B66" s="249" t="s">
        <v>279</v>
      </c>
      <c r="C66" s="249" t="s">
        <v>280</v>
      </c>
      <c r="D66" s="249" t="s">
        <v>281</v>
      </c>
      <c r="E66" s="249" t="s">
        <v>282</v>
      </c>
      <c r="F66" s="250" t="s">
        <v>422</v>
      </c>
      <c r="G66" s="250" t="s">
        <v>283</v>
      </c>
      <c r="H66" s="250" t="s">
        <v>284</v>
      </c>
      <c r="I66" s="250" t="s">
        <v>285</v>
      </c>
      <c r="J66" s="250" t="s">
        <v>286</v>
      </c>
      <c r="K66" s="250" t="s">
        <v>1056</v>
      </c>
      <c r="L66" s="251" t="s">
        <v>287</v>
      </c>
      <c r="M66" s="252" t="s">
        <v>288</v>
      </c>
      <c r="N66" s="1" t="s">
        <v>289</v>
      </c>
    </row>
    <row r="67" spans="1:17" s="1" customFormat="1" ht="15">
      <c r="B67" s="249" t="s">
        <v>41</v>
      </c>
      <c r="C67" s="249"/>
      <c r="D67" s="249"/>
      <c r="E67" s="249"/>
      <c r="F67" s="250"/>
      <c r="G67" s="250"/>
      <c r="H67" s="250"/>
      <c r="I67" s="250"/>
      <c r="J67" s="250"/>
      <c r="K67" s="250"/>
      <c r="L67" s="251"/>
      <c r="M67" s="252"/>
    </row>
    <row r="68" spans="1:17" s="4" customFormat="1">
      <c r="B68" s="253" t="s">
        <v>939</v>
      </c>
      <c r="C68" s="254">
        <f>'Data Input &amp; RESULTS '!C6</f>
        <v>0.75</v>
      </c>
      <c r="D68" s="254">
        <f t="shared" ref="D68:D74" si="0">C68/$C$82</f>
        <v>0.75</v>
      </c>
      <c r="E68" s="255">
        <v>14100</v>
      </c>
      <c r="F68" s="256">
        <f>(D68)*44/12</f>
        <v>2.75</v>
      </c>
      <c r="G68" s="256"/>
      <c r="H68" s="256"/>
      <c r="I68" s="257">
        <f>D68*32/12</f>
        <v>2</v>
      </c>
      <c r="J68" s="257">
        <f>I68*$E$63</f>
        <v>6.6393088552915769</v>
      </c>
      <c r="K68" s="257">
        <f>I68+J68</f>
        <v>8.6393088552915778</v>
      </c>
      <c r="L68" s="258">
        <f t="shared" ref="L68:L73" si="1">C68*E68</f>
        <v>10575</v>
      </c>
      <c r="M68" s="4">
        <f>D68*44/12</f>
        <v>2.75</v>
      </c>
      <c r="N68" s="4">
        <v>150</v>
      </c>
      <c r="P68" s="259">
        <f t="shared" ref="P68:P74" si="2">SUM(F68:H68)+J68</f>
        <v>9.3893088552915778</v>
      </c>
      <c r="Q68" s="4">
        <f>D68*44/12</f>
        <v>2.75</v>
      </c>
    </row>
    <row r="69" spans="1:17" s="4" customFormat="1">
      <c r="B69" s="253" t="s">
        <v>290</v>
      </c>
      <c r="C69" s="254">
        <f>'Data Input &amp; RESULTS '!C7</f>
        <v>0.05</v>
      </c>
      <c r="D69" s="254">
        <f t="shared" si="0"/>
        <v>0.05</v>
      </c>
      <c r="E69" s="255">
        <v>61100</v>
      </c>
      <c r="F69" s="256"/>
      <c r="G69" s="256">
        <f>D69*18/2</f>
        <v>0.45</v>
      </c>
      <c r="H69" s="256"/>
      <c r="I69" s="257">
        <f>D69*16/2</f>
        <v>0.4</v>
      </c>
      <c r="J69" s="257">
        <f>I69*$E$63</f>
        <v>1.3278617710583154</v>
      </c>
      <c r="K69" s="257">
        <f>I69+J69</f>
        <v>1.7278617710583153</v>
      </c>
      <c r="L69" s="258">
        <f t="shared" si="1"/>
        <v>3055</v>
      </c>
      <c r="M69" s="4">
        <f>D69*18/2</f>
        <v>0.45</v>
      </c>
      <c r="N69" s="4">
        <v>451</v>
      </c>
      <c r="P69" s="259">
        <f t="shared" si="2"/>
        <v>1.7778617710583153</v>
      </c>
    </row>
    <row r="70" spans="1:17" s="4" customFormat="1">
      <c r="B70" s="253" t="s">
        <v>46</v>
      </c>
      <c r="C70" s="254">
        <f>'Data Input &amp; RESULTS '!C8</f>
        <v>5.0000000000000001E-3</v>
      </c>
      <c r="D70" s="254">
        <f t="shared" si="0"/>
        <v>5.0000000000000001E-3</v>
      </c>
      <c r="E70" s="255">
        <v>3980</v>
      </c>
      <c r="F70" s="256"/>
      <c r="G70" s="260"/>
      <c r="H70" s="260">
        <f>D70*64/32</f>
        <v>0.01</v>
      </c>
      <c r="I70" s="261">
        <f>D70*32/32</f>
        <v>5.0000000000000001E-3</v>
      </c>
      <c r="J70" s="257">
        <f>I70*$E$63</f>
        <v>1.6598272138228943E-2</v>
      </c>
      <c r="K70" s="257">
        <f>I70+J70</f>
        <v>2.1598272138228944E-2</v>
      </c>
      <c r="L70" s="258">
        <f t="shared" si="1"/>
        <v>19.900000000000002</v>
      </c>
      <c r="M70" s="4">
        <v>5.2999999999999999E-2</v>
      </c>
      <c r="N70" s="4">
        <v>56.4</v>
      </c>
      <c r="P70" s="259">
        <f t="shared" si="2"/>
        <v>2.6598272138228941E-2</v>
      </c>
    </row>
    <row r="71" spans="1:17" s="4" customFormat="1">
      <c r="A71" s="1"/>
      <c r="B71" s="262" t="s">
        <v>291</v>
      </c>
      <c r="C71" s="254">
        <f>'Data Input &amp; RESULTS '!C9</f>
        <v>0.1</v>
      </c>
      <c r="D71" s="254">
        <f t="shared" si="0"/>
        <v>0.1</v>
      </c>
      <c r="E71" s="255"/>
      <c r="F71" s="263"/>
      <c r="G71" s="256"/>
      <c r="H71" s="256"/>
      <c r="I71" s="257"/>
      <c r="J71" s="257">
        <f>I71*$E$63</f>
        <v>0</v>
      </c>
      <c r="K71" s="257">
        <f>I71+J71</f>
        <v>0</v>
      </c>
      <c r="L71" s="258">
        <f t="shared" si="1"/>
        <v>0</v>
      </c>
      <c r="M71" s="4">
        <v>0.01</v>
      </c>
      <c r="N71" s="4">
        <v>0</v>
      </c>
      <c r="P71" s="259">
        <f t="shared" si="2"/>
        <v>0</v>
      </c>
    </row>
    <row r="72" spans="1:17" s="4" customFormat="1">
      <c r="A72" s="1"/>
      <c r="B72" s="262" t="s">
        <v>48</v>
      </c>
      <c r="C72" s="254">
        <f>'Data Input &amp; RESULTS '!C10</f>
        <v>0.08</v>
      </c>
      <c r="D72" s="254">
        <f t="shared" si="0"/>
        <v>0.08</v>
      </c>
      <c r="E72" s="255"/>
      <c r="F72" s="263"/>
      <c r="G72" s="260"/>
      <c r="H72" s="260"/>
      <c r="I72" s="261">
        <f>-(C72)</f>
        <v>-0.08</v>
      </c>
      <c r="J72" s="257">
        <f>I72*$E$63</f>
        <v>-0.26557235421166309</v>
      </c>
      <c r="K72" s="257">
        <f>I72+J72</f>
        <v>-0.3455723542116631</v>
      </c>
      <c r="L72" s="258">
        <f t="shared" si="1"/>
        <v>0</v>
      </c>
      <c r="M72" s="4">
        <v>-3.3099999999999997E-2</v>
      </c>
      <c r="N72" s="4">
        <f>-1/0.0763</f>
        <v>-13.10615989515072</v>
      </c>
      <c r="P72" s="259">
        <f t="shared" si="2"/>
        <v>-0.26557235421166309</v>
      </c>
    </row>
    <row r="73" spans="1:17" s="4" customFormat="1">
      <c r="A73" s="1"/>
      <c r="B73" s="262" t="s">
        <v>49</v>
      </c>
      <c r="C73" s="254">
        <f>'Data Input &amp; RESULTS '!C11</f>
        <v>0</v>
      </c>
      <c r="D73" s="254">
        <f t="shared" si="0"/>
        <v>0</v>
      </c>
      <c r="E73" s="264"/>
      <c r="F73" s="263"/>
      <c r="G73" s="263">
        <f>D73</f>
        <v>0</v>
      </c>
      <c r="H73" s="263"/>
      <c r="I73" s="265"/>
      <c r="J73" s="265"/>
      <c r="K73" s="265"/>
      <c r="L73" s="258">
        <f t="shared" si="1"/>
        <v>0</v>
      </c>
      <c r="N73" s="4">
        <v>0</v>
      </c>
      <c r="P73" s="259">
        <f t="shared" si="2"/>
        <v>0</v>
      </c>
    </row>
    <row r="74" spans="1:17" s="4" customFormat="1">
      <c r="A74" s="1"/>
      <c r="B74" s="262" t="s">
        <v>292</v>
      </c>
      <c r="C74" s="254">
        <f>'Data Input &amp; RESULTS '!C12</f>
        <v>1.4999999999999999E-2</v>
      </c>
      <c r="D74" s="254">
        <f t="shared" si="0"/>
        <v>1.4999999999999999E-2</v>
      </c>
      <c r="E74" s="264"/>
      <c r="F74" s="263"/>
      <c r="G74" s="263"/>
      <c r="H74" s="263"/>
      <c r="I74" s="265"/>
      <c r="J74" s="265"/>
      <c r="K74" s="265"/>
      <c r="L74" s="266"/>
      <c r="N74" s="4">
        <v>0</v>
      </c>
      <c r="P74" s="259">
        <f t="shared" si="2"/>
        <v>0</v>
      </c>
    </row>
    <row r="75" spans="1:17" s="4" customFormat="1">
      <c r="A75" s="1"/>
      <c r="B75" s="267" t="s">
        <v>1172</v>
      </c>
      <c r="C75" s="162"/>
      <c r="D75" s="162"/>
      <c r="E75" s="162"/>
      <c r="F75" s="268">
        <f t="shared" ref="F75:L75" si="3">SUM(F68:F74)</f>
        <v>2.75</v>
      </c>
      <c r="G75" s="268">
        <f t="shared" si="3"/>
        <v>0.45</v>
      </c>
      <c r="H75" s="268">
        <f t="shared" si="3"/>
        <v>0.01</v>
      </c>
      <c r="I75" s="268">
        <f t="shared" si="3"/>
        <v>2.3249999999999997</v>
      </c>
      <c r="J75" s="268">
        <f t="shared" si="3"/>
        <v>7.7181965442764575</v>
      </c>
      <c r="K75" s="268">
        <f t="shared" si="3"/>
        <v>10.043196544276459</v>
      </c>
      <c r="L75" s="269">
        <f t="shared" si="3"/>
        <v>13649.9</v>
      </c>
    </row>
    <row r="76" spans="1:17" s="4" customFormat="1">
      <c r="A76" s="1"/>
      <c r="B76" s="267" t="s">
        <v>293</v>
      </c>
      <c r="C76" s="162"/>
      <c r="D76" s="162"/>
      <c r="E76" s="162"/>
      <c r="F76" s="268"/>
      <c r="G76" s="268"/>
      <c r="H76" s="268"/>
      <c r="I76" s="270">
        <f>($C$83)*I75</f>
        <v>0</v>
      </c>
      <c r="J76" s="270">
        <f>($C$83)*J75</f>
        <v>0</v>
      </c>
      <c r="K76" s="270">
        <f>($C$83)*K75</f>
        <v>0</v>
      </c>
      <c r="L76" s="266"/>
    </row>
    <row r="77" spans="1:17" s="4" customFormat="1">
      <c r="A77" s="1"/>
      <c r="B77" s="267" t="s">
        <v>294</v>
      </c>
      <c r="C77" s="162"/>
      <c r="D77" s="162"/>
      <c r="E77" s="162"/>
      <c r="F77" s="268"/>
      <c r="G77" s="268"/>
      <c r="H77" s="268"/>
      <c r="I77" s="270">
        <f>I75+I76</f>
        <v>2.3249999999999997</v>
      </c>
      <c r="J77" s="270">
        <f>J75+J76</f>
        <v>7.7181965442764575</v>
      </c>
      <c r="K77" s="270">
        <f>K75+K76</f>
        <v>10.043196544276459</v>
      </c>
      <c r="L77" s="266"/>
    </row>
    <row r="78" spans="1:17" s="4" customFormat="1">
      <c r="A78" s="1"/>
      <c r="B78" s="267" t="s">
        <v>295</v>
      </c>
      <c r="C78" s="271">
        <f>'Data Input &amp; RESULTS '!D21</f>
        <v>0.01</v>
      </c>
      <c r="D78" s="271"/>
      <c r="E78" s="271"/>
      <c r="F78" s="272"/>
      <c r="G78" s="272">
        <f>C78*K77</f>
        <v>0.10043196544276459</v>
      </c>
      <c r="H78" s="272"/>
      <c r="I78" s="273"/>
      <c r="J78" s="273"/>
      <c r="K78" s="273"/>
      <c r="L78" s="266" t="s">
        <v>296</v>
      </c>
    </row>
    <row r="79" spans="1:17" s="4" customFormat="1" ht="25.5">
      <c r="A79" s="1"/>
      <c r="B79" s="262"/>
      <c r="C79" s="274" t="s">
        <v>297</v>
      </c>
      <c r="D79" s="274"/>
      <c r="E79" s="274"/>
      <c r="F79" s="275">
        <f>F75</f>
        <v>2.75</v>
      </c>
      <c r="G79" s="275">
        <f>G75+G78</f>
        <v>0.55043196544276463</v>
      </c>
      <c r="H79" s="275">
        <f>H75</f>
        <v>0.01</v>
      </c>
      <c r="I79" s="275">
        <f>I76</f>
        <v>0</v>
      </c>
      <c r="J79" s="275">
        <f>J77</f>
        <v>7.7181965442764575</v>
      </c>
      <c r="K79" s="275"/>
      <c r="L79" s="276">
        <f>SUM(F79:J79)</f>
        <v>11.028628509719223</v>
      </c>
    </row>
    <row r="80" spans="1:17" s="4" customFormat="1">
      <c r="A80" s="1"/>
      <c r="B80" s="262"/>
      <c r="C80" s="274" t="s">
        <v>298</v>
      </c>
      <c r="D80" s="274"/>
      <c r="E80" s="274"/>
      <c r="F80" s="275"/>
      <c r="G80" s="275"/>
      <c r="H80" s="275"/>
      <c r="I80" s="275"/>
      <c r="J80" s="275"/>
      <c r="K80" s="275"/>
      <c r="L80" s="276">
        <f>L79</f>
        <v>11.028628509719223</v>
      </c>
    </row>
    <row r="81" spans="1:19" s="4" customFormat="1">
      <c r="A81" s="1"/>
      <c r="B81" s="262"/>
      <c r="C81" s="274" t="s">
        <v>299</v>
      </c>
      <c r="D81" s="274"/>
      <c r="E81" s="274"/>
      <c r="F81" s="275"/>
      <c r="G81" s="275"/>
      <c r="H81" s="275"/>
      <c r="I81" s="275"/>
      <c r="J81" s="275"/>
      <c r="K81" s="275"/>
      <c r="L81" s="276">
        <f>L80-G79</f>
        <v>10.478196544276457</v>
      </c>
    </row>
    <row r="82" spans="1:19" s="4" customFormat="1">
      <c r="A82" s="1"/>
      <c r="B82" s="262" t="s">
        <v>300</v>
      </c>
      <c r="C82" s="264">
        <f>SUM(C68:C74)</f>
        <v>1</v>
      </c>
      <c r="D82" s="264">
        <f>SUM(D68:D81)</f>
        <v>1</v>
      </c>
      <c r="E82" s="264"/>
      <c r="F82" s="263"/>
      <c r="G82" s="263"/>
      <c r="H82" s="263"/>
      <c r="I82" s="265"/>
      <c r="J82" s="265"/>
      <c r="K82" s="265"/>
      <c r="L82" s="266"/>
    </row>
    <row r="83" spans="1:19" s="4" customFormat="1">
      <c r="A83" s="1"/>
      <c r="B83" s="262" t="s">
        <v>301</v>
      </c>
      <c r="C83" s="424">
        <f>'Data Input &amp; RESULTS '!D17</f>
        <v>0</v>
      </c>
      <c r="D83" s="278"/>
      <c r="E83" s="278"/>
      <c r="F83" s="263"/>
      <c r="G83" s="263"/>
      <c r="H83" s="263"/>
      <c r="I83" s="265"/>
      <c r="J83" s="265"/>
      <c r="K83" s="265"/>
      <c r="L83" s="266"/>
    </row>
    <row r="84" spans="1:19" s="4" customFormat="1">
      <c r="A84" s="1"/>
      <c r="B84" s="262"/>
      <c r="C84" s="279"/>
      <c r="D84" s="279"/>
      <c r="E84" s="279"/>
      <c r="F84" s="263"/>
      <c r="G84" s="263"/>
      <c r="H84" s="263"/>
      <c r="I84" s="265"/>
      <c r="J84" s="265"/>
      <c r="K84" s="265"/>
      <c r="L84" s="266"/>
      <c r="M84" s="280">
        <v>1.8190000000000001E-3</v>
      </c>
    </row>
    <row r="85" spans="1:19" s="4" customFormat="1">
      <c r="A85" s="1"/>
      <c r="B85" s="262" t="s">
        <v>302</v>
      </c>
      <c r="C85" s="264"/>
      <c r="D85" s="264"/>
      <c r="E85" s="264"/>
      <c r="F85" s="263">
        <f>SUM(F68:F74)</f>
        <v>2.75</v>
      </c>
      <c r="G85" s="263">
        <f>SUM(G68:G74)</f>
        <v>0.45</v>
      </c>
      <c r="H85" s="263">
        <f>SUM(H68:H74)</f>
        <v>0.01</v>
      </c>
      <c r="I85" s="263">
        <f>SUM(I68:I74)</f>
        <v>2.3249999999999997</v>
      </c>
      <c r="J85" s="263">
        <f>SUM(J68:J75)</f>
        <v>15.436393088552915</v>
      </c>
      <c r="K85" s="263"/>
      <c r="L85" s="266">
        <f>SUM(L68:L73)</f>
        <v>13649.9</v>
      </c>
      <c r="M85" s="98">
        <f>100*(C68*M68+M69*C69+C70*M70+C71*M71+C72*M72)</f>
        <v>208.36169999999998</v>
      </c>
      <c r="N85" s="281" t="e">
        <f>($C$68*N68+0.5*$C$69*N69+$C$70*N70+$C$71*N71+$C$72*N72+$C$73*N73+$C$74*N74+$C$75*N75+$C$76*N76+$C$77*N77+$C$81*N81)*(1+$C$83/100)</f>
        <v>#VALUE!</v>
      </c>
      <c r="P85" s="98">
        <f>SUM(P68:P75)</f>
        <v>10.928196544276458</v>
      </c>
      <c r="Q85" s="98">
        <f>I86+F85+G85+H85-I85</f>
        <v>18.646393088552916</v>
      </c>
    </row>
    <row r="86" spans="1:19" s="4" customFormat="1">
      <c r="A86" s="1"/>
      <c r="B86" s="262" t="s">
        <v>303</v>
      </c>
      <c r="C86" s="278">
        <f>'Data Input &amp; RESULTS '!D18</f>
        <v>0</v>
      </c>
      <c r="D86" s="264"/>
      <c r="E86" s="264"/>
      <c r="F86" s="263"/>
      <c r="G86" s="263"/>
      <c r="H86" s="263" t="s">
        <v>304</v>
      </c>
      <c r="I86" s="2729">
        <f>I85+J85</f>
        <v>17.761393088552914</v>
      </c>
      <c r="J86" s="2729"/>
      <c r="K86" s="263"/>
      <c r="L86" s="266"/>
      <c r="M86" s="280"/>
      <c r="N86" s="67"/>
    </row>
    <row r="87" spans="1:19" s="4" customFormat="1">
      <c r="A87" s="1"/>
      <c r="B87" s="6" t="s">
        <v>305</v>
      </c>
      <c r="C87" s="425">
        <f>'Data Input &amp; RESULTS '!D20</f>
        <v>70</v>
      </c>
      <c r="D87" s="284"/>
      <c r="E87" s="284"/>
      <c r="F87" s="285"/>
      <c r="G87" s="286"/>
      <c r="H87" s="286"/>
      <c r="I87" s="286"/>
      <c r="J87" s="286"/>
      <c r="K87" s="286"/>
      <c r="L87" s="215"/>
      <c r="N87" s="15" t="e">
        <f>100*N85/L85</f>
        <v>#VALUE!</v>
      </c>
    </row>
    <row r="88" spans="1:19" s="4" customFormat="1">
      <c r="A88" s="1"/>
      <c r="B88" s="6" t="s">
        <v>306</v>
      </c>
      <c r="C88" s="425">
        <f>'Data Input &amp; RESULTS '!D19</f>
        <v>0</v>
      </c>
      <c r="D88" s="284"/>
      <c r="E88" s="284"/>
      <c r="F88" s="285"/>
      <c r="G88" s="286"/>
      <c r="H88" s="286"/>
      <c r="I88" s="286"/>
      <c r="J88" s="286"/>
      <c r="K88" s="286"/>
      <c r="L88" s="215"/>
      <c r="N88" s="15"/>
    </row>
    <row r="89" spans="1:19" s="4" customFormat="1">
      <c r="A89" s="1"/>
      <c r="B89" s="6"/>
      <c r="C89" s="284"/>
      <c r="D89" s="284"/>
      <c r="E89" s="284"/>
      <c r="F89" s="285"/>
      <c r="G89" s="286"/>
      <c r="H89" s="286"/>
      <c r="I89" s="286"/>
      <c r="J89" s="286"/>
      <c r="K89" s="286"/>
      <c r="L89" s="215"/>
      <c r="N89" s="15"/>
    </row>
    <row r="90" spans="1:19" s="4" customFormat="1" ht="13.5" thickBot="1">
      <c r="A90" s="1"/>
      <c r="B90" s="6"/>
      <c r="C90" s="284"/>
      <c r="D90" s="284"/>
      <c r="E90" s="284"/>
      <c r="F90" s="285"/>
      <c r="G90" s="286"/>
      <c r="H90" s="286"/>
      <c r="I90" s="286"/>
      <c r="J90" s="286"/>
      <c r="K90" s="286"/>
      <c r="L90" s="215"/>
      <c r="N90" s="15"/>
    </row>
    <row r="91" spans="1:19" s="4" customFormat="1">
      <c r="A91" s="1"/>
      <c r="B91" s="287" t="s">
        <v>307</v>
      </c>
      <c r="C91" s="288">
        <f>C83</f>
        <v>0</v>
      </c>
      <c r="D91" s="289"/>
      <c r="E91" s="289"/>
      <c r="F91" s="285"/>
      <c r="G91" s="286"/>
      <c r="H91" s="286"/>
      <c r="I91" s="286"/>
      <c r="J91" s="286"/>
      <c r="K91" s="286"/>
      <c r="L91" s="215"/>
      <c r="N91" s="15" t="e">
        <f>1/N87</f>
        <v>#VALUE!</v>
      </c>
    </row>
    <row r="92" spans="1:19" s="4" customFormat="1">
      <c r="A92" s="1"/>
      <c r="B92" s="290" t="s">
        <v>308</v>
      </c>
      <c r="C92" s="291">
        <f>I85*C91</f>
        <v>0</v>
      </c>
      <c r="D92" s="292"/>
      <c r="E92" s="292"/>
      <c r="F92" s="285"/>
      <c r="G92" s="286"/>
      <c r="H92" s="286"/>
      <c r="I92" s="286"/>
      <c r="J92" s="286"/>
      <c r="K92" s="286"/>
      <c r="L92" s="215"/>
    </row>
    <row r="93" spans="1:19" s="4" customFormat="1" ht="13.5" thickBot="1">
      <c r="A93" s="1"/>
      <c r="B93" s="290" t="s">
        <v>309</v>
      </c>
      <c r="C93" s="291">
        <f>C92*H206</f>
        <v>0</v>
      </c>
      <c r="D93" s="292"/>
      <c r="E93" s="292"/>
      <c r="F93" s="285"/>
      <c r="G93" s="286"/>
      <c r="H93" s="286"/>
      <c r="I93" s="286"/>
      <c r="J93" s="286"/>
      <c r="K93" s="286"/>
      <c r="L93" s="215">
        <f>16/0.23</f>
        <v>69.565217391304344</v>
      </c>
    </row>
    <row r="94" spans="1:19" s="4" customFormat="1" ht="13.5" thickBot="1">
      <c r="A94" s="1"/>
      <c r="B94" s="293" t="s">
        <v>310</v>
      </c>
      <c r="C94" s="294">
        <f>C92+C93</f>
        <v>0</v>
      </c>
      <c r="D94" s="292"/>
      <c r="E94" s="292"/>
      <c r="F94" s="285"/>
      <c r="G94" s="286"/>
      <c r="H94" s="286"/>
      <c r="I94" s="286"/>
      <c r="J94" s="286"/>
      <c r="K94" s="286"/>
      <c r="L94" s="215"/>
      <c r="N94" s="295" t="s">
        <v>311</v>
      </c>
      <c r="O94" s="296" t="s">
        <v>312</v>
      </c>
      <c r="P94" s="296" t="s">
        <v>313</v>
      </c>
      <c r="Q94" s="296" t="s">
        <v>314</v>
      </c>
      <c r="R94" s="296" t="s">
        <v>315</v>
      </c>
      <c r="S94" s="297" t="s">
        <v>316</v>
      </c>
    </row>
    <row r="95" spans="1:19" s="4" customFormat="1">
      <c r="A95" s="1"/>
      <c r="B95" s="1"/>
      <c r="C95" s="284"/>
      <c r="D95" s="284"/>
      <c r="E95" s="284"/>
      <c r="F95" s="285"/>
      <c r="G95" s="286"/>
      <c r="H95" s="286"/>
      <c r="I95" s="286"/>
      <c r="J95" s="286"/>
      <c r="K95" s="286"/>
      <c r="L95" s="215"/>
      <c r="M95" s="226"/>
      <c r="N95" s="298">
        <v>12</v>
      </c>
      <c r="O95" s="9">
        <v>32</v>
      </c>
      <c r="P95" s="299">
        <f>O95*3.3103</f>
        <v>105.92959999999999</v>
      </c>
      <c r="Q95" s="9">
        <v>44</v>
      </c>
      <c r="R95" s="299">
        <f>P95+Q95</f>
        <v>149.92959999999999</v>
      </c>
      <c r="S95" s="300">
        <f>R95/N95</f>
        <v>12.494133333333332</v>
      </c>
    </row>
    <row r="96" spans="1:19" s="4" customFormat="1">
      <c r="A96" s="1"/>
      <c r="B96" s="1"/>
      <c r="C96" s="284"/>
      <c r="D96" s="284"/>
      <c r="E96" s="284"/>
      <c r="F96" s="285"/>
      <c r="G96" s="286"/>
      <c r="H96" s="286"/>
      <c r="I96" s="286"/>
      <c r="J96" s="286"/>
      <c r="K96" s="286"/>
      <c r="L96" s="215"/>
      <c r="N96" s="298">
        <v>2</v>
      </c>
      <c r="O96" s="9">
        <v>16</v>
      </c>
      <c r="P96" s="299">
        <f>O96*3.3103</f>
        <v>52.964799999999997</v>
      </c>
      <c r="Q96" s="9">
        <v>18</v>
      </c>
      <c r="R96" s="299">
        <f>P96+Q96</f>
        <v>70.964799999999997</v>
      </c>
      <c r="S96" s="300">
        <f>R96/N96</f>
        <v>35.482399999999998</v>
      </c>
    </row>
    <row r="97" spans="1:19" s="4" customFormat="1" ht="13.5" thickBot="1">
      <c r="A97" s="1"/>
      <c r="B97" s="1"/>
      <c r="C97" s="284"/>
      <c r="D97" s="284"/>
      <c r="E97" s="284"/>
      <c r="F97" s="285"/>
      <c r="G97" s="286"/>
      <c r="H97" s="286"/>
      <c r="I97" s="286"/>
      <c r="J97" s="286"/>
      <c r="K97" s="286"/>
      <c r="L97" s="215"/>
      <c r="N97" s="301">
        <v>32</v>
      </c>
      <c r="O97" s="94">
        <v>32</v>
      </c>
      <c r="P97" s="302">
        <f>O97*3.3103</f>
        <v>105.92959999999999</v>
      </c>
      <c r="Q97" s="94">
        <v>64</v>
      </c>
      <c r="R97" s="302">
        <f>P97+Q97</f>
        <v>169.92959999999999</v>
      </c>
      <c r="S97" s="303">
        <f>R97/N97</f>
        <v>5.3102999999999998</v>
      </c>
    </row>
    <row r="98" spans="1:19" s="4" customFormat="1" ht="15.75">
      <c r="A98" s="1"/>
      <c r="B98" s="304" t="s">
        <v>317</v>
      </c>
      <c r="C98" s="305"/>
      <c r="D98" s="305"/>
      <c r="E98" s="305"/>
      <c r="F98" s="306" t="s">
        <v>318</v>
      </c>
      <c r="G98" s="307" t="s">
        <v>319</v>
      </c>
      <c r="H98" s="307" t="s">
        <v>320</v>
      </c>
      <c r="I98" s="307" t="s">
        <v>48</v>
      </c>
      <c r="J98" s="307" t="s">
        <v>50</v>
      </c>
      <c r="K98" s="307"/>
      <c r="L98" s="308" t="s">
        <v>321</v>
      </c>
      <c r="M98" s="4" t="s">
        <v>322</v>
      </c>
      <c r="N98" s="309"/>
    </row>
    <row r="99" spans="1:19" s="4" customFormat="1" ht="15">
      <c r="A99" s="1"/>
      <c r="B99" s="310" t="s">
        <v>323</v>
      </c>
      <c r="C99" s="311"/>
      <c r="D99" s="311"/>
      <c r="E99" s="311"/>
      <c r="F99" s="312">
        <f>F79</f>
        <v>2.75</v>
      </c>
      <c r="G99" s="312">
        <f>G79</f>
        <v>0.55043196544276463</v>
      </c>
      <c r="H99" s="312">
        <f>H79</f>
        <v>0.01</v>
      </c>
      <c r="I99" s="312">
        <f>I79</f>
        <v>0</v>
      </c>
      <c r="J99" s="312">
        <f>J79</f>
        <v>7.7181965442764575</v>
      </c>
      <c r="K99" s="312"/>
      <c r="L99" s="313">
        <f>SUM(F99:J99)</f>
        <v>11.028628509719223</v>
      </c>
      <c r="M99" s="314">
        <f>(M85-L99)/L99</f>
        <v>17.892802474612019</v>
      </c>
    </row>
    <row r="100" spans="1:19" s="4" customFormat="1" ht="15">
      <c r="A100" s="1"/>
      <c r="B100" s="315" t="s">
        <v>324</v>
      </c>
      <c r="C100" s="316"/>
      <c r="D100" s="316"/>
      <c r="E100" s="316"/>
      <c r="F100" s="317">
        <f>F99/$L$99</f>
        <v>0.2493510410271324</v>
      </c>
      <c r="G100" s="317">
        <f>G99/$L$99</f>
        <v>4.9909375853732341E-2</v>
      </c>
      <c r="H100" s="317">
        <f>H99/$L$99</f>
        <v>9.0673105828048149E-4</v>
      </c>
      <c r="I100" s="317">
        <f>I99/$L$99</f>
        <v>0</v>
      </c>
      <c r="J100" s="317">
        <f>J99/$L$99</f>
        <v>0.69983285206085477</v>
      </c>
      <c r="K100" s="317"/>
      <c r="L100" s="318">
        <f>L99/$L$99</f>
        <v>1</v>
      </c>
      <c r="M100" s="314"/>
    </row>
    <row r="101" spans="1:19" s="4" customFormat="1" ht="15">
      <c r="A101" s="1"/>
      <c r="B101" s="315" t="s">
        <v>325</v>
      </c>
      <c r="C101" s="316"/>
      <c r="D101" s="316"/>
      <c r="E101" s="316"/>
      <c r="F101" s="317">
        <f>F99/$L$81</f>
        <v>0.26244974394015758</v>
      </c>
      <c r="G101" s="317">
        <v>0</v>
      </c>
      <c r="H101" s="317">
        <f>H99/$L$81</f>
        <v>9.5436270523693661E-4</v>
      </c>
      <c r="I101" s="317">
        <f>I99/$L$81</f>
        <v>0</v>
      </c>
      <c r="J101" s="317">
        <f>J99/$L$81</f>
        <v>0.73659589335460551</v>
      </c>
      <c r="K101" s="317"/>
      <c r="L101" s="317">
        <f>L100</f>
        <v>1</v>
      </c>
      <c r="M101" s="314"/>
    </row>
    <row r="102" spans="1:19" s="4" customFormat="1" ht="30">
      <c r="A102" s="1"/>
      <c r="B102" s="310" t="s">
        <v>326</v>
      </c>
      <c r="C102" s="311"/>
      <c r="D102" s="311"/>
      <c r="E102" s="311"/>
      <c r="F102" s="312">
        <f>F99*'Cp calculationsHTmod'!H14</f>
        <v>37.144642857142856</v>
      </c>
      <c r="G102" s="312">
        <f>G99*'Cp calculationsHTmod'!H20</f>
        <v>11.565187185025199</v>
      </c>
      <c r="H102" s="312">
        <f>H99*'Cp calculationsHTmod'!H14</f>
        <v>0.13507142857142856</v>
      </c>
      <c r="I102" s="312">
        <f>I99*'Cp calculationsHTmod'!H8</f>
        <v>0</v>
      </c>
      <c r="J102" s="312">
        <f>J99*'Cp calculationsHTmod'!H11</f>
        <v>104.25078332304842</v>
      </c>
      <c r="K102" s="312"/>
      <c r="L102" s="313">
        <f>SUM(F102:J102)</f>
        <v>153.09568479378791</v>
      </c>
      <c r="M102" s="314"/>
    </row>
    <row r="103" spans="1:19" s="4" customFormat="1" ht="15">
      <c r="A103" s="1"/>
      <c r="B103" s="319" t="s">
        <v>327</v>
      </c>
      <c r="C103" s="320"/>
      <c r="D103" s="320"/>
      <c r="E103" s="320"/>
      <c r="F103" s="321">
        <f>F102/$L$102</f>
        <v>0.24262370887314555</v>
      </c>
      <c r="G103" s="321">
        <f>G102/$L$102</f>
        <v>7.5542215318497821E-2</v>
      </c>
      <c r="H103" s="321">
        <f>H102/$L$102</f>
        <v>8.8226803226598379E-4</v>
      </c>
      <c r="I103" s="321">
        <f>I102/$L$102</f>
        <v>0</v>
      </c>
      <c r="J103" s="321">
        <f>J102/$L$102</f>
        <v>0.68095180777609066</v>
      </c>
      <c r="K103" s="321"/>
      <c r="L103" s="322">
        <f>L102/$L$102</f>
        <v>1</v>
      </c>
      <c r="M103" s="314"/>
    </row>
    <row r="104" spans="1:19" s="4" customFormat="1" ht="15">
      <c r="A104" s="1"/>
      <c r="B104" s="319" t="s">
        <v>328</v>
      </c>
      <c r="C104" s="320"/>
      <c r="D104" s="320"/>
      <c r="E104" s="320"/>
      <c r="F104" s="321">
        <f>F103/(1-$G$103)</f>
        <v>0.26244974394015752</v>
      </c>
      <c r="G104" s="321">
        <v>0</v>
      </c>
      <c r="H104" s="321">
        <f>H103/(1-$G$103)</f>
        <v>9.543627052369365E-4</v>
      </c>
      <c r="I104" s="321">
        <f>I103/(1-$G$103)</f>
        <v>0</v>
      </c>
      <c r="J104" s="321">
        <f>J103/(1-$G$103)</f>
        <v>0.73659589335460551</v>
      </c>
      <c r="K104" s="321"/>
      <c r="L104" s="322">
        <f>SUM(H104:J104)+F104</f>
        <v>1</v>
      </c>
      <c r="M104" s="314"/>
    </row>
    <row r="105" spans="1:19" s="4" customFormat="1" ht="15">
      <c r="A105" s="1"/>
      <c r="B105" s="310" t="s">
        <v>329</v>
      </c>
      <c r="C105" s="323"/>
      <c r="D105" s="323"/>
      <c r="E105" s="323"/>
      <c r="F105" s="324"/>
      <c r="G105" s="324"/>
      <c r="H105" s="324"/>
      <c r="I105" s="324"/>
      <c r="J105" s="324"/>
      <c r="K105" s="324"/>
      <c r="L105" s="325">
        <f>L85</f>
        <v>13649.9</v>
      </c>
    </row>
    <row r="106" spans="1:19" s="4" customFormat="1" hidden="1">
      <c r="A106" s="1"/>
      <c r="B106" s="326" t="s">
        <v>330</v>
      </c>
      <c r="C106" s="323"/>
      <c r="D106" s="323"/>
      <c r="E106" s="323"/>
      <c r="F106" s="327">
        <f>F11</f>
        <v>3500</v>
      </c>
      <c r="G106" s="328">
        <f>F11</f>
        <v>3500</v>
      </c>
      <c r="H106" s="328"/>
      <c r="I106" s="328"/>
      <c r="J106" s="328"/>
      <c r="K106" s="328"/>
      <c r="L106" s="329"/>
    </row>
    <row r="107" spans="1:19" s="4" customFormat="1" hidden="1">
      <c r="A107" s="1"/>
      <c r="B107" s="326" t="s">
        <v>331</v>
      </c>
      <c r="C107" s="323"/>
      <c r="D107" s="323"/>
      <c r="E107" s="323"/>
      <c r="F107" s="327">
        <f>F99*F11</f>
        <v>9625</v>
      </c>
      <c r="G107" s="328">
        <f>G99*F11</f>
        <v>1926.5118790496763</v>
      </c>
      <c r="H107" s="328"/>
      <c r="I107" s="328"/>
      <c r="J107" s="328"/>
      <c r="K107" s="328"/>
      <c r="L107" s="329"/>
    </row>
    <row r="108" spans="1:19" s="4" customFormat="1" ht="30">
      <c r="A108" s="1"/>
      <c r="B108" s="310" t="s">
        <v>332</v>
      </c>
      <c r="C108" s="311"/>
      <c r="D108" s="311"/>
      <c r="E108" s="311"/>
      <c r="F108" s="330">
        <f>F99*'Cp calculationsHTmod'!G24*('Av.Ht.Solid - modified'!C88-60)</f>
        <v>-32.504489603024574</v>
      </c>
      <c r="G108" s="330">
        <f>'Av.Ht.Solid - modified'!G75*(J121+'Cp calculationsHTmod'!G94*('Av.Ht.Solid - modified'!C88-60))+G78*'Cp calculationsHTmod'!G94*('Av.Ht.Solid - modified'!C88-60)</f>
        <v>483.49392302392437</v>
      </c>
      <c r="H108" s="330">
        <f>H99*'Cp calculationsHTmod'!G24*('Av.Ht.Solid - modified'!C88-60)</f>
        <v>-0.11819814401099844</v>
      </c>
      <c r="I108" s="330">
        <f>I99*'Cp calculationsHTmod'!G9*('Av.Ht.Solid - modified'!C88-60)</f>
        <v>0</v>
      </c>
      <c r="J108" s="330">
        <f>J99*'Cp calculationsHTmod'!G12*('Av.Ht.Solid - modified'!C88-60)</f>
        <v>-115.49563084029703</v>
      </c>
      <c r="K108" s="330"/>
      <c r="L108" s="325">
        <f>SUM(F108:J108)</f>
        <v>335.37560443659174</v>
      </c>
    </row>
    <row r="109" spans="1:19" s="4" customFormat="1">
      <c r="A109" s="1"/>
      <c r="B109" s="326"/>
      <c r="C109" s="323"/>
      <c r="D109" s="323"/>
      <c r="E109" s="323"/>
      <c r="F109" s="327"/>
      <c r="G109" s="328"/>
      <c r="H109" s="328"/>
      <c r="I109" s="328"/>
      <c r="J109" s="328"/>
      <c r="K109" s="328"/>
      <c r="L109" s="329"/>
    </row>
    <row r="110" spans="1:19" s="4" customFormat="1">
      <c r="A110" s="1"/>
      <c r="B110" s="326" t="s">
        <v>333</v>
      </c>
      <c r="C110" s="323"/>
      <c r="D110" s="323"/>
      <c r="E110" s="323"/>
      <c r="F110" s="331">
        <f>F99*10^6/$L$105</f>
        <v>201.46667741155613</v>
      </c>
      <c r="G110" s="331">
        <f>G99*10^6/$L$105</f>
        <v>40.324981534133187</v>
      </c>
      <c r="H110" s="331"/>
      <c r="I110" s="331"/>
      <c r="J110" s="331"/>
      <c r="K110" s="331"/>
      <c r="L110" s="332"/>
      <c r="N110" s="67"/>
    </row>
    <row r="111" spans="1:19" s="4" customFormat="1" ht="25.5" thickBot="1">
      <c r="A111" s="1"/>
      <c r="B111" s="333" t="s">
        <v>423</v>
      </c>
      <c r="C111" s="334"/>
      <c r="D111" s="334"/>
      <c r="E111" s="334"/>
      <c r="F111" s="335">
        <f>F110*12/44</f>
        <v>54.945457475878946</v>
      </c>
      <c r="G111" s="336"/>
      <c r="H111" s="336"/>
      <c r="I111" s="336"/>
      <c r="J111" s="336"/>
      <c r="K111" s="336"/>
      <c r="L111" s="337"/>
      <c r="N111" s="338"/>
    </row>
    <row r="112" spans="1:19" s="4" customFormat="1">
      <c r="A112" s="1"/>
      <c r="B112" s="1"/>
      <c r="C112" s="1"/>
      <c r="D112" s="1"/>
      <c r="E112" s="1"/>
      <c r="F112" s="285"/>
      <c r="G112" s="233"/>
      <c r="H112" s="233"/>
      <c r="I112" s="233"/>
      <c r="J112" s="233"/>
      <c r="K112" s="233"/>
      <c r="L112" s="215"/>
      <c r="N112" s="67"/>
    </row>
    <row r="113" spans="1:20" s="4" customFormat="1">
      <c r="A113" s="1"/>
      <c r="B113" s="1"/>
      <c r="C113" s="1"/>
      <c r="D113" s="1"/>
      <c r="E113" s="1"/>
      <c r="F113" s="285"/>
      <c r="G113" s="233"/>
      <c r="H113" s="233"/>
      <c r="I113" s="233"/>
      <c r="J113" s="233"/>
      <c r="K113" s="233"/>
      <c r="L113" s="215"/>
      <c r="N113" s="67"/>
    </row>
    <row r="114" spans="1:20" s="4" customFormat="1">
      <c r="A114" s="1"/>
      <c r="B114" s="339" t="s">
        <v>334</v>
      </c>
      <c r="C114" s="340"/>
      <c r="D114" s="340"/>
      <c r="E114" s="341"/>
      <c r="F114" s="285"/>
      <c r="G114" s="233"/>
      <c r="H114" s="233"/>
      <c r="I114" s="233"/>
      <c r="J114" s="233"/>
      <c r="K114" s="233"/>
      <c r="L114" s="215"/>
      <c r="N114" s="67"/>
    </row>
    <row r="115" spans="1:20" s="4" customFormat="1">
      <c r="A115" s="1"/>
      <c r="B115" s="342" t="s">
        <v>335</v>
      </c>
      <c r="C115" s="5"/>
      <c r="D115" s="5"/>
      <c r="E115" s="343"/>
      <c r="F115" s="285"/>
      <c r="G115" s="233"/>
      <c r="H115" s="233"/>
      <c r="I115" s="233"/>
      <c r="J115" s="233"/>
      <c r="K115" s="233"/>
      <c r="L115" s="215"/>
      <c r="N115" s="67"/>
    </row>
    <row r="116" spans="1:20" s="4" customFormat="1" ht="18">
      <c r="A116" s="1"/>
      <c r="B116" s="342" t="s">
        <v>336</v>
      </c>
      <c r="C116" s="5"/>
      <c r="D116" s="344" t="s">
        <v>337</v>
      </c>
      <c r="E116" s="345">
        <f>K77*'Cp calculationsHTmod'!F68*('Av.Ht.Solid - modified'!C86-60)/0.075</f>
        <v>-144.25627246738483</v>
      </c>
      <c r="F116" s="285"/>
      <c r="G116" s="233"/>
      <c r="H116" s="2732" t="s">
        <v>339</v>
      </c>
      <c r="I116" s="2733"/>
      <c r="J116" s="2733"/>
      <c r="K116" s="2733"/>
      <c r="L116" s="2733"/>
      <c r="M116" s="2733"/>
      <c r="N116" s="67"/>
    </row>
    <row r="117" spans="1:20" s="4" customFormat="1" ht="51">
      <c r="A117" s="1"/>
      <c r="B117" s="342" t="s">
        <v>340</v>
      </c>
      <c r="C117" s="5"/>
      <c r="D117" s="344" t="s">
        <v>337</v>
      </c>
      <c r="E117" s="345">
        <f>0.24*(1-C73)*(C87-60)</f>
        <v>2.4</v>
      </c>
      <c r="F117" s="285"/>
      <c r="G117" s="233"/>
      <c r="H117" s="346" t="s">
        <v>341</v>
      </c>
      <c r="I117" s="347"/>
      <c r="J117" s="347" t="s">
        <v>342</v>
      </c>
      <c r="K117" s="347"/>
      <c r="L117" s="348">
        <v>1096.7</v>
      </c>
      <c r="M117" s="349">
        <v>1.2999999999999999E-2</v>
      </c>
      <c r="N117" s="350" t="s">
        <v>343</v>
      </c>
      <c r="O117" s="349"/>
      <c r="P117" s="349"/>
      <c r="Q117" s="349"/>
      <c r="R117" s="349"/>
      <c r="S117" s="349"/>
    </row>
    <row r="118" spans="1:20" s="4" customFormat="1">
      <c r="A118" s="1"/>
      <c r="B118" s="342" t="s">
        <v>344</v>
      </c>
      <c r="C118" s="5"/>
      <c r="D118" s="344" t="s">
        <v>337</v>
      </c>
      <c r="E118" s="345">
        <f>C73*(C87-60)</f>
        <v>0</v>
      </c>
      <c r="F118" s="285"/>
      <c r="G118" s="233"/>
      <c r="H118" s="233"/>
      <c r="I118" s="233"/>
      <c r="J118" s="233"/>
      <c r="K118" s="233"/>
      <c r="L118" s="215"/>
    </row>
    <row r="119" spans="1:20" s="4" customFormat="1" ht="25.5">
      <c r="A119" s="1"/>
      <c r="B119" s="342" t="s">
        <v>345</v>
      </c>
      <c r="C119" s="5"/>
      <c r="D119" s="344" t="s">
        <v>337</v>
      </c>
      <c r="E119" s="351">
        <f>L105</f>
        <v>13649.9</v>
      </c>
      <c r="F119" s="285"/>
      <c r="G119" s="233"/>
      <c r="H119" s="352" t="s">
        <v>346</v>
      </c>
      <c r="I119" s="353"/>
      <c r="J119" s="354">
        <f>G103</f>
        <v>7.5542215318497821E-2</v>
      </c>
      <c r="K119" s="354"/>
      <c r="L119" s="355" t="s">
        <v>347</v>
      </c>
      <c r="M119" s="356"/>
      <c r="N119" s="356" t="s">
        <v>348</v>
      </c>
      <c r="O119" s="356"/>
      <c r="P119" s="356"/>
      <c r="Q119" s="356"/>
      <c r="R119" s="356"/>
      <c r="S119" s="357"/>
    </row>
    <row r="120" spans="1:20" s="4" customFormat="1">
      <c r="A120" s="1"/>
      <c r="B120" s="358" t="s">
        <v>349</v>
      </c>
      <c r="C120" s="359"/>
      <c r="D120" s="360" t="s">
        <v>337</v>
      </c>
      <c r="E120" s="361">
        <f>SUM(E116:E119)</f>
        <v>13508.043727532615</v>
      </c>
      <c r="F120" s="285"/>
      <c r="G120" s="233"/>
      <c r="H120" s="362"/>
      <c r="I120" s="363"/>
      <c r="J120" s="364">
        <f>J119*29.926</f>
        <v>2.2606763356213655</v>
      </c>
      <c r="K120" s="364"/>
      <c r="L120" s="365" t="s">
        <v>350</v>
      </c>
      <c r="M120" s="366"/>
      <c r="N120" s="366" t="s">
        <v>351</v>
      </c>
      <c r="O120" s="366"/>
      <c r="P120" s="366"/>
      <c r="Q120" s="366"/>
      <c r="R120" s="366"/>
      <c r="S120" s="367"/>
    </row>
    <row r="121" spans="1:20" s="4" customFormat="1" ht="38.25">
      <c r="A121" s="1"/>
      <c r="B121" s="6" t="s">
        <v>352</v>
      </c>
      <c r="C121" s="1"/>
      <c r="D121" s="344" t="s">
        <v>337</v>
      </c>
      <c r="E121" s="19">
        <f>L108</f>
        <v>335.37560443659174</v>
      </c>
      <c r="F121" s="285"/>
      <c r="G121" s="233"/>
      <c r="H121" s="346" t="s">
        <v>353</v>
      </c>
      <c r="I121" s="346"/>
      <c r="J121" s="346">
        <f>L117*J120^M117</f>
        <v>1108.3908770123517</v>
      </c>
      <c r="K121" s="346"/>
      <c r="L121" s="348" t="s">
        <v>354</v>
      </c>
      <c r="M121" s="349"/>
      <c r="N121" s="349" t="s">
        <v>355</v>
      </c>
      <c r="O121" s="349"/>
      <c r="P121" s="349"/>
      <c r="Q121" s="349"/>
      <c r="R121" s="349"/>
      <c r="S121" s="349"/>
    </row>
    <row r="122" spans="1:20" s="4" customFormat="1">
      <c r="A122" s="1"/>
      <c r="B122" s="6" t="s">
        <v>356</v>
      </c>
      <c r="C122" s="1"/>
      <c r="D122" s="344" t="s">
        <v>357</v>
      </c>
      <c r="E122" s="19">
        <v>14093</v>
      </c>
      <c r="F122" s="285"/>
      <c r="G122" s="233"/>
      <c r="H122" s="346"/>
      <c r="I122" s="346"/>
      <c r="J122" s="346"/>
      <c r="K122" s="346"/>
      <c r="L122" s="348"/>
      <c r="M122" s="349"/>
      <c r="N122" s="349"/>
      <c r="O122" s="349"/>
      <c r="P122" s="349"/>
      <c r="Q122" s="349"/>
      <c r="R122" s="349"/>
      <c r="S122" s="349"/>
    </row>
    <row r="123" spans="1:20" s="4" customFormat="1">
      <c r="A123" s="1"/>
      <c r="B123" s="6" t="s">
        <v>358</v>
      </c>
      <c r="C123" s="1"/>
      <c r="D123" s="344" t="s">
        <v>359</v>
      </c>
      <c r="E123" s="19">
        <f>'Data Input &amp; RESULTS '!C9*0.25*(1.8*'Data Input &amp; RESULTS '!D22+32-60)</f>
        <v>-0.25</v>
      </c>
      <c r="F123" s="285"/>
      <c r="G123" s="233"/>
      <c r="H123" s="346"/>
      <c r="I123" s="346"/>
      <c r="J123" s="346"/>
      <c r="K123" s="346"/>
      <c r="L123" s="348"/>
      <c r="M123" s="349"/>
      <c r="N123" s="349"/>
      <c r="O123" s="349"/>
      <c r="P123" s="349"/>
      <c r="Q123" s="349"/>
      <c r="R123" s="349"/>
      <c r="S123" s="349"/>
    </row>
    <row r="124" spans="1:20" s="4" customFormat="1">
      <c r="A124" s="1"/>
      <c r="B124" s="6" t="s">
        <v>360</v>
      </c>
      <c r="C124" s="1"/>
      <c r="D124" s="344" t="s">
        <v>337</v>
      </c>
      <c r="E124" s="19">
        <f>'Data Input &amp; RESULTS '!D23*'Data Input &amp; RESULTS '!C9*'Av.Ht.Solid - modified'!E122</f>
        <v>0</v>
      </c>
      <c r="F124" s="285"/>
      <c r="G124" s="233"/>
      <c r="H124" s="346"/>
      <c r="I124" s="346"/>
      <c r="J124" s="346"/>
      <c r="K124" s="346"/>
      <c r="L124" s="348"/>
      <c r="M124" s="349"/>
      <c r="N124" s="349"/>
      <c r="O124" s="349"/>
      <c r="P124" s="349"/>
      <c r="Q124" s="349"/>
      <c r="R124" s="349"/>
      <c r="S124" s="349"/>
    </row>
    <row r="125" spans="1:20" s="4" customFormat="1">
      <c r="A125" s="1"/>
      <c r="B125" s="6"/>
      <c r="C125" s="1"/>
      <c r="D125" s="344"/>
      <c r="E125" s="19"/>
      <c r="F125" s="285"/>
      <c r="G125" s="233"/>
      <c r="H125" s="346"/>
      <c r="I125" s="346"/>
      <c r="J125" s="346"/>
      <c r="K125" s="346"/>
      <c r="L125" s="348"/>
      <c r="M125" s="349"/>
      <c r="N125" s="349"/>
      <c r="O125" s="349"/>
      <c r="P125" s="349"/>
      <c r="Q125" s="349"/>
      <c r="R125" s="349"/>
      <c r="S125" s="349"/>
    </row>
    <row r="126" spans="1:20" s="4" customFormat="1" ht="25.5">
      <c r="A126" s="1"/>
      <c r="B126" s="368" t="s">
        <v>361</v>
      </c>
      <c r="C126" s="368"/>
      <c r="D126" s="368" t="s">
        <v>1116</v>
      </c>
      <c r="E126" s="369">
        <f>(E120-E121-E124-E123)/E119</f>
        <v>0.96505601675441022</v>
      </c>
      <c r="F126" s="285"/>
      <c r="G126" s="233"/>
      <c r="H126" s="370" t="s">
        <v>362</v>
      </c>
      <c r="I126" s="370"/>
      <c r="J126" s="370">
        <f>J127*LN(J120)+J128</f>
        <v>110.42524613055899</v>
      </c>
      <c r="K126" s="370"/>
      <c r="L126" s="371" t="s">
        <v>1175</v>
      </c>
      <c r="M126" s="372"/>
      <c r="N126" s="372" t="s">
        <v>363</v>
      </c>
      <c r="O126" s="372"/>
      <c r="P126" s="372"/>
      <c r="Q126" s="372"/>
      <c r="R126" s="372"/>
      <c r="S126" s="372"/>
      <c r="T126" s="372"/>
    </row>
    <row r="127" spans="1:20" s="4" customFormat="1" ht="51">
      <c r="A127" s="1"/>
      <c r="B127" s="6"/>
      <c r="C127" s="1"/>
      <c r="D127" s="6"/>
      <c r="E127" s="1"/>
      <c r="F127" s="285"/>
      <c r="G127" s="233"/>
      <c r="H127" s="370"/>
      <c r="I127" s="370" t="s">
        <v>364</v>
      </c>
      <c r="J127" s="373">
        <v>36.009</v>
      </c>
      <c r="K127" s="373"/>
      <c r="L127" s="371"/>
      <c r="M127" s="372"/>
      <c r="N127" s="372"/>
      <c r="O127" s="372"/>
      <c r="P127" s="372"/>
      <c r="Q127" s="372"/>
      <c r="R127" s="372"/>
      <c r="S127" s="372"/>
      <c r="T127" s="372"/>
    </row>
    <row r="128" spans="1:20" s="4" customFormat="1" ht="14.25" customHeight="1">
      <c r="A128" s="1"/>
      <c r="B128" s="6"/>
      <c r="C128" s="1"/>
      <c r="D128" s="374"/>
      <c r="E128" s="375"/>
      <c r="F128" s="285"/>
      <c r="G128" s="233"/>
      <c r="H128" s="370"/>
      <c r="I128" s="370"/>
      <c r="J128" s="373">
        <v>81.054000000000002</v>
      </c>
      <c r="K128" s="373"/>
      <c r="L128" s="371"/>
      <c r="M128" s="372"/>
      <c r="N128" s="372"/>
      <c r="O128" s="372"/>
      <c r="P128" s="372"/>
      <c r="Q128" s="372"/>
      <c r="R128" s="372"/>
      <c r="S128" s="372"/>
      <c r="T128" s="372"/>
    </row>
    <row r="129" spans="1:20" s="4" customFormat="1">
      <c r="A129" s="1"/>
      <c r="B129" s="6"/>
      <c r="C129" s="1"/>
      <c r="D129" s="374"/>
      <c r="E129" s="375"/>
      <c r="F129" s="285"/>
      <c r="G129" s="233"/>
      <c r="H129" s="370"/>
      <c r="I129" s="370"/>
      <c r="J129" s="373"/>
      <c r="K129" s="373"/>
      <c r="L129" s="371"/>
      <c r="M129" s="372"/>
      <c r="N129" s="372"/>
      <c r="O129" s="372"/>
      <c r="P129" s="372"/>
      <c r="Q129" s="372"/>
      <c r="R129" s="372"/>
      <c r="S129" s="372"/>
      <c r="T129" s="372"/>
    </row>
    <row r="130" spans="1:20" s="4" customFormat="1">
      <c r="A130" s="1"/>
      <c r="B130" s="6"/>
      <c r="C130" s="1"/>
      <c r="D130" s="374"/>
      <c r="E130" s="375"/>
      <c r="F130" s="285"/>
      <c r="G130" s="233"/>
      <c r="H130" s="370"/>
      <c r="I130" s="370"/>
      <c r="J130" s="373"/>
      <c r="K130" s="373"/>
      <c r="L130" s="371"/>
      <c r="M130" s="372"/>
      <c r="N130" s="372"/>
      <c r="O130" s="372"/>
      <c r="P130" s="372"/>
      <c r="Q130" s="372"/>
      <c r="R130" s="372"/>
      <c r="S130" s="372"/>
      <c r="T130" s="372"/>
    </row>
    <row r="131" spans="1:20" s="4" customFormat="1">
      <c r="A131" s="1"/>
      <c r="B131" s="6"/>
      <c r="C131" s="1"/>
      <c r="D131" s="374"/>
      <c r="E131" s="375"/>
      <c r="F131" s="285"/>
      <c r="G131" s="233"/>
      <c r="H131" s="370"/>
      <c r="I131" s="370"/>
      <c r="J131" s="373"/>
      <c r="K131" s="373"/>
      <c r="L131" s="371"/>
      <c r="M131" s="372"/>
      <c r="N131" s="372"/>
      <c r="O131" s="372"/>
      <c r="P131" s="372"/>
      <c r="Q131" s="372"/>
      <c r="R131" s="372"/>
      <c r="S131" s="372"/>
      <c r="T131" s="372"/>
    </row>
    <row r="132" spans="1:20" s="4" customFormat="1">
      <c r="A132" s="1"/>
      <c r="B132" s="6"/>
      <c r="C132" s="1"/>
      <c r="D132" s="374"/>
      <c r="E132" s="375"/>
      <c r="F132" s="285"/>
      <c r="G132" s="233"/>
      <c r="H132" s="370"/>
      <c r="I132" s="370"/>
      <c r="J132" s="373"/>
      <c r="K132" s="373"/>
      <c r="L132" s="371"/>
      <c r="M132" s="372"/>
      <c r="N132" s="372"/>
      <c r="O132" s="372"/>
      <c r="P132" s="372"/>
      <c r="Q132" s="372"/>
      <c r="R132" s="372"/>
      <c r="S132" s="372"/>
      <c r="T132" s="372"/>
    </row>
    <row r="133" spans="1:20" s="4" customFormat="1">
      <c r="A133" s="1"/>
      <c r="B133" s="6"/>
      <c r="C133" s="1"/>
      <c r="D133" s="374"/>
      <c r="E133" s="375"/>
      <c r="F133" s="285"/>
      <c r="G133" s="233"/>
      <c r="H133" s="370"/>
      <c r="I133" s="370"/>
      <c r="J133" s="373"/>
      <c r="K133" s="373"/>
      <c r="L133" s="371"/>
      <c r="M133" s="372"/>
      <c r="N133" s="372"/>
      <c r="O133" s="372"/>
      <c r="P133" s="372"/>
      <c r="Q133" s="372"/>
      <c r="R133" s="372"/>
      <c r="S133" s="372"/>
      <c r="T133" s="372"/>
    </row>
    <row r="134" spans="1:20" s="4" customFormat="1" ht="14.25" customHeight="1">
      <c r="A134" s="1"/>
      <c r="B134" s="6"/>
      <c r="C134" s="1"/>
      <c r="D134" s="374"/>
      <c r="E134" s="375"/>
      <c r="F134" s="285"/>
      <c r="G134" s="233"/>
      <c r="H134" s="233"/>
      <c r="I134" s="233"/>
      <c r="J134" s="233"/>
      <c r="K134" s="233"/>
      <c r="L134" s="215"/>
    </row>
    <row r="135" spans="1:20" s="4" customFormat="1">
      <c r="A135" s="1"/>
      <c r="B135" s="6"/>
      <c r="C135" s="1"/>
      <c r="D135" s="374"/>
      <c r="E135" s="375"/>
      <c r="F135" s="285"/>
      <c r="G135" s="233"/>
      <c r="H135" s="233"/>
      <c r="I135" s="233"/>
      <c r="J135" s="233"/>
      <c r="K135" s="233"/>
      <c r="L135" s="215"/>
    </row>
    <row r="136" spans="1:20" s="4" customFormat="1" ht="47.25" customHeight="1">
      <c r="A136" s="1"/>
      <c r="B136" s="6"/>
      <c r="C136" s="1"/>
      <c r="D136" s="374"/>
      <c r="E136" s="375"/>
      <c r="F136" s="285"/>
      <c r="G136" s="233"/>
      <c r="H136" s="2726" t="s">
        <v>365</v>
      </c>
      <c r="I136" s="2727"/>
      <c r="J136" s="2727"/>
      <c r="K136" s="2727"/>
      <c r="L136" s="2727"/>
      <c r="M136" s="2727"/>
      <c r="N136" s="2727"/>
      <c r="O136" s="2727"/>
      <c r="P136" s="2727"/>
      <c r="Q136" s="2727"/>
      <c r="R136" s="2727"/>
      <c r="S136" s="2728"/>
    </row>
    <row r="137" spans="1:20" s="4" customFormat="1" ht="51">
      <c r="A137" s="1"/>
      <c r="B137" s="6"/>
      <c r="C137" s="1"/>
      <c r="D137" s="374"/>
      <c r="E137" s="375"/>
      <c r="F137" s="285"/>
      <c r="G137" s="233"/>
      <c r="H137" s="233">
        <f>G99*(J121+'Cp calculationsHTcurrent'!G94*('Av.Ht.Solid - modified'!C88-60))</f>
        <v>594.81179728110442</v>
      </c>
      <c r="I137" s="233" t="s">
        <v>366</v>
      </c>
      <c r="J137" s="233"/>
      <c r="K137" s="233"/>
      <c r="L137" s="215"/>
    </row>
    <row r="138" spans="1:20" s="4" customFormat="1">
      <c r="A138" s="1"/>
      <c r="B138" s="6"/>
      <c r="C138" s="1"/>
      <c r="D138" s="374"/>
      <c r="E138" s="375"/>
      <c r="F138" s="285"/>
      <c r="G138" s="233"/>
      <c r="H138" s="233"/>
      <c r="I138" s="233"/>
      <c r="J138" s="233"/>
      <c r="K138" s="233"/>
      <c r="L138" s="215"/>
    </row>
    <row r="139" spans="1:20" s="4" customFormat="1">
      <c r="A139" s="1"/>
      <c r="B139" s="6"/>
      <c r="C139" s="1"/>
      <c r="D139" s="374"/>
      <c r="E139" s="375"/>
      <c r="F139" s="285"/>
      <c r="G139" s="233"/>
      <c r="H139" s="233"/>
      <c r="I139" s="233"/>
      <c r="J139" s="233"/>
      <c r="K139" s="233"/>
      <c r="L139" s="215"/>
    </row>
    <row r="140" spans="1:20" s="4" customFormat="1">
      <c r="A140" s="1"/>
      <c r="B140" s="6"/>
      <c r="C140" s="1"/>
      <c r="D140" s="6"/>
      <c r="E140" s="1"/>
      <c r="F140" s="285"/>
      <c r="G140" s="233"/>
      <c r="H140" s="233"/>
      <c r="I140" s="233"/>
      <c r="J140" s="233"/>
      <c r="K140" s="233"/>
      <c r="L140" s="215"/>
    </row>
    <row r="141" spans="1:20" s="4" customFormat="1">
      <c r="A141" s="1"/>
      <c r="B141" s="1"/>
      <c r="C141" s="1"/>
      <c r="D141" s="1"/>
      <c r="E141" s="1"/>
      <c r="F141" s="285"/>
      <c r="G141" s="233"/>
      <c r="H141" s="233"/>
      <c r="I141" s="233"/>
      <c r="J141" s="233"/>
      <c r="K141" s="233"/>
      <c r="L141" s="376"/>
    </row>
    <row r="142" spans="1:20" s="4" customFormat="1" ht="38.25">
      <c r="A142" s="1"/>
      <c r="B142" s="377" t="s">
        <v>367</v>
      </c>
      <c r="C142" s="377" t="s">
        <v>368</v>
      </c>
      <c r="D142" s="378"/>
      <c r="E142" s="378"/>
      <c r="F142" t="s">
        <v>369</v>
      </c>
      <c r="G142"/>
      <c r="H142"/>
      <c r="I142"/>
      <c r="J142"/>
      <c r="K142"/>
      <c r="L142" s="379"/>
      <c r="M142" s="379"/>
    </row>
    <row r="143" spans="1:20" s="4" customFormat="1" ht="18.75">
      <c r="A143" s="1"/>
      <c r="B143" s="380" t="s">
        <v>424</v>
      </c>
      <c r="C143" s="381">
        <v>1</v>
      </c>
      <c r="D143" s="382"/>
      <c r="E143" s="382"/>
      <c r="F143" s="4">
        <v>1</v>
      </c>
      <c r="G143"/>
      <c r="H143"/>
      <c r="I143"/>
      <c r="J143"/>
      <c r="K143"/>
      <c r="L143"/>
    </row>
    <row r="144" spans="1:20" s="4" customFormat="1" ht="18.75">
      <c r="A144" s="1"/>
      <c r="B144" s="380" t="s">
        <v>425</v>
      </c>
      <c r="C144" s="381">
        <v>21</v>
      </c>
      <c r="D144" s="382"/>
      <c r="E144" s="382"/>
      <c r="F144" s="4">
        <v>23</v>
      </c>
      <c r="G144"/>
      <c r="H144"/>
      <c r="I144"/>
      <c r="J144"/>
      <c r="K144"/>
      <c r="L144"/>
    </row>
    <row r="145" spans="1:12" s="4" customFormat="1" ht="18.75">
      <c r="A145" s="1"/>
      <c r="B145" s="380" t="s">
        <v>426</v>
      </c>
      <c r="C145" s="381">
        <v>310</v>
      </c>
      <c r="D145" s="382"/>
      <c r="E145" s="382"/>
      <c r="F145" s="4">
        <v>296</v>
      </c>
      <c r="G145"/>
      <c r="H145"/>
      <c r="I145"/>
      <c r="J145"/>
      <c r="K145"/>
      <c r="L145"/>
    </row>
    <row r="146" spans="1:12" s="4" customFormat="1" ht="31.5">
      <c r="A146" s="1"/>
      <c r="B146" s="380" t="s">
        <v>370</v>
      </c>
      <c r="C146" s="381">
        <v>1300</v>
      </c>
      <c r="D146" s="382"/>
      <c r="E146" s="382"/>
      <c r="F146" s="4">
        <v>1300</v>
      </c>
      <c r="G146"/>
      <c r="H146"/>
      <c r="I146"/>
      <c r="J146"/>
      <c r="K146"/>
      <c r="L146"/>
    </row>
    <row r="147" spans="1:12" s="4" customFormat="1" ht="15.75">
      <c r="A147" s="1"/>
      <c r="B147" s="383"/>
      <c r="C147"/>
      <c r="D147"/>
      <c r="E147"/>
      <c r="F147"/>
      <c r="G147"/>
      <c r="H147"/>
      <c r="I147"/>
      <c r="J147"/>
      <c r="K147"/>
      <c r="L147"/>
    </row>
    <row r="148" spans="1:12" s="4" customFormat="1">
      <c r="A148" s="1"/>
      <c r="B148" s="1"/>
      <c r="C148" s="1"/>
      <c r="D148" s="1"/>
      <c r="E148" s="1"/>
      <c r="F148" s="233"/>
      <c r="G148" s="233"/>
      <c r="H148" s="233"/>
      <c r="I148" s="233"/>
      <c r="J148" s="233"/>
      <c r="K148" s="233"/>
      <c r="L148" s="215"/>
    </row>
    <row r="149" spans="1:12" s="4" customFormat="1">
      <c r="A149" s="1"/>
      <c r="B149" s="1"/>
      <c r="C149" s="1"/>
      <c r="D149" s="1"/>
      <c r="E149" s="1"/>
      <c r="F149" s="233"/>
      <c r="G149" s="233"/>
      <c r="H149" s="233"/>
      <c r="I149" s="233"/>
      <c r="J149" s="233"/>
      <c r="K149" s="233"/>
      <c r="L149" s="215"/>
    </row>
    <row r="150" spans="1:12">
      <c r="B150" s="96" t="s">
        <v>371</v>
      </c>
    </row>
    <row r="151" spans="1:12" ht="91.9" customHeight="1">
      <c r="B151" s="2730" t="s">
        <v>372</v>
      </c>
      <c r="C151" s="2731"/>
      <c r="D151" s="2731"/>
      <c r="E151" s="2731"/>
      <c r="F151" s="2731"/>
      <c r="G151" s="2731"/>
      <c r="H151" s="2731"/>
      <c r="I151" s="2731"/>
      <c r="J151" s="2731"/>
      <c r="K151" s="2731"/>
      <c r="L151" s="2731"/>
    </row>
    <row r="153" spans="1:12" ht="18">
      <c r="B153" s="384" t="s">
        <v>373</v>
      </c>
      <c r="C153" s="385"/>
      <c r="D153" s="385"/>
      <c r="E153" s="385"/>
      <c r="F153" s="386"/>
      <c r="G153" s="386"/>
    </row>
    <row r="154" spans="1:12" ht="14.25">
      <c r="B154" s="385" t="s">
        <v>374</v>
      </c>
      <c r="C154" s="2721" t="str">
        <f>B156</f>
        <v>0.97C+ 0.7(VM - 0.1A) - M(0.6-0.01M)</v>
      </c>
      <c r="D154" s="2721"/>
      <c r="E154" s="2721"/>
      <c r="F154" s="2721"/>
      <c r="G154" s="2721"/>
    </row>
    <row r="155" spans="1:12" ht="14.25">
      <c r="B155" s="385" t="s">
        <v>375</v>
      </c>
      <c r="C155" s="2721"/>
      <c r="D155" s="2721"/>
      <c r="E155" s="2721"/>
      <c r="F155" s="2721"/>
      <c r="G155" s="2721"/>
    </row>
    <row r="156" spans="1:12" ht="14.25">
      <c r="B156" s="385" t="s">
        <v>376</v>
      </c>
      <c r="C156" s="2721"/>
      <c r="D156" s="2721"/>
      <c r="E156" s="2721"/>
      <c r="F156" s="2721"/>
      <c r="G156" s="2721"/>
    </row>
    <row r="157" spans="1:12" ht="14.25">
      <c r="B157" s="385" t="s">
        <v>377</v>
      </c>
      <c r="C157" s="2721" t="str">
        <f>B159</f>
        <v>0.036C + 0.086 (VM -0.1xA) - 0.0035M2 (1-0.02M)</v>
      </c>
      <c r="D157" s="2721"/>
      <c r="E157" s="2721"/>
      <c r="F157" s="2721"/>
      <c r="G157" s="2721"/>
    </row>
    <row r="158" spans="1:12" ht="14.25">
      <c r="B158" s="385" t="s">
        <v>375</v>
      </c>
      <c r="C158" s="2721"/>
      <c r="D158" s="2721"/>
      <c r="E158" s="2721"/>
      <c r="F158" s="2721"/>
      <c r="G158" s="2721"/>
    </row>
    <row r="159" spans="1:12" ht="28.5">
      <c r="B159" s="385" t="s">
        <v>378</v>
      </c>
      <c r="C159" s="2721"/>
      <c r="D159" s="2721"/>
      <c r="E159" s="2721"/>
      <c r="F159" s="2721"/>
      <c r="G159" s="2721"/>
    </row>
    <row r="160" spans="1:12" ht="14.25">
      <c r="B160" s="385" t="s">
        <v>379</v>
      </c>
      <c r="C160" s="2721" t="str">
        <f>B162</f>
        <v>2.10 -0.020 VM</v>
      </c>
      <c r="D160" s="2721"/>
      <c r="E160" s="2721"/>
      <c r="F160" s="2721"/>
      <c r="G160" s="2721"/>
    </row>
    <row r="161" spans="2:7" ht="14.25">
      <c r="B161" s="385" t="s">
        <v>375</v>
      </c>
      <c r="C161" s="2721"/>
      <c r="D161" s="2721"/>
      <c r="E161" s="2721"/>
      <c r="F161" s="2721"/>
      <c r="G161" s="2721"/>
    </row>
    <row r="162" spans="2:7" ht="14.25">
      <c r="B162" s="385" t="s">
        <v>380</v>
      </c>
      <c r="C162" s="2721"/>
      <c r="D162" s="2721"/>
      <c r="E162" s="2721"/>
      <c r="F162" s="2721"/>
      <c r="G162" s="2721"/>
    </row>
    <row r="163" spans="2:7" ht="14.25">
      <c r="B163" s="385" t="s">
        <v>381</v>
      </c>
      <c r="C163" s="2721"/>
      <c r="D163" s="2721"/>
      <c r="E163" s="2721"/>
      <c r="F163" s="2721"/>
      <c r="G163" s="2721"/>
    </row>
    <row r="164" spans="2:7" ht="14.25">
      <c r="B164" s="385" t="s">
        <v>939</v>
      </c>
      <c r="C164" s="2721" t="str">
        <f>B166</f>
        <v>% of fixed carbon</v>
      </c>
      <c r="D164" s="2721"/>
      <c r="E164" s="2721"/>
      <c r="F164" s="2721"/>
      <c r="G164" s="2721"/>
    </row>
    <row r="165" spans="2:7" ht="14.25" hidden="1">
      <c r="B165" s="385" t="s">
        <v>375</v>
      </c>
      <c r="C165" s="2721"/>
      <c r="D165" s="2721"/>
      <c r="E165" s="2721"/>
      <c r="F165" s="2721"/>
      <c r="G165" s="2721"/>
    </row>
    <row r="166" spans="2:7" ht="14.25" hidden="1">
      <c r="B166" s="385" t="s">
        <v>382</v>
      </c>
      <c r="C166" s="2721"/>
      <c r="D166" s="2721"/>
      <c r="E166" s="2721"/>
      <c r="F166" s="2721"/>
      <c r="G166" s="2721"/>
    </row>
    <row r="167" spans="2:7" ht="14.25">
      <c r="B167" s="385" t="s">
        <v>1181</v>
      </c>
      <c r="C167" s="2721" t="str">
        <f>B169</f>
        <v>% of ash</v>
      </c>
      <c r="D167" s="2721"/>
      <c r="E167" s="2721"/>
      <c r="F167" s="2721"/>
      <c r="G167" s="2721"/>
    </row>
    <row r="168" spans="2:7" ht="14.25" hidden="1">
      <c r="B168" s="385" t="s">
        <v>375</v>
      </c>
      <c r="C168" s="2721"/>
      <c r="D168" s="2721"/>
      <c r="E168" s="2721"/>
      <c r="F168" s="2721"/>
      <c r="G168" s="2721"/>
    </row>
    <row r="169" spans="2:7" ht="14.25" hidden="1">
      <c r="B169" s="385" t="s">
        <v>383</v>
      </c>
      <c r="C169" s="2721"/>
      <c r="D169" s="2721"/>
      <c r="E169" s="2721"/>
      <c r="F169" s="2721"/>
      <c r="G169" s="2721"/>
    </row>
    <row r="170" spans="2:7" ht="14.25">
      <c r="B170" s="385" t="s">
        <v>384</v>
      </c>
      <c r="C170" s="2721" t="str">
        <f>B172</f>
        <v>% of volatile matter</v>
      </c>
      <c r="D170" s="2721"/>
      <c r="E170" s="2721"/>
      <c r="F170" s="2721"/>
      <c r="G170" s="2721"/>
    </row>
    <row r="171" spans="2:7" ht="14.25" hidden="1">
      <c r="B171" s="385" t="s">
        <v>375</v>
      </c>
      <c r="C171" s="2721"/>
      <c r="D171" s="2721"/>
      <c r="E171" s="2721"/>
      <c r="F171" s="2721"/>
      <c r="G171" s="2721"/>
    </row>
    <row r="172" spans="2:7" ht="14.25" hidden="1">
      <c r="B172" s="385" t="s">
        <v>385</v>
      </c>
      <c r="C172" s="2721"/>
      <c r="D172" s="2721"/>
      <c r="E172" s="2721"/>
      <c r="F172" s="2721"/>
      <c r="G172" s="2721"/>
    </row>
    <row r="173" spans="2:7" ht="14.25">
      <c r="B173" s="385" t="s">
        <v>386</v>
      </c>
      <c r="C173" s="2721" t="str">
        <f>B175</f>
        <v>% of moisture</v>
      </c>
      <c r="D173" s="2721"/>
      <c r="E173" s="2721"/>
      <c r="F173" s="2721"/>
      <c r="G173" s="2721"/>
    </row>
    <row r="174" spans="2:7" hidden="1">
      <c r="B174" s="96" t="s">
        <v>375</v>
      </c>
      <c r="C174" s="2725"/>
      <c r="D174" s="2725"/>
      <c r="E174" s="2725"/>
      <c r="F174" s="2725"/>
      <c r="G174" s="2725"/>
    </row>
    <row r="175" spans="2:7" hidden="1">
      <c r="B175" s="96" t="s">
        <v>387</v>
      </c>
      <c r="C175" s="2725"/>
      <c r="D175" s="2725"/>
      <c r="E175" s="2725"/>
      <c r="F175" s="2725"/>
      <c r="G175" s="2725"/>
    </row>
    <row r="176" spans="2:7">
      <c r="B176" s="2722" t="s">
        <v>373</v>
      </c>
      <c r="C176" s="2723"/>
      <c r="D176" s="2723"/>
      <c r="E176" s="2724"/>
    </row>
    <row r="177" spans="2:5" ht="38.25">
      <c r="B177" s="387" t="s">
        <v>374</v>
      </c>
      <c r="C177" s="388" t="s">
        <v>388</v>
      </c>
      <c r="D177" s="388"/>
      <c r="E177" s="389"/>
    </row>
    <row r="178" spans="2:5">
      <c r="B178" s="387" t="s">
        <v>375</v>
      </c>
      <c r="C178" s="388"/>
      <c r="D178" s="388"/>
      <c r="E178" s="389"/>
    </row>
    <row r="179" spans="2:5">
      <c r="B179" s="387" t="s">
        <v>376</v>
      </c>
      <c r="C179" s="388"/>
      <c r="D179" s="388"/>
      <c r="E179" s="389"/>
    </row>
    <row r="180" spans="2:5">
      <c r="B180" s="387" t="s">
        <v>377</v>
      </c>
      <c r="C180" s="388"/>
      <c r="D180" s="388"/>
      <c r="E180" s="389"/>
    </row>
    <row r="181" spans="2:5">
      <c r="B181" s="387" t="s">
        <v>375</v>
      </c>
      <c r="C181" s="388"/>
      <c r="D181" s="388"/>
      <c r="E181" s="389"/>
    </row>
    <row r="182" spans="2:5" ht="25.5">
      <c r="B182" s="387" t="s">
        <v>378</v>
      </c>
      <c r="C182" s="388"/>
      <c r="D182" s="388"/>
      <c r="E182" s="389"/>
    </row>
    <row r="183" spans="2:5">
      <c r="B183" s="387" t="s">
        <v>379</v>
      </c>
      <c r="C183" s="388"/>
      <c r="D183" s="388"/>
      <c r="E183" s="389"/>
    </row>
    <row r="184" spans="2:5">
      <c r="B184" s="387" t="s">
        <v>375</v>
      </c>
      <c r="C184" s="388"/>
      <c r="D184" s="388"/>
      <c r="E184" s="389"/>
    </row>
    <row r="185" spans="2:5">
      <c r="B185" s="387" t="s">
        <v>380</v>
      </c>
      <c r="C185" s="388"/>
      <c r="D185" s="388"/>
      <c r="E185" s="389"/>
    </row>
    <row r="186" spans="2:5">
      <c r="B186" s="387" t="s">
        <v>381</v>
      </c>
      <c r="C186" s="388"/>
      <c r="D186" s="388"/>
      <c r="E186" s="389"/>
    </row>
    <row r="187" spans="2:5">
      <c r="B187" s="387" t="s">
        <v>939</v>
      </c>
      <c r="C187" s="388"/>
      <c r="D187" s="388"/>
      <c r="E187" s="389"/>
    </row>
    <row r="188" spans="2:5">
      <c r="B188" s="387" t="s">
        <v>375</v>
      </c>
      <c r="C188" s="388"/>
      <c r="D188" s="388"/>
      <c r="E188" s="389"/>
    </row>
    <row r="189" spans="2:5">
      <c r="B189" s="387" t="s">
        <v>382</v>
      </c>
      <c r="C189" s="388"/>
      <c r="D189" s="388"/>
      <c r="E189" s="389"/>
    </row>
    <row r="190" spans="2:5">
      <c r="B190" s="387" t="s">
        <v>1181</v>
      </c>
      <c r="C190" s="388"/>
      <c r="D190" s="388"/>
      <c r="E190" s="389"/>
    </row>
    <row r="191" spans="2:5">
      <c r="B191" s="387" t="s">
        <v>375</v>
      </c>
      <c r="C191" s="388"/>
      <c r="D191" s="388"/>
      <c r="E191" s="389"/>
    </row>
    <row r="192" spans="2:5">
      <c r="B192" s="387" t="s">
        <v>383</v>
      </c>
      <c r="C192" s="388"/>
      <c r="D192" s="388"/>
      <c r="E192" s="389"/>
    </row>
    <row r="193" spans="2:8">
      <c r="B193" s="387" t="s">
        <v>384</v>
      </c>
      <c r="C193" s="388"/>
      <c r="D193" s="388"/>
      <c r="E193" s="389"/>
    </row>
    <row r="194" spans="2:8">
      <c r="B194" s="387" t="s">
        <v>375</v>
      </c>
      <c r="C194" s="388"/>
      <c r="D194" s="388"/>
      <c r="E194" s="389"/>
    </row>
    <row r="195" spans="2:8">
      <c r="B195" s="387" t="s">
        <v>385</v>
      </c>
      <c r="C195" s="388"/>
      <c r="D195" s="388"/>
      <c r="E195" s="389"/>
    </row>
    <row r="196" spans="2:8">
      <c r="B196" s="387" t="s">
        <v>386</v>
      </c>
      <c r="C196" s="388"/>
      <c r="D196" s="388"/>
      <c r="E196" s="389"/>
    </row>
    <row r="197" spans="2:8">
      <c r="B197" s="387" t="s">
        <v>375</v>
      </c>
      <c r="C197" s="388"/>
      <c r="D197" s="388"/>
      <c r="E197" s="389"/>
    </row>
    <row r="198" spans="2:8">
      <c r="B198" s="387" t="s">
        <v>387</v>
      </c>
      <c r="C198" s="388"/>
      <c r="D198" s="388"/>
      <c r="E198" s="389"/>
    </row>
    <row r="199" spans="2:8">
      <c r="B199" s="390"/>
      <c r="C199" s="391"/>
      <c r="D199" s="391"/>
      <c r="E199" s="392"/>
    </row>
    <row r="202" spans="2:8">
      <c r="B202" s="136"/>
      <c r="C202"/>
      <c r="D202"/>
      <c r="E202"/>
      <c r="F202"/>
      <c r="G202"/>
    </row>
    <row r="203" spans="2:8" ht="52.5" hidden="1" thickBot="1">
      <c r="B203" s="393" t="s">
        <v>389</v>
      </c>
      <c r="C203"/>
      <c r="D203"/>
      <c r="E203"/>
      <c r="F203"/>
      <c r="G203"/>
    </row>
    <row r="204" spans="2:8" ht="26.25" hidden="1" thickBot="1">
      <c r="B204" s="394" t="s">
        <v>1198</v>
      </c>
      <c r="C204" s="395" t="s">
        <v>390</v>
      </c>
      <c r="D204" s="395" t="s">
        <v>391</v>
      </c>
      <c r="E204" s="395" t="s">
        <v>392</v>
      </c>
      <c r="F204" s="395" t="s">
        <v>393</v>
      </c>
      <c r="G204" s="396" t="s">
        <v>394</v>
      </c>
    </row>
    <row r="205" spans="2:8" ht="21" hidden="1" thickBot="1">
      <c r="B205" s="397" t="s">
        <v>1209</v>
      </c>
      <c r="C205" s="398">
        <v>78.08</v>
      </c>
      <c r="D205" s="398">
        <v>75.47</v>
      </c>
      <c r="E205" s="398">
        <v>780805</v>
      </c>
      <c r="F205" s="398" t="s">
        <v>427</v>
      </c>
      <c r="G205" s="399">
        <v>28.01</v>
      </c>
      <c r="H205" s="180" t="s">
        <v>395</v>
      </c>
    </row>
    <row r="206" spans="2:8" ht="15" hidden="1" thickBot="1">
      <c r="B206" s="400" t="s">
        <v>1208</v>
      </c>
      <c r="C206" s="401">
        <v>20.95</v>
      </c>
      <c r="D206" s="401">
        <v>23.2</v>
      </c>
      <c r="E206" s="401">
        <v>209450</v>
      </c>
      <c r="F206" s="401" t="s">
        <v>428</v>
      </c>
      <c r="G206" s="402">
        <v>32</v>
      </c>
      <c r="H206" s="403">
        <f>(100-D206)/D206</f>
        <v>3.3103448275862069</v>
      </c>
    </row>
    <row r="207" spans="2:8" ht="13.5" hidden="1" thickBot="1">
      <c r="B207" s="400" t="s">
        <v>396</v>
      </c>
      <c r="C207" s="401">
        <v>0.93</v>
      </c>
      <c r="D207" s="401">
        <v>1.28</v>
      </c>
      <c r="E207" s="401">
        <v>9340</v>
      </c>
      <c r="F207" s="401" t="s">
        <v>397</v>
      </c>
      <c r="G207" s="402">
        <v>39.950000000000003</v>
      </c>
    </row>
    <row r="208" spans="2:8" ht="15" hidden="1" thickBot="1">
      <c r="B208" s="404" t="s">
        <v>398</v>
      </c>
      <c r="C208" s="405">
        <v>3.9E-2</v>
      </c>
      <c r="D208" s="405">
        <v>6.0600000000000001E-2</v>
      </c>
      <c r="E208" s="405">
        <v>390</v>
      </c>
      <c r="F208" s="405" t="s">
        <v>429</v>
      </c>
      <c r="G208" s="406">
        <v>44.01</v>
      </c>
    </row>
    <row r="209" spans="2:12" ht="13.5" hidden="1" thickBot="1">
      <c r="B209" s="407" t="s">
        <v>399</v>
      </c>
      <c r="C209" s="408">
        <v>1.8E-3</v>
      </c>
      <c r="D209" s="409">
        <v>1.1999999999999999E-3</v>
      </c>
      <c r="E209" s="408">
        <v>18.21</v>
      </c>
      <c r="F209" s="408" t="s">
        <v>400</v>
      </c>
      <c r="G209" s="410">
        <v>20.18</v>
      </c>
    </row>
    <row r="210" spans="2:12" ht="13.5" hidden="1" thickBot="1">
      <c r="B210" s="407" t="s">
        <v>401</v>
      </c>
      <c r="C210" s="408">
        <v>5.0000000000000001E-4</v>
      </c>
      <c r="D210" s="409">
        <v>6.9999999999999994E-5</v>
      </c>
      <c r="E210" s="408">
        <v>5.24</v>
      </c>
      <c r="F210" s="408" t="s">
        <v>402</v>
      </c>
      <c r="G210" s="410">
        <v>4</v>
      </c>
    </row>
    <row r="211" spans="2:12" ht="13.5" hidden="1" thickBot="1">
      <c r="B211" s="407" t="s">
        <v>403</v>
      </c>
      <c r="C211" s="408">
        <v>1E-4</v>
      </c>
      <c r="D211" s="409">
        <v>2.9999999999999997E-4</v>
      </c>
      <c r="E211" s="408">
        <v>1.1399999999999999</v>
      </c>
      <c r="F211" s="408" t="s">
        <v>404</v>
      </c>
      <c r="G211" s="410">
        <v>83.8</v>
      </c>
    </row>
    <row r="212" spans="2:12" ht="16.5" hidden="1" thickBot="1">
      <c r="B212" s="407" t="s">
        <v>1211</v>
      </c>
      <c r="C212" s="408" t="s">
        <v>405</v>
      </c>
      <c r="D212" s="408" t="s">
        <v>406</v>
      </c>
      <c r="E212" s="408">
        <v>0.5</v>
      </c>
      <c r="F212" s="408" t="s">
        <v>430</v>
      </c>
      <c r="G212" s="410">
        <v>2.02</v>
      </c>
    </row>
    <row r="213" spans="2:12" ht="14.25" hidden="1">
      <c r="B213" s="411" t="s">
        <v>407</v>
      </c>
      <c r="C213" s="412" t="s">
        <v>431</v>
      </c>
      <c r="D213" s="413">
        <v>4.0000000000000003E-5</v>
      </c>
      <c r="E213" s="412">
        <v>8.6999999999999994E-2</v>
      </c>
      <c r="F213" s="412" t="s">
        <v>408</v>
      </c>
      <c r="G213" s="414">
        <v>131.30000000000001</v>
      </c>
    </row>
    <row r="216" spans="2:12" s="4" customFormat="1" ht="14.25">
      <c r="B216" s="415" t="s">
        <v>939</v>
      </c>
      <c r="C216" s="415" t="s">
        <v>409</v>
      </c>
      <c r="D216" s="415"/>
      <c r="E216" s="416">
        <v>0.67500000000000004</v>
      </c>
      <c r="F216" s="415"/>
      <c r="G216" s="415"/>
      <c r="H216" s="235"/>
      <c r="I216" s="235"/>
      <c r="J216" s="235"/>
      <c r="K216" s="235"/>
      <c r="L216" s="417"/>
    </row>
    <row r="217" spans="2:12" s="4" customFormat="1" ht="14.25">
      <c r="B217" s="415" t="s">
        <v>1181</v>
      </c>
      <c r="C217" s="415" t="s">
        <v>410</v>
      </c>
      <c r="D217" s="415"/>
      <c r="E217" s="416">
        <v>0.1</v>
      </c>
      <c r="F217" s="415"/>
      <c r="G217" s="415"/>
      <c r="H217" s="235"/>
      <c r="I217" s="235"/>
      <c r="J217" s="235"/>
      <c r="K217" s="235"/>
      <c r="L217" s="417"/>
    </row>
    <row r="218" spans="2:12" s="4" customFormat="1" ht="14.25">
      <c r="B218" s="415" t="s">
        <v>384</v>
      </c>
      <c r="C218" s="415" t="s">
        <v>411</v>
      </c>
      <c r="D218" s="415"/>
      <c r="E218" s="416">
        <v>0.15</v>
      </c>
      <c r="F218" s="415"/>
      <c r="G218" s="415"/>
      <c r="H218" s="235"/>
      <c r="I218" s="235"/>
      <c r="J218" s="235"/>
      <c r="K218" s="235"/>
      <c r="L218" s="417"/>
    </row>
    <row r="219" spans="2:12" s="4" customFormat="1" ht="14.25">
      <c r="B219" s="415" t="s">
        <v>386</v>
      </c>
      <c r="C219" s="415" t="s">
        <v>412</v>
      </c>
      <c r="D219" s="415"/>
      <c r="E219" s="416">
        <v>7.4999999999999997E-2</v>
      </c>
      <c r="F219" s="415"/>
      <c r="G219" s="415"/>
      <c r="H219" s="235"/>
      <c r="I219" s="235"/>
      <c r="J219" s="235"/>
      <c r="K219" s="235"/>
      <c r="L219" s="417"/>
    </row>
    <row r="220" spans="2:12" s="4" customFormat="1">
      <c r="B220" s="418" t="s">
        <v>321</v>
      </c>
      <c r="E220" s="419">
        <f>SUM(E216:E219)</f>
        <v>1</v>
      </c>
      <c r="F220" s="235"/>
      <c r="G220" s="235"/>
      <c r="H220" s="235"/>
      <c r="I220" s="235"/>
      <c r="J220" s="235"/>
      <c r="K220" s="235"/>
      <c r="L220" s="417"/>
    </row>
    <row r="221" spans="2:12" s="4" customFormat="1">
      <c r="B221" s="418" t="s">
        <v>413</v>
      </c>
      <c r="C221" s="418"/>
      <c r="E221" s="420"/>
      <c r="F221" s="235"/>
      <c r="G221" s="235"/>
      <c r="H221" s="235"/>
      <c r="I221" s="235"/>
      <c r="J221" s="235"/>
      <c r="K221" s="235"/>
      <c r="L221" s="417"/>
    </row>
    <row r="222" spans="2:12">
      <c r="B222" s="136" t="s">
        <v>45</v>
      </c>
      <c r="E222" s="421">
        <f>0.97*E216+0.7*(E218-0.1*E217)-E219*(0.6 - 0.01*E219)</f>
        <v>0.70780625000000008</v>
      </c>
    </row>
    <row r="223" spans="2:12">
      <c r="B223" s="136" t="s">
        <v>50</v>
      </c>
      <c r="E223" s="421">
        <f>0.036*E216+0.086*(E218-0.1*E217)-0.0035*E219^2*(1-0.02*E219)</f>
        <v>3.6320342031249994E-2</v>
      </c>
    </row>
    <row r="224" spans="2:12">
      <c r="E224" s="421">
        <f>(2.1-0.02*E218)/100</f>
        <v>2.0969999999999999E-2</v>
      </c>
      <c r="F224" s="422"/>
    </row>
    <row r="225" spans="6:6">
      <c r="F225" s="423">
        <f>SUM(E222:E224)</f>
        <v>0.76509659203125013</v>
      </c>
    </row>
  </sheetData>
  <mergeCells count="33">
    <mergeCell ref="C174:G174"/>
    <mergeCell ref="C175:G175"/>
    <mergeCell ref="B176:E176"/>
    <mergeCell ref="C168:G168"/>
    <mergeCell ref="C169:G169"/>
    <mergeCell ref="C170:G170"/>
    <mergeCell ref="C171:G171"/>
    <mergeCell ref="C172:G172"/>
    <mergeCell ref="C173:G173"/>
    <mergeCell ref="C167:G167"/>
    <mergeCell ref="C156:G156"/>
    <mergeCell ref="C157:G157"/>
    <mergeCell ref="C158:G158"/>
    <mergeCell ref="C159:G159"/>
    <mergeCell ref="C160:G160"/>
    <mergeCell ref="C161:G161"/>
    <mergeCell ref="C162:G162"/>
    <mergeCell ref="C163:G163"/>
    <mergeCell ref="C164:G164"/>
    <mergeCell ref="C165:G165"/>
    <mergeCell ref="C166:G166"/>
    <mergeCell ref="C155:G155"/>
    <mergeCell ref="B8:B9"/>
    <mergeCell ref="C8:C9"/>
    <mergeCell ref="C154:G154"/>
    <mergeCell ref="H136:S136"/>
    <mergeCell ref="B151:L151"/>
    <mergeCell ref="L8:L9"/>
    <mergeCell ref="F21:L21"/>
    <mergeCell ref="B38:F38"/>
    <mergeCell ref="B60:L60"/>
    <mergeCell ref="I86:J86"/>
    <mergeCell ref="H116:M116"/>
  </mergeCells>
  <phoneticPr fontId="0" type="noConversion"/>
  <pageMargins left="0.75" right="0.75" top="1" bottom="1" header="0.5" footer="0.5"/>
  <pageSetup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3:K36"/>
  <sheetViews>
    <sheetView workbookViewId="0"/>
  </sheetViews>
  <sheetFormatPr defaultRowHeight="12.75"/>
  <cols>
    <col min="2" max="2" width="37.140625" customWidth="1"/>
    <col min="3" max="3" width="15.7109375" customWidth="1"/>
    <col min="4" max="4" width="14.140625" style="4" customWidth="1"/>
    <col min="5" max="5" width="11.7109375" customWidth="1"/>
    <col min="6" max="6" width="11.5703125" customWidth="1"/>
    <col min="8" max="8" width="11.28515625" customWidth="1"/>
  </cols>
  <sheetData>
    <row r="3" spans="2:4">
      <c r="B3" s="455" t="s">
        <v>40</v>
      </c>
      <c r="C3" s="456"/>
    </row>
    <row r="4" spans="2:4" ht="25.5" customHeight="1">
      <c r="B4" s="457" t="str">
        <f>'Flue gases'!B37</f>
        <v>Coal</v>
      </c>
      <c r="C4" s="458"/>
    </row>
    <row r="5" spans="2:4">
      <c r="B5" s="149" t="s">
        <v>42</v>
      </c>
      <c r="C5" s="150" t="s">
        <v>43</v>
      </c>
    </row>
    <row r="6" spans="2:4">
      <c r="B6" s="151" t="s">
        <v>939</v>
      </c>
      <c r="C6" s="152">
        <f>'Flue gases'!C39 / 100</f>
        <v>0.75</v>
      </c>
      <c r="D6" s="459" t="s">
        <v>44</v>
      </c>
    </row>
    <row r="7" spans="2:4">
      <c r="B7" s="153" t="s">
        <v>45</v>
      </c>
      <c r="C7" s="152">
        <f>'Flue gases'!C40 / 100</f>
        <v>0.05</v>
      </c>
      <c r="D7" s="18"/>
    </row>
    <row r="8" spans="2:4">
      <c r="B8" s="153" t="s">
        <v>46</v>
      </c>
      <c r="C8" s="152">
        <f>'Flue gases'!C41 / 100</f>
        <v>5.0000000000000001E-3</v>
      </c>
      <c r="D8" s="18"/>
    </row>
    <row r="9" spans="2:4">
      <c r="B9" s="154" t="s">
        <v>47</v>
      </c>
      <c r="C9" s="152">
        <f>'Flue gases'!C42 / 100</f>
        <v>0.1</v>
      </c>
      <c r="D9" s="18"/>
    </row>
    <row r="10" spans="2:4">
      <c r="B10" s="154" t="s">
        <v>48</v>
      </c>
      <c r="C10" s="152">
        <f>'Flue gases'!C43 / 100</f>
        <v>0.08</v>
      </c>
      <c r="D10" s="18"/>
    </row>
    <row r="11" spans="2:4">
      <c r="B11" s="154" t="s">
        <v>49</v>
      </c>
      <c r="C11" s="152">
        <f>'Flue gases'!C44 / 100</f>
        <v>0</v>
      </c>
      <c r="D11" s="18"/>
    </row>
    <row r="12" spans="2:4">
      <c r="B12" s="155" t="s">
        <v>50</v>
      </c>
      <c r="C12" s="152">
        <f>'Flue gases'!C45 / 100</f>
        <v>1.4999999999999999E-2</v>
      </c>
      <c r="D12" s="18"/>
    </row>
    <row r="13" spans="2:4">
      <c r="B13" s="156" t="s">
        <v>51</v>
      </c>
      <c r="C13" s="157">
        <f>SUM(C6:C12)</f>
        <v>1</v>
      </c>
    </row>
    <row r="14" spans="2:4">
      <c r="B14" s="158"/>
      <c r="C14" s="159"/>
    </row>
    <row r="15" spans="2:4">
      <c r="B15" s="160"/>
      <c r="C15" s="161"/>
    </row>
    <row r="16" spans="2:4">
      <c r="B16" s="160"/>
      <c r="C16" s="162" t="s">
        <v>1114</v>
      </c>
      <c r="D16" s="18" t="s">
        <v>1115</v>
      </c>
    </row>
    <row r="17" spans="2:6">
      <c r="B17" s="163" t="s">
        <v>52</v>
      </c>
      <c r="C17" s="164">
        <f>'Flue gases'!D50 / 100</f>
        <v>0</v>
      </c>
      <c r="D17" s="164">
        <f>'Flue gases'!E50 / 100</f>
        <v>0</v>
      </c>
      <c r="E17" s="165" t="s">
        <v>53</v>
      </c>
      <c r="F17" s="165" t="s">
        <v>54</v>
      </c>
    </row>
    <row r="18" spans="2:6" ht="14.25">
      <c r="B18" s="777" t="s">
        <v>1368</v>
      </c>
      <c r="C18" s="166">
        <f>'Flue gases'!D51</f>
        <v>0</v>
      </c>
      <c r="D18" s="166">
        <f>'Flue gases'!E51</f>
        <v>0</v>
      </c>
      <c r="E18" s="165" t="s">
        <v>55</v>
      </c>
      <c r="F18" s="165" t="s">
        <v>54</v>
      </c>
    </row>
    <row r="19" spans="2:6" ht="14.25">
      <c r="B19" s="778" t="s">
        <v>1369</v>
      </c>
      <c r="C19" s="166">
        <f>'Flue gases'!D52</f>
        <v>0</v>
      </c>
      <c r="D19" s="166">
        <f>'Flue gases'!E52</f>
        <v>0</v>
      </c>
      <c r="E19" s="165" t="s">
        <v>56</v>
      </c>
      <c r="F19" s="165" t="s">
        <v>54</v>
      </c>
    </row>
    <row r="20" spans="2:6" ht="14.25">
      <c r="B20" s="778" t="s">
        <v>1370</v>
      </c>
      <c r="C20" s="167">
        <f>'Flue gases'!D53</f>
        <v>70</v>
      </c>
      <c r="D20" s="167">
        <f>'Flue gases'!E53</f>
        <v>70</v>
      </c>
      <c r="E20" s="168" t="s">
        <v>44</v>
      </c>
      <c r="F20" s="169"/>
    </row>
    <row r="21" spans="2:6" ht="28.5">
      <c r="B21" s="779" t="s">
        <v>1434</v>
      </c>
      <c r="C21" s="170">
        <f>'Flue gases'!D54 / 100</f>
        <v>0.01</v>
      </c>
      <c r="D21" s="170">
        <f>'Flue gases'!E54 / 100</f>
        <v>0.01</v>
      </c>
      <c r="E21" s="168" t="s">
        <v>44</v>
      </c>
      <c r="F21" s="4"/>
    </row>
    <row r="22" spans="2:6" ht="14.25">
      <c r="B22" s="780" t="s">
        <v>1371</v>
      </c>
      <c r="C22" s="171">
        <f>'Flue gases'!D55</f>
        <v>10</v>
      </c>
      <c r="D22" s="171">
        <f>'Flue gases'!E55</f>
        <v>10</v>
      </c>
      <c r="E22" s="168" t="s">
        <v>44</v>
      </c>
      <c r="F22" s="4"/>
    </row>
    <row r="23" spans="2:6" ht="25.5">
      <c r="B23" s="158" t="s">
        <v>57</v>
      </c>
      <c r="C23" s="172">
        <f>'Flue gases'!D56 / 100</f>
        <v>0</v>
      </c>
      <c r="D23" s="172">
        <f>'Flue gases'!E56 / 100</f>
        <v>0</v>
      </c>
      <c r="E23" s="168" t="s">
        <v>44</v>
      </c>
      <c r="F23" s="4"/>
    </row>
    <row r="24" spans="2:6">
      <c r="B24" s="460" t="s">
        <v>58</v>
      </c>
      <c r="C24" s="144"/>
      <c r="D24" s="461"/>
    </row>
    <row r="25" spans="2:6" ht="24.75" customHeight="1">
      <c r="B25" s="462" t="s">
        <v>59</v>
      </c>
      <c r="C25" s="463"/>
      <c r="D25" s="367"/>
    </row>
    <row r="27" spans="2:6" ht="15.75">
      <c r="B27" s="173" t="s">
        <v>60</v>
      </c>
      <c r="C27" s="174">
        <f>'Av.Ht.Solid - current '!E126</f>
        <v>0.96505601675441022</v>
      </c>
      <c r="D27" s="175">
        <f>'Av.Ht.Solid - modified'!E126</f>
        <v>0.96505601675441022</v>
      </c>
      <c r="E27" t="s">
        <v>61</v>
      </c>
    </row>
    <row r="28" spans="2:6">
      <c r="B28" s="464" t="s">
        <v>62</v>
      </c>
      <c r="C28" s="465"/>
      <c r="D28" s="465"/>
      <c r="E28" t="s">
        <v>63</v>
      </c>
    </row>
    <row r="30" spans="2:6">
      <c r="B30" s="176" t="s">
        <v>420</v>
      </c>
    </row>
    <row r="36" spans="7:11" ht="15">
      <c r="G36" s="177"/>
      <c r="H36" s="178"/>
      <c r="I36" s="178"/>
      <c r="J36" s="178"/>
      <c r="K36" s="179"/>
    </row>
  </sheetData>
  <phoneticPr fontId="0" type="noConversion"/>
  <pageMargins left="0.7" right="0.7" top="0.75" bottom="0.75" header="0.3" footer="0.3"/>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2:L39"/>
  <sheetViews>
    <sheetView workbookViewId="0"/>
  </sheetViews>
  <sheetFormatPr defaultRowHeight="12.75"/>
  <cols>
    <col min="1" max="1" width="45" customWidth="1"/>
    <col min="2" max="2" width="16.140625" customWidth="1"/>
    <col min="3" max="3" width="18.5703125" customWidth="1"/>
    <col min="4" max="4" width="29.7109375" customWidth="1"/>
    <col min="5" max="5" width="11.5703125" bestFit="1" customWidth="1"/>
  </cols>
  <sheetData>
    <row r="2" spans="1:6" ht="13.5" thickBot="1"/>
    <row r="3" spans="1:6" ht="15.75">
      <c r="A3" s="2751" t="s">
        <v>118</v>
      </c>
      <c r="B3" s="2752"/>
      <c r="C3" s="2753"/>
    </row>
    <row r="4" spans="1:6" ht="16.5" thickBot="1">
      <c r="A4" s="2754" t="s">
        <v>119</v>
      </c>
      <c r="B4" s="2755"/>
      <c r="C4" s="2756"/>
    </row>
    <row r="5" spans="1:6">
      <c r="A5" s="179"/>
      <c r="B5" s="179"/>
      <c r="C5" s="179"/>
    </row>
    <row r="6" spans="1:6" s="4" customFormat="1" ht="19.5" customHeight="1">
      <c r="A6" s="467" t="s">
        <v>120</v>
      </c>
      <c r="B6" s="2757" t="str">
        <f>'Flue gases'!C68</f>
        <v>Natural Gas - East Ohio</v>
      </c>
      <c r="C6" s="2758"/>
    </row>
    <row r="7" spans="1:6">
      <c r="A7" s="179"/>
      <c r="B7" s="179"/>
      <c r="C7" s="179"/>
    </row>
    <row r="8" spans="1:6" ht="15">
      <c r="A8" s="468" t="s">
        <v>121</v>
      </c>
      <c r="B8" s="469" t="s">
        <v>122</v>
      </c>
      <c r="C8" s="470"/>
    </row>
    <row r="9" spans="1:6" ht="15">
      <c r="A9" s="471" t="s">
        <v>123</v>
      </c>
      <c r="B9" s="472">
        <f>'Flue gases'!C71</f>
        <v>0.94099999999999995</v>
      </c>
      <c r="C9" s="473"/>
    </row>
    <row r="10" spans="1:6" ht="15">
      <c r="A10" s="474" t="s">
        <v>124</v>
      </c>
      <c r="B10" s="472">
        <f>'Flue gases'!C72</f>
        <v>3.0099999999999998E-2</v>
      </c>
      <c r="C10" s="473"/>
    </row>
    <row r="11" spans="1:6" ht="15">
      <c r="A11" s="474" t="s">
        <v>125</v>
      </c>
      <c r="B11" s="472">
        <f>'Flue gases'!C73</f>
        <v>1.41E-2</v>
      </c>
      <c r="C11" s="475" t="s">
        <v>1296</v>
      </c>
      <c r="F11" s="476"/>
    </row>
    <row r="12" spans="1:6" ht="15">
      <c r="A12" s="477" t="s">
        <v>45</v>
      </c>
      <c r="B12" s="472">
        <f>'Flue gases'!C74</f>
        <v>1E-4</v>
      </c>
      <c r="C12" s="478" t="s">
        <v>126</v>
      </c>
    </row>
    <row r="13" spans="1:6" ht="15">
      <c r="A13" s="477" t="s">
        <v>127</v>
      </c>
      <c r="B13" s="472">
        <f>'Flue gases'!C75</f>
        <v>4.1999999999999997E-3</v>
      </c>
      <c r="C13" s="478" t="s">
        <v>128</v>
      </c>
    </row>
    <row r="14" spans="1:6" ht="15">
      <c r="A14" s="477" t="s">
        <v>129</v>
      </c>
      <c r="B14" s="472">
        <f>'Flue gases'!C76</f>
        <v>2.8E-3</v>
      </c>
      <c r="C14" s="478" t="s">
        <v>130</v>
      </c>
    </row>
    <row r="15" spans="1:6" ht="15">
      <c r="A15" s="477" t="s">
        <v>319</v>
      </c>
      <c r="B15" s="472">
        <f>'Flue gases'!C77</f>
        <v>0</v>
      </c>
      <c r="C15" s="479" t="s">
        <v>131</v>
      </c>
    </row>
    <row r="16" spans="1:6" ht="15">
      <c r="A16" s="477" t="s">
        <v>132</v>
      </c>
      <c r="B16" s="472">
        <f>'Flue gases'!C78</f>
        <v>0</v>
      </c>
      <c r="C16" s="473"/>
    </row>
    <row r="17" spans="1:12" ht="15">
      <c r="A17" s="477" t="s">
        <v>318</v>
      </c>
      <c r="B17" s="472">
        <f>'Flue gases'!C79</f>
        <v>2.0000000000000002E-5</v>
      </c>
      <c r="C17" s="473"/>
    </row>
    <row r="18" spans="1:12" ht="15">
      <c r="A18" s="477" t="s">
        <v>320</v>
      </c>
      <c r="B18" s="472">
        <f>'Flue gases'!C80</f>
        <v>0</v>
      </c>
      <c r="C18" s="473"/>
    </row>
    <row r="19" spans="1:12" ht="15">
      <c r="A19" s="477" t="s">
        <v>48</v>
      </c>
      <c r="B19" s="472">
        <f>'Flue gases'!C81</f>
        <v>1E-4</v>
      </c>
      <c r="C19" s="473"/>
    </row>
    <row r="20" spans="1:12" ht="15">
      <c r="A20" s="480" t="s">
        <v>300</v>
      </c>
      <c r="B20" s="481">
        <f>SUM(B9:B19)</f>
        <v>0.99241999999999997</v>
      </c>
      <c r="C20" s="473"/>
    </row>
    <row r="21" spans="1:12">
      <c r="A21" s="482" t="s">
        <v>133</v>
      </c>
      <c r="B21" s="483">
        <f>1-B20</f>
        <v>7.5800000000000312E-3</v>
      </c>
      <c r="C21" s="484"/>
    </row>
    <row r="22" spans="1:12">
      <c r="A22" s="179"/>
      <c r="B22" s="179"/>
      <c r="C22" s="179"/>
    </row>
    <row r="23" spans="1:12">
      <c r="A23" s="485" t="s">
        <v>134</v>
      </c>
      <c r="B23" s="486" t="s">
        <v>1116</v>
      </c>
      <c r="C23" s="487">
        <v>0</v>
      </c>
    </row>
    <row r="24" spans="1:12">
      <c r="A24" s="488"/>
      <c r="B24" s="489"/>
      <c r="C24" s="488"/>
    </row>
    <row r="25" spans="1:12" ht="18" customHeight="1">
      <c r="A25" s="490" t="s">
        <v>135</v>
      </c>
      <c r="B25" s="491" t="s">
        <v>80</v>
      </c>
      <c r="C25" s="492">
        <f>'Flue gases'!D87</f>
        <v>0</v>
      </c>
    </row>
    <row r="26" spans="1:12" ht="18" customHeight="1">
      <c r="A26" s="493" t="s">
        <v>433</v>
      </c>
      <c r="B26" s="494" t="s">
        <v>80</v>
      </c>
      <c r="C26" s="492">
        <f>'Flue gases'!D88</f>
        <v>0</v>
      </c>
    </row>
    <row r="27" spans="1:12" ht="18" customHeight="1">
      <c r="A27" s="493" t="s">
        <v>434</v>
      </c>
      <c r="B27" s="494" t="s">
        <v>80</v>
      </c>
      <c r="C27" s="492">
        <f>'Flue gases'!D89</f>
        <v>0</v>
      </c>
    </row>
    <row r="28" spans="1:12" ht="18" customHeight="1">
      <c r="A28" s="495" t="s">
        <v>136</v>
      </c>
      <c r="B28" s="496" t="s">
        <v>1116</v>
      </c>
      <c r="C28" s="497">
        <f>'Flue gases'!D90</f>
        <v>0</v>
      </c>
      <c r="D28" s="10"/>
      <c r="E28" s="498"/>
      <c r="F28" s="498"/>
      <c r="G28" s="498"/>
      <c r="H28" s="498"/>
      <c r="I28" s="498"/>
      <c r="J28" s="498"/>
      <c r="K28" s="498"/>
      <c r="L28" s="13"/>
    </row>
    <row r="29" spans="1:12" ht="15">
      <c r="A29" s="499" t="s">
        <v>137</v>
      </c>
      <c r="B29" s="500" t="s">
        <v>1116</v>
      </c>
      <c r="C29" s="501"/>
    </row>
    <row r="30" spans="1:12" ht="13.5" thickBot="1">
      <c r="A30" s="502"/>
      <c r="B30" s="503"/>
      <c r="C30" s="179"/>
    </row>
    <row r="31" spans="1:12" s="4" customFormat="1" ht="18">
      <c r="A31" s="2746" t="s">
        <v>599</v>
      </c>
      <c r="B31" s="2747"/>
      <c r="C31" s="2748"/>
    </row>
    <row r="32" spans="1:12" s="7" customFormat="1" ht="20.100000000000001" customHeight="1">
      <c r="A32" s="504" t="s">
        <v>138</v>
      </c>
      <c r="B32" s="505" t="s">
        <v>1116</v>
      </c>
      <c r="C32" s="506">
        <f>'Calculations - vol current'!H75</f>
        <v>0.90133904135354603</v>
      </c>
    </row>
    <row r="33" spans="1:11" s="1" customFormat="1" ht="41.25" customHeight="1">
      <c r="A33" s="2759" t="s">
        <v>139</v>
      </c>
      <c r="B33" s="507" t="s">
        <v>1364</v>
      </c>
      <c r="C33" s="508">
        <f>'Calculations - vol current'!C48*37.3</f>
        <v>38539.004116989592</v>
      </c>
      <c r="D33" s="509"/>
    </row>
    <row r="34" spans="1:11" s="1" customFormat="1" ht="41.25" customHeight="1">
      <c r="A34" s="2760"/>
      <c r="B34" s="510" t="s">
        <v>257</v>
      </c>
      <c r="C34" s="511">
        <f>'Calculations - vol current'!C48*8.9</f>
        <v>9195.6336901127997</v>
      </c>
      <c r="D34" s="509"/>
    </row>
    <row r="35" spans="1:11" s="4" customFormat="1" ht="30.75" customHeight="1">
      <c r="A35" s="504" t="s">
        <v>140</v>
      </c>
      <c r="B35" s="505" t="s">
        <v>1116</v>
      </c>
      <c r="C35" s="512">
        <f>'Calculations - vol current'!I14</f>
        <v>0</v>
      </c>
      <c r="D35" s="509"/>
    </row>
    <row r="36" spans="1:11" s="1" customFormat="1" ht="36.75" customHeight="1">
      <c r="A36" s="513" t="s">
        <v>141</v>
      </c>
      <c r="B36" s="2749" t="s">
        <v>1372</v>
      </c>
      <c r="C36" s="514">
        <f>'Calculations - vol current'!C80</f>
        <v>10.227344463652615</v>
      </c>
      <c r="E36" s="284"/>
      <c r="F36" s="284"/>
      <c r="G36" s="284"/>
      <c r="H36" s="284"/>
      <c r="I36" s="284"/>
      <c r="J36" s="284"/>
      <c r="K36" s="284"/>
    </row>
    <row r="37" spans="1:11" s="4" customFormat="1" ht="40.5" customHeight="1" thickBot="1">
      <c r="A37" s="515" t="s">
        <v>142</v>
      </c>
      <c r="B37" s="2750"/>
      <c r="C37" s="516">
        <f>'Calculations - vol current'!C83</f>
        <v>10.227344463652615</v>
      </c>
      <c r="D37" s="509"/>
      <c r="E37" s="284"/>
      <c r="F37" s="284"/>
      <c r="G37" s="284"/>
      <c r="H37" s="284"/>
      <c r="I37" s="284"/>
      <c r="J37" s="284"/>
      <c r="K37" s="284"/>
    </row>
    <row r="38" spans="1:11" ht="20.100000000000001" customHeight="1">
      <c r="D38" s="517"/>
    </row>
    <row r="39" spans="1:11">
      <c r="D39" s="509"/>
    </row>
  </sheetData>
  <mergeCells count="6">
    <mergeCell ref="A31:C31"/>
    <mergeCell ref="B36:B37"/>
    <mergeCell ref="A3:C3"/>
    <mergeCell ref="A4:C4"/>
    <mergeCell ref="B6:C6"/>
    <mergeCell ref="A33:A34"/>
  </mergeCells>
  <phoneticPr fontId="104" type="noConversion"/>
  <pageMargins left="0.7" right="0.7" top="0.75" bottom="0.75" header="0.3" footer="0.3"/>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G104"/>
  <sheetViews>
    <sheetView workbookViewId="0"/>
  </sheetViews>
  <sheetFormatPr defaultRowHeight="12.75"/>
  <cols>
    <col min="1" max="1" width="27.7109375" customWidth="1"/>
    <col min="2" max="2" width="12.42578125" customWidth="1"/>
    <col min="3" max="3" width="19.5703125" customWidth="1"/>
    <col min="4" max="4" width="10.85546875" customWidth="1"/>
    <col min="6" max="6" width="11.85546875" customWidth="1"/>
    <col min="7" max="7" width="12" style="3" customWidth="1"/>
    <col min="8" max="8" width="18.85546875" style="562" customWidth="1"/>
    <col min="9" max="9" width="16.140625" style="562" customWidth="1"/>
    <col min="10" max="10" width="13.140625" style="562" customWidth="1"/>
    <col min="11" max="11" width="16.28515625" style="552" customWidth="1"/>
    <col min="12" max="12" width="14.7109375" style="552" customWidth="1"/>
    <col min="13" max="13" width="18" style="3" customWidth="1"/>
    <col min="14" max="14" width="9.28515625" style="3" customWidth="1"/>
    <col min="15" max="15" width="13.85546875" style="3" customWidth="1"/>
    <col min="16" max="16" width="11.140625" style="3" customWidth="1"/>
    <col min="17" max="17" width="10.42578125" customWidth="1"/>
    <col min="18" max="18" width="10" customWidth="1"/>
    <col min="19" max="23" width="12.7109375" customWidth="1"/>
    <col min="24" max="24" width="25" customWidth="1"/>
    <col min="25" max="25" width="8" customWidth="1"/>
    <col min="26" max="29" width="12.7109375" customWidth="1"/>
    <col min="30" max="30" width="13.140625" customWidth="1"/>
    <col min="31" max="31" width="15.28515625" customWidth="1"/>
  </cols>
  <sheetData>
    <row r="1" spans="1:30" s="96" customFormat="1">
      <c r="A1" s="518"/>
      <c r="B1" s="518"/>
      <c r="C1" s="2761" t="s">
        <v>143</v>
      </c>
      <c r="D1" s="2761"/>
      <c r="E1" s="2761"/>
      <c r="F1" s="2761" t="s">
        <v>144</v>
      </c>
      <c r="G1" s="2761"/>
      <c r="H1" s="2761"/>
      <c r="I1" s="519"/>
      <c r="J1" s="519" t="s">
        <v>321</v>
      </c>
      <c r="K1" s="520" t="s">
        <v>1113</v>
      </c>
      <c r="L1" s="521"/>
      <c r="M1" s="522"/>
      <c r="N1" s="522"/>
      <c r="O1" s="522"/>
      <c r="P1" s="522"/>
    </row>
    <row r="2" spans="1:30" s="96" customFormat="1" ht="25.5">
      <c r="A2" s="518"/>
      <c r="B2" s="518"/>
      <c r="C2" s="523" t="s">
        <v>318</v>
      </c>
      <c r="D2" s="523" t="s">
        <v>319</v>
      </c>
      <c r="E2" s="523" t="s">
        <v>50</v>
      </c>
      <c r="F2" s="524" t="s">
        <v>318</v>
      </c>
      <c r="G2" s="524" t="s">
        <v>319</v>
      </c>
      <c r="H2" s="524" t="s">
        <v>50</v>
      </c>
      <c r="I2" s="519" t="s">
        <v>145</v>
      </c>
      <c r="J2" s="519"/>
      <c r="K2" s="520" t="s">
        <v>320</v>
      </c>
      <c r="L2" s="525" t="s">
        <v>146</v>
      </c>
      <c r="M2" s="526" t="s">
        <v>147</v>
      </c>
      <c r="N2" s="526" t="s">
        <v>148</v>
      </c>
      <c r="O2" s="522"/>
      <c r="P2" s="522"/>
    </row>
    <row r="3" spans="1:30" ht="15">
      <c r="A3" s="527" t="s">
        <v>149</v>
      </c>
      <c r="B3" s="528">
        <f>'Data-Results vol current '!C23</f>
        <v>0</v>
      </c>
      <c r="C3" s="466">
        <v>3.18</v>
      </c>
      <c r="D3" s="466">
        <v>0.57199999999999995</v>
      </c>
      <c r="E3" s="466">
        <v>9.3000000000000007</v>
      </c>
      <c r="F3" s="529">
        <f>$B$3*C3</f>
        <v>0</v>
      </c>
      <c r="G3" s="529">
        <f>$B$3*D3</f>
        <v>0</v>
      </c>
      <c r="H3" s="530">
        <f>$B$3*E3</f>
        <v>0</v>
      </c>
      <c r="I3" s="531">
        <v>0</v>
      </c>
      <c r="J3" s="532">
        <f>SUM(F3:H3)</f>
        <v>0</v>
      </c>
      <c r="K3" s="533">
        <v>0</v>
      </c>
      <c r="L3" s="534">
        <f>0.231*12.052*B3</f>
        <v>0</v>
      </c>
      <c r="M3" s="535">
        <f>L3/0.231</f>
        <v>0</v>
      </c>
      <c r="N3" s="535">
        <f>M3</f>
        <v>0</v>
      </c>
    </row>
    <row r="4" spans="1:30" ht="15">
      <c r="A4" s="527" t="s">
        <v>150</v>
      </c>
      <c r="B4" s="528">
        <f>C57</f>
        <v>0</v>
      </c>
      <c r="C4" s="466"/>
      <c r="D4" s="466"/>
      <c r="E4" s="466"/>
      <c r="F4" s="529">
        <f>F3</f>
        <v>0</v>
      </c>
      <c r="G4" s="529">
        <f>G3</f>
        <v>0</v>
      </c>
      <c r="H4" s="530">
        <f>H3+I4/(1-0.231)</f>
        <v>0</v>
      </c>
      <c r="I4" s="532">
        <f>B4*L3</f>
        <v>0</v>
      </c>
      <c r="J4" s="532">
        <f>SUM(F4:I4)</f>
        <v>0</v>
      </c>
      <c r="K4" s="533">
        <v>0</v>
      </c>
      <c r="L4" s="534">
        <f>I4</f>
        <v>0</v>
      </c>
      <c r="M4" s="535">
        <f>L4/0.231</f>
        <v>0</v>
      </c>
    </row>
    <row r="5" spans="1:30">
      <c r="A5" s="466"/>
      <c r="B5" s="536"/>
      <c r="C5" s="466"/>
      <c r="D5" s="466"/>
      <c r="E5" s="466"/>
      <c r="F5" s="529"/>
      <c r="G5" s="529"/>
      <c r="H5" s="529"/>
      <c r="I5" s="533"/>
      <c r="J5" s="537"/>
      <c r="K5" s="533"/>
      <c r="L5" s="534"/>
    </row>
    <row r="6" spans="1:30">
      <c r="A6" s="466"/>
      <c r="B6" s="536"/>
      <c r="C6" s="466"/>
      <c r="D6" s="466"/>
      <c r="E6" s="466"/>
      <c r="F6" s="529"/>
      <c r="G6" s="529"/>
      <c r="H6" s="529"/>
      <c r="I6" s="533"/>
      <c r="J6" s="537"/>
      <c r="K6" s="533"/>
      <c r="L6" s="534"/>
    </row>
    <row r="7" spans="1:30" s="1" customFormat="1" ht="25.5">
      <c r="A7" s="538" t="s">
        <v>151</v>
      </c>
      <c r="B7" s="539">
        <f>1-B3</f>
        <v>1</v>
      </c>
      <c r="C7" s="20"/>
      <c r="D7" s="20"/>
      <c r="E7" s="20"/>
      <c r="F7" s="540">
        <f>$B$7*Q40</f>
        <v>2.7095835212488995</v>
      </c>
      <c r="G7" s="540">
        <f>$B$7*R40</f>
        <v>2.1253493533810555</v>
      </c>
      <c r="H7" s="541">
        <f>B7*T40</f>
        <v>12.864032287414576</v>
      </c>
      <c r="I7" s="541">
        <f>B7*U40</f>
        <v>0</v>
      </c>
      <c r="J7" s="541">
        <f>SUM(F7:I7)+K7</f>
        <v>17.69896516204453</v>
      </c>
      <c r="K7" s="542">
        <f>B7*S40</f>
        <v>0</v>
      </c>
      <c r="L7" s="543">
        <f>I7+B7*U36</f>
        <v>3.8574609524322874</v>
      </c>
      <c r="M7" s="544">
        <f>L7/0.231</f>
        <v>16.698965162044534</v>
      </c>
      <c r="N7" s="544">
        <f>M7-I7/0.231</f>
        <v>16.698965162044534</v>
      </c>
      <c r="O7" s="2"/>
      <c r="P7" s="2"/>
    </row>
    <row r="8" spans="1:30">
      <c r="A8" s="466"/>
      <c r="B8" s="466"/>
      <c r="C8" s="466"/>
      <c r="D8" s="466"/>
      <c r="E8" s="466"/>
      <c r="F8" s="529"/>
      <c r="G8" s="545"/>
      <c r="H8" s="537"/>
      <c r="I8" s="537"/>
      <c r="J8" s="537"/>
      <c r="K8" s="533"/>
      <c r="L8" s="534"/>
    </row>
    <row r="9" spans="1:30" s="1" customFormat="1" ht="30">
      <c r="A9" s="546" t="s">
        <v>152</v>
      </c>
      <c r="B9" s="546"/>
      <c r="C9" s="546"/>
      <c r="D9" s="546"/>
      <c r="E9" s="546"/>
      <c r="F9" s="547">
        <f t="shared" ref="F9:K9" si="0">F4+F7</f>
        <v>2.7095835212488995</v>
      </c>
      <c r="G9" s="547">
        <f t="shared" si="0"/>
        <v>2.1253493533810555</v>
      </c>
      <c r="H9" s="547">
        <f t="shared" si="0"/>
        <v>12.864032287414576</v>
      </c>
      <c r="I9" s="547">
        <f t="shared" si="0"/>
        <v>0</v>
      </c>
      <c r="J9" s="547">
        <f t="shared" si="0"/>
        <v>17.69896516204453</v>
      </c>
      <c r="K9" s="547">
        <f t="shared" si="0"/>
        <v>0</v>
      </c>
      <c r="L9" s="543">
        <f>SUM(L3:L7)</f>
        <v>3.8574609524322874</v>
      </c>
      <c r="M9" s="544">
        <f>SUM(M3:M7)</f>
        <v>16.698965162044534</v>
      </c>
      <c r="N9" s="544">
        <f>M9/(1+B4)</f>
        <v>16.698965162044534</v>
      </c>
      <c r="O9" s="544"/>
      <c r="P9" s="2"/>
    </row>
    <row r="10" spans="1:30">
      <c r="A10" s="548" t="s">
        <v>153</v>
      </c>
      <c r="B10" s="549"/>
      <c r="C10" s="549"/>
      <c r="D10" s="549"/>
      <c r="E10" s="549"/>
      <c r="F10" s="550">
        <f t="shared" ref="F10:K10" si="1">F9/$J$9</f>
        <v>0.15309276539283817</v>
      </c>
      <c r="G10" s="550">
        <f t="shared" si="1"/>
        <v>0.1200832553724029</v>
      </c>
      <c r="H10" s="550">
        <f t="shared" si="1"/>
        <v>0.72682397923475894</v>
      </c>
      <c r="I10" s="550">
        <f t="shared" si="1"/>
        <v>0</v>
      </c>
      <c r="J10" s="551">
        <f t="shared" si="1"/>
        <v>1</v>
      </c>
      <c r="K10" s="550">
        <f t="shared" si="1"/>
        <v>0</v>
      </c>
    </row>
    <row r="11" spans="1:30">
      <c r="A11" s="548" t="s">
        <v>154</v>
      </c>
      <c r="B11" s="549"/>
      <c r="C11" s="549"/>
      <c r="D11" s="549"/>
      <c r="E11" s="549"/>
      <c r="F11" s="550">
        <f>F9/($J$9-$G$9)</f>
        <v>0.17398551206981622</v>
      </c>
      <c r="G11" s="537">
        <v>0</v>
      </c>
      <c r="H11" s="550">
        <f>H9/($J$9-$G$9)</f>
        <v>0.82601448793018384</v>
      </c>
      <c r="I11" s="550">
        <f>I9/($J$9-$G$9)</f>
        <v>0</v>
      </c>
      <c r="J11" s="551">
        <f>SUM(F11:I11)</f>
        <v>1</v>
      </c>
      <c r="K11" s="550">
        <f>K9/($J$9-$G$9)</f>
        <v>0</v>
      </c>
    </row>
    <row r="12" spans="1:30">
      <c r="A12" s="553" t="s">
        <v>155</v>
      </c>
      <c r="B12" s="466"/>
      <c r="C12" s="466"/>
      <c r="D12" s="466"/>
      <c r="E12" s="466"/>
      <c r="F12" s="554">
        <f>F9*'Cp calculations  (2)'!H23</f>
        <v>23.290101994007586</v>
      </c>
      <c r="G12" s="555">
        <f>G9*'Cp calculations  (2)'!H20</f>
        <v>44.655951413817505</v>
      </c>
      <c r="H12" s="533">
        <f>H9*'Cp calculations  (2)'!H11</f>
        <v>173.75632182500686</v>
      </c>
      <c r="I12" s="533">
        <f>I9*'Cp calculations  (2)'!H8</f>
        <v>0</v>
      </c>
      <c r="J12" s="556">
        <f>SUM(F12:I12)+K12</f>
        <v>241.70237523283197</v>
      </c>
      <c r="K12" s="533">
        <f>K9*'Cp calculations  (2)'!H41</f>
        <v>0</v>
      </c>
    </row>
    <row r="13" spans="1:30" ht="15">
      <c r="A13" s="557" t="s">
        <v>156</v>
      </c>
      <c r="B13" s="557"/>
      <c r="C13" s="557"/>
      <c r="D13" s="557"/>
      <c r="E13" s="557"/>
      <c r="F13" s="558">
        <f t="shared" ref="F13:K13" si="2">F12/$J$12</f>
        <v>9.6358597930914919E-2</v>
      </c>
      <c r="G13" s="558">
        <f t="shared" si="2"/>
        <v>0.18475594776758156</v>
      </c>
      <c r="H13" s="558">
        <f t="shared" si="2"/>
        <v>0.71888545430150341</v>
      </c>
      <c r="I13" s="558">
        <f t="shared" si="2"/>
        <v>0</v>
      </c>
      <c r="J13" s="558">
        <f t="shared" si="2"/>
        <v>1</v>
      </c>
      <c r="K13" s="558">
        <f t="shared" si="2"/>
        <v>0</v>
      </c>
      <c r="N13" s="559" t="s">
        <v>1113</v>
      </c>
    </row>
    <row r="14" spans="1:30" ht="15">
      <c r="A14" s="557" t="s">
        <v>157</v>
      </c>
      <c r="B14" s="557"/>
      <c r="C14" s="557"/>
      <c r="D14" s="557"/>
      <c r="E14" s="557"/>
      <c r="F14" s="560">
        <f>F12/($J$12-$G$12)</f>
        <v>0.11819601463764373</v>
      </c>
      <c r="G14" s="561">
        <v>0</v>
      </c>
      <c r="H14" s="560">
        <f>H12/($J$12-$G$12)</f>
        <v>0.88180398536235616</v>
      </c>
      <c r="I14" s="560">
        <f>I12/($J$12-$G$12)</f>
        <v>0</v>
      </c>
      <c r="J14" s="561">
        <f>SUM(F14:I14)</f>
        <v>0.99999999999999989</v>
      </c>
      <c r="K14" s="558">
        <f>K12/($J$12-$G$12)</f>
        <v>0</v>
      </c>
    </row>
    <row r="15" spans="1:30">
      <c r="AC15" s="563">
        <f>T39*'Cp calculations  (2)'!H11</f>
        <v>0</v>
      </c>
      <c r="AD15" s="563">
        <f>U39*'Cp calculations  (2)'!H8</f>
        <v>0</v>
      </c>
    </row>
    <row r="16" spans="1:30" ht="15">
      <c r="A16" s="564" t="s">
        <v>158</v>
      </c>
      <c r="B16" s="564"/>
      <c r="C16" s="564"/>
      <c r="I16" s="565" t="s">
        <v>159</v>
      </c>
      <c r="J16" s="566">
        <f>J9/J12</f>
        <v>7.3226277337966217E-2</v>
      </c>
      <c r="K16" s="567" t="s">
        <v>160</v>
      </c>
      <c r="AC16" s="563"/>
      <c r="AD16" s="563"/>
    </row>
    <row r="17" spans="1:33" ht="15">
      <c r="A17" s="568" t="s">
        <v>161</v>
      </c>
      <c r="B17" s="564" t="s">
        <v>162</v>
      </c>
      <c r="C17" s="569">
        <v>15720</v>
      </c>
      <c r="I17" s="565" t="s">
        <v>163</v>
      </c>
      <c r="J17" s="567">
        <f>1/J16</f>
        <v>13.656299846906487</v>
      </c>
      <c r="K17" s="567" t="s">
        <v>164</v>
      </c>
      <c r="AC17" s="563"/>
      <c r="AD17" s="563"/>
    </row>
    <row r="18" spans="1:33" ht="15">
      <c r="A18" s="568" t="s">
        <v>165</v>
      </c>
      <c r="B18" s="564" t="s">
        <v>162</v>
      </c>
      <c r="C18" s="570">
        <f>C47</f>
        <v>23081.065532346693</v>
      </c>
      <c r="AC18" s="563"/>
      <c r="AD18" s="563"/>
    </row>
    <row r="19" spans="1:33" s="1" customFormat="1" ht="30">
      <c r="A19" s="571" t="s">
        <v>166</v>
      </c>
      <c r="B19" s="572" t="s">
        <v>162</v>
      </c>
      <c r="C19" s="573">
        <f>C17*B3+C18*B7</f>
        <v>23081.065532346693</v>
      </c>
      <c r="G19" s="2"/>
      <c r="H19" s="574"/>
      <c r="I19" s="574"/>
      <c r="J19" s="574"/>
      <c r="K19" s="575"/>
      <c r="L19" s="575"/>
      <c r="M19" s="2"/>
      <c r="N19" s="2"/>
      <c r="O19" s="2"/>
      <c r="P19" s="2"/>
    </row>
    <row r="20" spans="1:33">
      <c r="A20" s="576"/>
      <c r="B20" s="476"/>
      <c r="C20" s="563"/>
    </row>
    <row r="21" spans="1:33">
      <c r="A21" s="576"/>
      <c r="B21" s="476"/>
      <c r="C21" s="563"/>
    </row>
    <row r="22" spans="1:33" ht="13.5" thickBot="1"/>
    <row r="23" spans="1:33" s="7" customFormat="1" ht="24" customHeight="1">
      <c r="A23" s="2794" t="s">
        <v>259</v>
      </c>
      <c r="B23" s="2795"/>
      <c r="C23" s="2795"/>
      <c r="D23" s="2795"/>
      <c r="E23" s="2795"/>
      <c r="F23" s="2795"/>
      <c r="G23" s="2796"/>
      <c r="H23" s="2796"/>
      <c r="I23" s="366"/>
      <c r="J23" s="366"/>
      <c r="K23" s="577" t="s">
        <v>287</v>
      </c>
      <c r="L23" s="577"/>
      <c r="M23" s="2782" t="s">
        <v>167</v>
      </c>
      <c r="N23" s="2783"/>
      <c r="O23" s="2792" t="s">
        <v>168</v>
      </c>
      <c r="P23" s="2793"/>
      <c r="Q23" s="2762" t="s">
        <v>169</v>
      </c>
      <c r="R23" s="2763"/>
      <c r="S23" s="2763"/>
      <c r="T23" s="2763"/>
      <c r="U23" s="824" t="s">
        <v>170</v>
      </c>
      <c r="V23" s="825"/>
      <c r="W23" s="826" t="s">
        <v>1172</v>
      </c>
      <c r="X23" s="805"/>
      <c r="Y23" s="805"/>
      <c r="Z23" s="2764" t="s">
        <v>171</v>
      </c>
      <c r="AA23" s="2765"/>
      <c r="AB23" s="2765"/>
      <c r="AC23" s="2765"/>
      <c r="AD23" s="806"/>
      <c r="AE23" s="806"/>
      <c r="AF23" s="806"/>
      <c r="AG23" s="806"/>
    </row>
    <row r="24" spans="1:33" s="147" customFormat="1" ht="30">
      <c r="A24" s="583" t="s">
        <v>121</v>
      </c>
      <c r="B24" s="584" t="s">
        <v>1202</v>
      </c>
      <c r="C24" s="584" t="s">
        <v>172</v>
      </c>
      <c r="D24" s="584" t="s">
        <v>318</v>
      </c>
      <c r="E24" s="584" t="s">
        <v>319</v>
      </c>
      <c r="F24" s="584" t="s">
        <v>320</v>
      </c>
      <c r="G24" s="585" t="s">
        <v>122</v>
      </c>
      <c r="H24" s="586" t="s">
        <v>173</v>
      </c>
      <c r="I24" s="586" t="s">
        <v>174</v>
      </c>
      <c r="J24" s="586" t="s">
        <v>175</v>
      </c>
      <c r="K24" s="587"/>
      <c r="L24" s="587" t="s">
        <v>176</v>
      </c>
      <c r="M24" s="2782"/>
      <c r="N24" s="2783"/>
      <c r="O24" s="588" t="s">
        <v>177</v>
      </c>
      <c r="P24" s="589" t="s">
        <v>1116</v>
      </c>
      <c r="Q24" s="827" t="s">
        <v>318</v>
      </c>
      <c r="R24" s="827" t="s">
        <v>319</v>
      </c>
      <c r="S24" s="827" t="s">
        <v>320</v>
      </c>
      <c r="T24" s="827" t="s">
        <v>50</v>
      </c>
      <c r="U24" s="827" t="s">
        <v>48</v>
      </c>
      <c r="V24" s="827" t="s">
        <v>1113</v>
      </c>
      <c r="W24" s="828"/>
      <c r="X24" s="807"/>
      <c r="Y24" s="807"/>
      <c r="Z24" s="808" t="s">
        <v>318</v>
      </c>
      <c r="AA24" s="808" t="s">
        <v>319</v>
      </c>
      <c r="AB24" s="808" t="s">
        <v>320</v>
      </c>
      <c r="AC24" s="808" t="s">
        <v>50</v>
      </c>
      <c r="AD24" s="808" t="s">
        <v>48</v>
      </c>
      <c r="AE24" s="809" t="s">
        <v>1172</v>
      </c>
      <c r="AF24" s="807"/>
      <c r="AG24" s="807"/>
    </row>
    <row r="25" spans="1:33" ht="15">
      <c r="A25" s="595" t="s">
        <v>123</v>
      </c>
      <c r="B25" s="596">
        <f>16.042</f>
        <v>16.042000000000002</v>
      </c>
      <c r="C25" s="596">
        <v>64</v>
      </c>
      <c r="D25" s="596">
        <f>B33</f>
        <v>44.01</v>
      </c>
      <c r="E25" s="596">
        <f>2*B31</f>
        <v>36.031999999999996</v>
      </c>
      <c r="F25" s="596"/>
      <c r="G25" s="597">
        <f>'Data-Results vol current '!B9</f>
        <v>0.94099999999999995</v>
      </c>
      <c r="H25" s="598">
        <f t="shared" ref="H25:H35" si="3">G25*(1+$G$37)</f>
        <v>0.9481327799999999</v>
      </c>
      <c r="I25" s="599">
        <v>1012</v>
      </c>
      <c r="J25" s="599">
        <f t="shared" ref="J25:J35" si="4">I25*H25</f>
        <v>959.5103733599999</v>
      </c>
      <c r="K25" s="599">
        <v>23875</v>
      </c>
      <c r="L25" s="599">
        <f t="shared" ref="L25:L35" si="5">K25*P25</f>
        <v>20511.620828220701</v>
      </c>
      <c r="M25" s="2782"/>
      <c r="N25" s="2783"/>
      <c r="O25" s="600">
        <f>H25*'Cp calculations  (2)'!I26</f>
        <v>4.0111381491274453E-2</v>
      </c>
      <c r="P25" s="601">
        <f t="shared" ref="P25:P36" si="6">O25/$O$36</f>
        <v>0.85912547971605036</v>
      </c>
      <c r="Q25" s="829">
        <f>P25*D25/B25</f>
        <v>2.3569450419089497</v>
      </c>
      <c r="R25" s="829">
        <f>P25*E25/B25</f>
        <v>1.929685156783987</v>
      </c>
      <c r="S25" s="829"/>
      <c r="T25" s="829">
        <f>U25*(1-0.231)/0.231</f>
        <v>11.410178047156821</v>
      </c>
      <c r="U25" s="829">
        <f>P25*C25/B25</f>
        <v>3.4275047189768868</v>
      </c>
      <c r="V25" s="829">
        <f>T25/U25</f>
        <v>3.3290043290043285</v>
      </c>
      <c r="W25" s="829"/>
      <c r="X25" s="810"/>
      <c r="Y25" s="810"/>
      <c r="Z25" s="810">
        <f>Q25*'Cp calculations  (2)'!$H$23</f>
        <v>20.259013973862835</v>
      </c>
      <c r="AA25" s="810">
        <f>R25*'Cp calculations  (2)'!$H$20</f>
        <v>40.544829238650209</v>
      </c>
      <c r="AB25" s="810">
        <f>S25*'Cp calculations  (2)'!H41</f>
        <v>0</v>
      </c>
      <c r="AC25" s="810">
        <f>T25*'Cp calculations  (2)'!$H$11</f>
        <v>154.11890490838249</v>
      </c>
      <c r="AD25" s="810">
        <f>U25*'Cp calculations  (2)'!$H$8</f>
        <v>40.508821397408077</v>
      </c>
      <c r="AE25" s="810"/>
      <c r="AF25" s="810"/>
      <c r="AG25" s="810"/>
    </row>
    <row r="26" spans="1:33" ht="15">
      <c r="A26" s="595" t="s">
        <v>124</v>
      </c>
      <c r="B26" s="596">
        <v>30.068000000000001</v>
      </c>
      <c r="C26" s="596">
        <v>112</v>
      </c>
      <c r="D26" s="596">
        <f>2*B33</f>
        <v>88.02</v>
      </c>
      <c r="E26" s="596">
        <f>3*B31</f>
        <v>54.047999999999995</v>
      </c>
      <c r="F26" s="596"/>
      <c r="G26" s="597">
        <f>'Data-Results vol current '!B10</f>
        <v>3.0099999999999998E-2</v>
      </c>
      <c r="H26" s="598">
        <f t="shared" si="3"/>
        <v>3.0328157999999997E-2</v>
      </c>
      <c r="I26" s="599">
        <v>1773</v>
      </c>
      <c r="J26" s="599">
        <f t="shared" si="4"/>
        <v>53.771824133999992</v>
      </c>
      <c r="K26" s="599">
        <v>22323</v>
      </c>
      <c r="L26" s="599">
        <f t="shared" si="5"/>
        <v>1073.5544575546983</v>
      </c>
      <c r="M26" s="2782"/>
      <c r="N26" s="2783"/>
      <c r="O26" s="600">
        <f>H26*'Cp calculations  (2)'!I29</f>
        <v>2.2453422104706505E-3</v>
      </c>
      <c r="P26" s="601">
        <f t="shared" si="6"/>
        <v>4.8091854031926631E-2</v>
      </c>
      <c r="Q26" s="829">
        <f>P26*D26/B26</f>
        <v>0.14078239297226891</v>
      </c>
      <c r="R26" s="829">
        <f>P26*E26/B26</f>
        <v>8.6446339188425245E-2</v>
      </c>
      <c r="S26" s="829"/>
      <c r="T26" s="829">
        <f>U26*(1-0.231)/0.231</f>
        <v>0.59634744277498808</v>
      </c>
      <c r="U26" s="829">
        <f>P26*C26/B26</f>
        <v>0.17913687812876755</v>
      </c>
      <c r="V26" s="829"/>
      <c r="W26" s="829"/>
      <c r="X26" s="810"/>
      <c r="Y26" s="810"/>
      <c r="Z26" s="810">
        <f>Q26*'Cp calculations  (2)'!$H$23</f>
        <v>1.2100886595934568</v>
      </c>
      <c r="AA26" s="810">
        <f>R26*'Cp calculations  (2)'!$H$20</f>
        <v>1.8163336378368014</v>
      </c>
      <c r="AB26" s="810">
        <f>S26*'Cp calculations  (2)'!H42</f>
        <v>0</v>
      </c>
      <c r="AC26" s="810">
        <f>T26*'Cp calculations  (2)'!$H$11</f>
        <v>8.0549501020535885</v>
      </c>
      <c r="AD26" s="810">
        <f>U26*'Cp calculations  (2)'!$H$8</f>
        <v>2.1171739783843715</v>
      </c>
      <c r="AE26" s="810"/>
      <c r="AF26" s="810"/>
      <c r="AG26" s="810"/>
    </row>
    <row r="27" spans="1:33" ht="15">
      <c r="A27" s="595" t="s">
        <v>125</v>
      </c>
      <c r="B27" s="596">
        <v>28.015999999999998</v>
      </c>
      <c r="C27" s="596">
        <v>0</v>
      </c>
      <c r="D27" s="596">
        <v>0</v>
      </c>
      <c r="E27" s="596">
        <v>0</v>
      </c>
      <c r="F27" s="596"/>
      <c r="G27" s="597">
        <f>'Data-Results vol current '!B11</f>
        <v>1.41E-2</v>
      </c>
      <c r="H27" s="598">
        <f t="shared" si="3"/>
        <v>1.4206877999999999E-2</v>
      </c>
      <c r="I27" s="599">
        <v>0</v>
      </c>
      <c r="J27" s="599">
        <f t="shared" si="4"/>
        <v>0</v>
      </c>
      <c r="K27" s="599">
        <v>0</v>
      </c>
      <c r="L27" s="599">
        <f t="shared" si="5"/>
        <v>0</v>
      </c>
      <c r="M27" s="2782"/>
      <c r="N27" s="2783"/>
      <c r="O27" s="600">
        <f>H27*'Cp calculations  (2)'!I11</f>
        <v>1.0518048228450555E-3</v>
      </c>
      <c r="P27" s="601">
        <f t="shared" si="6"/>
        <v>2.2528077802331077E-2</v>
      </c>
      <c r="Q27" s="829"/>
      <c r="R27" s="829"/>
      <c r="S27" s="829"/>
      <c r="T27" s="830">
        <f>P27</f>
        <v>2.2528077802331077E-2</v>
      </c>
      <c r="U27" s="829"/>
      <c r="V27" s="829"/>
      <c r="W27" s="829"/>
      <c r="X27" s="810"/>
      <c r="Y27" s="810"/>
      <c r="Z27" s="810">
        <f>Q27*'Cp calculations  (2)'!$H$23</f>
        <v>0</v>
      </c>
      <c r="AA27" s="810">
        <f>R27*'Cp calculations  (2)'!$H$20</f>
        <v>0</v>
      </c>
      <c r="AB27" s="810">
        <f>S27*'Cp calculations  (2)'!H43</f>
        <v>0</v>
      </c>
      <c r="AC27" s="810">
        <f>T27*'Cp calculations  (2)'!$H$11</f>
        <v>0.30428996517291473</v>
      </c>
      <c r="AD27" s="810">
        <f>U27*'Cp calculations  (2)'!$H$8</f>
        <v>0</v>
      </c>
      <c r="AE27" s="810"/>
      <c r="AF27" s="810"/>
      <c r="AG27" s="810"/>
    </row>
    <row r="28" spans="1:33" ht="15">
      <c r="A28" s="605" t="s">
        <v>45</v>
      </c>
      <c r="B28" s="606">
        <v>2.016</v>
      </c>
      <c r="C28" s="606">
        <v>16</v>
      </c>
      <c r="D28" s="606">
        <v>0</v>
      </c>
      <c r="E28" s="606">
        <f>B31</f>
        <v>18.015999999999998</v>
      </c>
      <c r="F28" s="606"/>
      <c r="G28" s="597">
        <f>'Data-Results vol current '!B12</f>
        <v>1E-4</v>
      </c>
      <c r="H28" s="598">
        <f t="shared" si="3"/>
        <v>1.00758E-4</v>
      </c>
      <c r="I28" s="599">
        <v>325</v>
      </c>
      <c r="J28" s="599">
        <f t="shared" si="4"/>
        <v>3.274635E-2</v>
      </c>
      <c r="K28" s="599">
        <v>61095</v>
      </c>
      <c r="L28" s="599">
        <f t="shared" si="5"/>
        <v>0.69724058426211621</v>
      </c>
      <c r="M28" s="2782"/>
      <c r="N28" s="2783"/>
      <c r="O28" s="600">
        <f>H28*'Cp calculations  (2)'!I17</f>
        <v>5.3282919090428349E-7</v>
      </c>
      <c r="P28" s="601">
        <f t="shared" si="6"/>
        <v>1.1412400102498015E-5</v>
      </c>
      <c r="Q28" s="829"/>
      <c r="R28" s="829">
        <f>P28*E28/B28</f>
        <v>1.0198700409057748E-4</v>
      </c>
      <c r="S28" s="829"/>
      <c r="T28" s="829">
        <f>U28*(1-0.231)/0.231</f>
        <v>3.0152324877416933E-4</v>
      </c>
      <c r="U28" s="829">
        <f>P28*C28/B28</f>
        <v>9.0574603988079485E-5</v>
      </c>
      <c r="V28" s="829"/>
      <c r="W28" s="829"/>
      <c r="X28" s="810"/>
      <c r="Y28" s="810"/>
      <c r="Z28" s="810">
        <f>Q28*'Cp calculations  (2)'!$H$23</f>
        <v>0</v>
      </c>
      <c r="AA28" s="810">
        <f>R28*'Cp calculations  (2)'!$H$20</f>
        <v>2.1428602748364669E-3</v>
      </c>
      <c r="AB28" s="810">
        <f>S28*'Cp calculations  (2)'!H44</f>
        <v>0</v>
      </c>
      <c r="AC28" s="810">
        <f>T28*'Cp calculations  (2)'!$H$11</f>
        <v>4.0727175959425297E-3</v>
      </c>
      <c r="AD28" s="810">
        <f>U28*'Cp calculations  (2)'!$H$8</f>
        <v>1.0704786008841143E-3</v>
      </c>
      <c r="AE28" s="810"/>
      <c r="AF28" s="810"/>
      <c r="AG28" s="810"/>
    </row>
    <row r="29" spans="1:33" ht="15">
      <c r="A29" s="605" t="s">
        <v>127</v>
      </c>
      <c r="B29" s="606">
        <v>44.094000000000001</v>
      </c>
      <c r="C29" s="606">
        <v>160</v>
      </c>
      <c r="D29" s="606">
        <f>3*B33</f>
        <v>132.03</v>
      </c>
      <c r="E29" s="606">
        <f>4*B31</f>
        <v>72.063999999999993</v>
      </c>
      <c r="F29" s="606"/>
      <c r="G29" s="597">
        <f>'Data-Results vol current '!B13</f>
        <v>4.1999999999999997E-3</v>
      </c>
      <c r="H29" s="598">
        <f t="shared" si="3"/>
        <v>4.2318359999999992E-3</v>
      </c>
      <c r="I29" s="599">
        <v>2523</v>
      </c>
      <c r="J29" s="599">
        <f t="shared" si="4"/>
        <v>10.676922227999999</v>
      </c>
      <c r="K29" s="599">
        <v>21669</v>
      </c>
      <c r="L29" s="599">
        <f t="shared" si="5"/>
        <v>155.79603762724855</v>
      </c>
      <c r="M29" s="2782"/>
      <c r="N29" s="2783"/>
      <c r="O29" s="600">
        <f>H29*'Cp calculations  (2)'!I32</f>
        <v>3.3568239026969852E-4</v>
      </c>
      <c r="P29" s="601">
        <f t="shared" si="6"/>
        <v>7.1898120645737477E-3</v>
      </c>
      <c r="Q29" s="829">
        <f>P29*D29/B29</f>
        <v>2.1528345962844649E-2</v>
      </c>
      <c r="R29" s="829">
        <f>P29*E29/B29</f>
        <v>1.1750501578932338E-2</v>
      </c>
      <c r="S29" s="829"/>
      <c r="T29" s="829">
        <f>U29*(1-0.231)/0.231</f>
        <v>8.6850512043157108E-2</v>
      </c>
      <c r="U29" s="829">
        <f>P29*C29/B29</f>
        <v>2.6089035477203239E-2</v>
      </c>
      <c r="V29" s="829"/>
      <c r="W29" s="829"/>
      <c r="X29" s="810"/>
      <c r="Y29" s="810"/>
      <c r="Z29" s="810">
        <f>Q29*'Cp calculations  (2)'!$H$23</f>
        <v>0.18504591916245106</v>
      </c>
      <c r="AA29" s="810">
        <f>R29*'Cp calculations  (2)'!$H$20</f>
        <v>0.24689109428623388</v>
      </c>
      <c r="AB29" s="810">
        <f>S29*'Cp calculations  (2)'!H47</f>
        <v>0</v>
      </c>
      <c r="AC29" s="810">
        <f>T29*'Cp calculations  (2)'!$H$11</f>
        <v>1.1731022733829291</v>
      </c>
      <c r="AD29" s="810">
        <f>U29*'Cp calculations  (2)'!$H$8</f>
        <v>0.30833978804619577</v>
      </c>
      <c r="AE29" s="810"/>
      <c r="AF29" s="810"/>
      <c r="AG29" s="810"/>
    </row>
    <row r="30" spans="1:33" ht="15">
      <c r="A30" s="605" t="s">
        <v>129</v>
      </c>
      <c r="B30" s="606">
        <v>58.12</v>
      </c>
      <c r="C30" s="606">
        <v>208</v>
      </c>
      <c r="D30" s="606">
        <f>4*B33</f>
        <v>176.04</v>
      </c>
      <c r="E30" s="606">
        <f>5*B31</f>
        <v>90.079999999999984</v>
      </c>
      <c r="F30" s="606"/>
      <c r="G30" s="597">
        <f>'Data-Results vol current '!B14</f>
        <v>2.8E-3</v>
      </c>
      <c r="H30" s="598">
        <f t="shared" si="3"/>
        <v>2.8212239999999998E-3</v>
      </c>
      <c r="I30" s="599">
        <v>3270</v>
      </c>
      <c r="J30" s="599">
        <f t="shared" si="4"/>
        <v>9.2254024799999996</v>
      </c>
      <c r="K30" s="599">
        <v>21321</v>
      </c>
      <c r="L30" s="599">
        <f t="shared" si="5"/>
        <v>1339.3969683597807</v>
      </c>
      <c r="M30" s="2782"/>
      <c r="N30" s="2783"/>
      <c r="O30" s="600">
        <f>H30*'Cp calculations  (2)'!J32</f>
        <v>2.933004720574037E-3</v>
      </c>
      <c r="P30" s="601">
        <f t="shared" si="6"/>
        <v>6.2820551022924845E-2</v>
      </c>
      <c r="Q30" s="829">
        <f>P30*D30/B30</f>
        <v>0.19027752584438556</v>
      </c>
      <c r="R30" s="829">
        <f>P30*E30/B30</f>
        <v>9.7365368825620593E-2</v>
      </c>
      <c r="S30" s="829"/>
      <c r="T30" s="829">
        <f>U30*(1-0.231)/0.231</f>
        <v>0.74843455525803271</v>
      </c>
      <c r="U30" s="829">
        <f>P30*C30/B30</f>
        <v>0.22482234364708137</v>
      </c>
      <c r="V30" s="829"/>
      <c r="W30" s="829"/>
      <c r="X30" s="810"/>
      <c r="Y30" s="810"/>
      <c r="Z30" s="810">
        <f>Q30*'Cp calculations  (2)'!$H$23</f>
        <v>1.6355218244169687</v>
      </c>
      <c r="AA30" s="810">
        <f>R30*'Cp calculations  (2)'!$H$20</f>
        <v>2.0457545827694279</v>
      </c>
      <c r="AB30" s="810">
        <f>S30*'Cp calculations  (2)'!H48</f>
        <v>0</v>
      </c>
      <c r="AC30" s="810">
        <f>T30*'Cp calculations  (2)'!$H$11</f>
        <v>10.109212457092427</v>
      </c>
      <c r="AD30" s="810">
        <f>U30*'Cp calculations  (2)'!$H$8</f>
        <v>2.6571190739789428</v>
      </c>
      <c r="AE30" s="810"/>
      <c r="AF30" s="810"/>
      <c r="AG30" s="810"/>
    </row>
    <row r="31" spans="1:33" ht="15">
      <c r="A31" s="605" t="s">
        <v>319</v>
      </c>
      <c r="B31" s="606">
        <v>18.015999999999998</v>
      </c>
      <c r="C31" s="606"/>
      <c r="D31" s="606"/>
      <c r="E31" s="606">
        <f>B31</f>
        <v>18.015999999999998</v>
      </c>
      <c r="F31" s="606"/>
      <c r="G31" s="597">
        <f>'Data-Results vol current '!B15</f>
        <v>0</v>
      </c>
      <c r="H31" s="598">
        <f t="shared" si="3"/>
        <v>0</v>
      </c>
      <c r="I31" s="599">
        <v>0</v>
      </c>
      <c r="J31" s="599">
        <f t="shared" si="4"/>
        <v>0</v>
      </c>
      <c r="K31" s="599">
        <v>0</v>
      </c>
      <c r="L31" s="599">
        <f t="shared" si="5"/>
        <v>0</v>
      </c>
      <c r="M31" s="2782"/>
      <c r="N31" s="2783"/>
      <c r="O31" s="600">
        <f>H31*'Cp calculations  (2)'!I20</f>
        <v>0</v>
      </c>
      <c r="P31" s="601">
        <f t="shared" si="6"/>
        <v>0</v>
      </c>
      <c r="Q31" s="829"/>
      <c r="R31" s="829">
        <f>O31</f>
        <v>0</v>
      </c>
      <c r="S31" s="829"/>
      <c r="T31" s="829"/>
      <c r="U31" s="829"/>
      <c r="V31" s="829"/>
      <c r="W31" s="829"/>
      <c r="X31" s="810"/>
      <c r="Y31" s="810"/>
      <c r="Z31" s="810">
        <f>Q31*'Cp calculations  (2)'!$H$23</f>
        <v>0</v>
      </c>
      <c r="AA31" s="810">
        <f>R31*'Cp calculations  (2)'!$H$20</f>
        <v>0</v>
      </c>
      <c r="AB31" s="810">
        <f>S31*'Cp calculations  (2)'!H49</f>
        <v>0</v>
      </c>
      <c r="AC31" s="810">
        <f>T31*'Cp calculations  (2)'!$H$11</f>
        <v>0</v>
      </c>
      <c r="AD31" s="810">
        <f>U31*'Cp calculations  (2)'!$H$8</f>
        <v>0</v>
      </c>
      <c r="AE31" s="810"/>
      <c r="AF31" s="810"/>
      <c r="AG31" s="810"/>
    </row>
    <row r="32" spans="1:33" ht="15">
      <c r="A32" s="605" t="s">
        <v>132</v>
      </c>
      <c r="B32" s="606">
        <v>28.01</v>
      </c>
      <c r="C32" s="606">
        <v>16</v>
      </c>
      <c r="D32" s="606">
        <f>B33</f>
        <v>44.01</v>
      </c>
      <c r="E32" s="606"/>
      <c r="F32" s="606"/>
      <c r="G32" s="597">
        <f>'Data-Results vol current '!B16</f>
        <v>0</v>
      </c>
      <c r="H32" s="598">
        <f t="shared" si="3"/>
        <v>0</v>
      </c>
      <c r="I32" s="599">
        <v>321</v>
      </c>
      <c r="J32" s="599">
        <f t="shared" si="4"/>
        <v>0</v>
      </c>
      <c r="K32" s="599">
        <v>4347</v>
      </c>
      <c r="L32" s="599">
        <f t="shared" si="5"/>
        <v>0</v>
      </c>
      <c r="M32" s="2782"/>
      <c r="N32" s="2783"/>
      <c r="O32" s="600">
        <f>H32*'Cp calculations  (2)'!I14</f>
        <v>0</v>
      </c>
      <c r="P32" s="601">
        <f t="shared" si="6"/>
        <v>0</v>
      </c>
      <c r="Q32" s="829">
        <f>P32*D32/B32</f>
        <v>0</v>
      </c>
      <c r="R32" s="829"/>
      <c r="S32" s="829"/>
      <c r="T32" s="829">
        <f>U32*(1-0.231)/0.231</f>
        <v>0</v>
      </c>
      <c r="U32" s="829">
        <f>P32*C32/B32</f>
        <v>0</v>
      </c>
      <c r="V32" s="829"/>
      <c r="W32" s="829"/>
      <c r="X32" s="810"/>
      <c r="Y32" s="810"/>
      <c r="Z32" s="810">
        <f>Q32*'Cp calculations  (2)'!$H$23</f>
        <v>0</v>
      </c>
      <c r="AA32" s="810">
        <f>R32*'Cp calculations  (2)'!$H$20</f>
        <v>0</v>
      </c>
      <c r="AB32" s="810">
        <f>S32*'Cp calculations  (2)'!H50</f>
        <v>0</v>
      </c>
      <c r="AC32" s="810">
        <f>T32*'Cp calculations  (2)'!$H$11</f>
        <v>0</v>
      </c>
      <c r="AD32" s="810">
        <f>U32*'Cp calculations  (2)'!$H$8</f>
        <v>0</v>
      </c>
      <c r="AE32" s="810"/>
      <c r="AF32" s="810"/>
      <c r="AG32" s="810"/>
    </row>
    <row r="33" spans="1:33" ht="15">
      <c r="A33" s="605" t="s">
        <v>318</v>
      </c>
      <c r="B33" s="606">
        <v>44.01</v>
      </c>
      <c r="C33" s="606"/>
      <c r="D33" s="606">
        <f>B33</f>
        <v>44.01</v>
      </c>
      <c r="E33" s="606"/>
      <c r="F33" s="606"/>
      <c r="G33" s="597">
        <f>'Data-Results vol current '!B17</f>
        <v>2.0000000000000002E-5</v>
      </c>
      <c r="H33" s="598">
        <f t="shared" si="3"/>
        <v>2.0151599999999999E-5</v>
      </c>
      <c r="I33" s="599">
        <v>0</v>
      </c>
      <c r="J33" s="599">
        <f t="shared" si="4"/>
        <v>0</v>
      </c>
      <c r="K33" s="599">
        <v>0</v>
      </c>
      <c r="L33" s="599">
        <f t="shared" si="5"/>
        <v>0</v>
      </c>
      <c r="M33" s="2782"/>
      <c r="N33" s="2783"/>
      <c r="O33" s="600">
        <f>H33*'Cp calculations  (2)'!I23</f>
        <v>2.344448439978847E-6</v>
      </c>
      <c r="P33" s="601">
        <f t="shared" si="6"/>
        <v>5.0214560450991257E-5</v>
      </c>
      <c r="Q33" s="829">
        <f>P33*D33/B33</f>
        <v>5.0214560450991257E-5</v>
      </c>
      <c r="R33" s="829"/>
      <c r="S33" s="829"/>
      <c r="T33" s="829"/>
      <c r="U33" s="829"/>
      <c r="V33" s="829"/>
      <c r="W33" s="829"/>
      <c r="X33" s="810"/>
      <c r="Y33" s="810"/>
      <c r="Z33" s="810">
        <f>Q33*'Cp calculations  (2)'!$H$23</f>
        <v>4.3161697187647487E-4</v>
      </c>
      <c r="AA33" s="810">
        <f>R33*'Cp calculations  (2)'!$H$20</f>
        <v>0</v>
      </c>
      <c r="AB33" s="810">
        <f>S33*'Cp calculations  (2)'!H51</f>
        <v>0</v>
      </c>
      <c r="AC33" s="810">
        <f>T33*'Cp calculations  (2)'!$H$11</f>
        <v>0</v>
      </c>
      <c r="AD33" s="810">
        <f>U33*'Cp calculations  (2)'!$H$8</f>
        <v>0</v>
      </c>
      <c r="AE33" s="810"/>
      <c r="AF33" s="810"/>
      <c r="AG33" s="810"/>
    </row>
    <row r="34" spans="1:33" ht="15">
      <c r="A34" s="605" t="s">
        <v>320</v>
      </c>
      <c r="B34" s="606">
        <v>64.06</v>
      </c>
      <c r="C34" s="606"/>
      <c r="D34" s="606"/>
      <c r="E34" s="606"/>
      <c r="F34" s="606">
        <v>64</v>
      </c>
      <c r="G34" s="597">
        <f>'Data-Results vol current '!B18</f>
        <v>0</v>
      </c>
      <c r="H34" s="598">
        <f t="shared" si="3"/>
        <v>0</v>
      </c>
      <c r="I34" s="599">
        <v>0</v>
      </c>
      <c r="J34" s="599">
        <f t="shared" si="4"/>
        <v>0</v>
      </c>
      <c r="K34" s="599">
        <v>0</v>
      </c>
      <c r="L34" s="599">
        <f t="shared" si="5"/>
        <v>0</v>
      </c>
      <c r="M34" s="2782"/>
      <c r="N34" s="2783"/>
      <c r="O34" s="600">
        <f>H34*'Cp calculations  (2)'!I14</f>
        <v>0</v>
      </c>
      <c r="P34" s="601">
        <f t="shared" si="6"/>
        <v>0</v>
      </c>
      <c r="Q34" s="829"/>
      <c r="R34" s="829"/>
      <c r="S34" s="831">
        <f>P34</f>
        <v>0</v>
      </c>
      <c r="T34" s="829"/>
      <c r="U34" s="829"/>
      <c r="V34" s="829"/>
      <c r="W34" s="829"/>
      <c r="X34" s="810"/>
      <c r="Y34" s="810"/>
      <c r="Z34" s="810">
        <f>Q34*'Cp calculations  (2)'!$H$23</f>
        <v>0</v>
      </c>
      <c r="AA34" s="810">
        <f>R34*'Cp calculations  (2)'!$H$20</f>
        <v>0</v>
      </c>
      <c r="AB34" s="810">
        <f>S34*'Cp calculations  (2)'!H52</f>
        <v>0</v>
      </c>
      <c r="AC34" s="810">
        <f>T34*'Cp calculations  (2)'!$H$11</f>
        <v>0</v>
      </c>
      <c r="AD34" s="810">
        <f>U34*'Cp calculations  (2)'!$H$8</f>
        <v>0</v>
      </c>
      <c r="AE34" s="810"/>
      <c r="AF34" s="810"/>
      <c r="AG34" s="810"/>
    </row>
    <row r="35" spans="1:33" ht="15">
      <c r="A35" s="605" t="s">
        <v>48</v>
      </c>
      <c r="B35" s="606">
        <v>32</v>
      </c>
      <c r="C35" s="606">
        <v>-32</v>
      </c>
      <c r="D35" s="606"/>
      <c r="E35" s="606"/>
      <c r="F35" s="606"/>
      <c r="G35" s="597">
        <f>'Data-Results vol current '!B19</f>
        <v>1E-4</v>
      </c>
      <c r="H35" s="598">
        <f t="shared" si="3"/>
        <v>1.00758E-4</v>
      </c>
      <c r="I35" s="599">
        <v>0</v>
      </c>
      <c r="J35" s="599">
        <f t="shared" si="4"/>
        <v>0</v>
      </c>
      <c r="K35" s="599">
        <v>0</v>
      </c>
      <c r="L35" s="599">
        <f t="shared" si="5"/>
        <v>0</v>
      </c>
      <c r="M35" s="2782"/>
      <c r="N35" s="2783"/>
      <c r="O35" s="600">
        <f>H35*'Cp calculations  (2)'!I8</f>
        <v>8.5252670544685359E-6</v>
      </c>
      <c r="P35" s="601">
        <f t="shared" si="6"/>
        <v>1.8259840163996823E-4</v>
      </c>
      <c r="Q35" s="829"/>
      <c r="R35" s="829"/>
      <c r="S35" s="829"/>
      <c r="T35" s="829">
        <f>U35*(1-0.231)/0.231</f>
        <v>-6.0787086952872544E-4</v>
      </c>
      <c r="U35" s="829">
        <f>P35*C35/B35</f>
        <v>-1.8259840163996823E-4</v>
      </c>
      <c r="V35" s="829"/>
      <c r="W35" s="829"/>
      <c r="X35" s="810"/>
      <c r="Y35" s="810"/>
      <c r="Z35" s="810">
        <f>Q35*'Cp calculations  (2)'!$H$23</f>
        <v>0</v>
      </c>
      <c r="AA35" s="810">
        <f>R35*'Cp calculations  (2)'!$H$20</f>
        <v>0</v>
      </c>
      <c r="AB35" s="810">
        <f>S35*'Cp calculations  (2)'!H53</f>
        <v>0</v>
      </c>
      <c r="AC35" s="810">
        <f>T35*'Cp calculations  (2)'!$H$11</f>
        <v>-8.2105986734201403E-3</v>
      </c>
      <c r="AD35" s="810">
        <f>U35*'Cp calculations  (2)'!$H$8</f>
        <v>-2.1580848593823745E-3</v>
      </c>
      <c r="AE35" s="810"/>
      <c r="AF35" s="810"/>
      <c r="AG35" s="810"/>
    </row>
    <row r="36" spans="1:33" s="4" customFormat="1" ht="15">
      <c r="A36" s="608" t="s">
        <v>300</v>
      </c>
      <c r="B36" s="609"/>
      <c r="C36" s="609"/>
      <c r="D36" s="609"/>
      <c r="E36" s="609"/>
      <c r="F36" s="609"/>
      <c r="G36" s="610">
        <f>SUM(G25:G35)</f>
        <v>0.99241999999999997</v>
      </c>
      <c r="H36" s="611">
        <f>SUM(H25:H35)</f>
        <v>0.99994254359999979</v>
      </c>
      <c r="I36" s="612" t="s">
        <v>1113</v>
      </c>
      <c r="J36" s="612">
        <f>SUM(J25:J35)</f>
        <v>1033.217268552</v>
      </c>
      <c r="K36" s="612"/>
      <c r="L36" s="612">
        <f>SUM(L25:L35)</f>
        <v>23081.065532346693</v>
      </c>
      <c r="M36" s="2782"/>
      <c r="N36" s="2800"/>
      <c r="O36" s="614">
        <f>SUM(O25:O35)</f>
        <v>4.668861818011924E-2</v>
      </c>
      <c r="P36" s="615">
        <f t="shared" si="6"/>
        <v>1</v>
      </c>
      <c r="Q36" s="832">
        <f>SUM(Q25:Q35)</f>
        <v>2.7095835212488995</v>
      </c>
      <c r="R36" s="832">
        <f>SUM(R25:R35)</f>
        <v>2.1253493533810555</v>
      </c>
      <c r="S36" s="832">
        <f>SUM(S25:S35)</f>
        <v>0</v>
      </c>
      <c r="T36" s="832">
        <f>SUM(T25:T35)</f>
        <v>12.864032287414576</v>
      </c>
      <c r="U36" s="832">
        <f>SUM(U25:U35)</f>
        <v>3.8574609524322874</v>
      </c>
      <c r="V36" s="825"/>
      <c r="W36" s="833">
        <f>SUM(Q36:T36)</f>
        <v>17.69896516204453</v>
      </c>
      <c r="X36" s="811"/>
      <c r="Y36" s="811"/>
      <c r="Z36" s="812">
        <f>Q36*'Cp calculations  (2)'!$H$23</f>
        <v>23.290101994007586</v>
      </c>
      <c r="AA36" s="812">
        <f>R36*'Cp calculations  (2)'!$H$20</f>
        <v>44.655951413817505</v>
      </c>
      <c r="AB36" s="812">
        <f>S36*'Cp calculations  (2)'!H54</f>
        <v>0</v>
      </c>
      <c r="AC36" s="812">
        <f>T36*'Cp calculations  (2)'!$H$11</f>
        <v>173.75632182500686</v>
      </c>
      <c r="AD36" s="812">
        <f>U36*'Cp calculations  (2)'!$H$8</f>
        <v>45.590366631559093</v>
      </c>
      <c r="AE36" s="812">
        <f>SUM(Z36:AC36)</f>
        <v>241.70237523283197</v>
      </c>
      <c r="AF36" s="812"/>
      <c r="AG36" s="812"/>
    </row>
    <row r="37" spans="1:33">
      <c r="A37" s="620" t="s">
        <v>133</v>
      </c>
      <c r="B37" s="621"/>
      <c r="C37" s="621"/>
      <c r="D37" s="621"/>
      <c r="E37" s="621"/>
      <c r="F37" s="621"/>
      <c r="G37" s="622">
        <f>1-G36</f>
        <v>7.5800000000000312E-3</v>
      </c>
      <c r="H37" s="622">
        <f>1-H36</f>
        <v>5.7456400000210905E-5</v>
      </c>
      <c r="I37" s="623"/>
      <c r="J37" s="623"/>
      <c r="K37" s="623"/>
      <c r="L37" s="623"/>
      <c r="M37" s="2797"/>
      <c r="N37" s="2798"/>
      <c r="O37" s="626"/>
      <c r="P37" s="627">
        <f>SUM(P25:P35)</f>
        <v>1</v>
      </c>
      <c r="Q37" s="834">
        <f>Q36/$W$36</f>
        <v>0.15309276539283817</v>
      </c>
      <c r="R37" s="834">
        <f>R36/$W$36</f>
        <v>0.1200832553724029</v>
      </c>
      <c r="S37" s="834">
        <f>S36/$W$36</f>
        <v>0</v>
      </c>
      <c r="T37" s="834">
        <f>T36/$W$36</f>
        <v>0.72682397923475894</v>
      </c>
      <c r="U37" s="829"/>
      <c r="V37" s="829"/>
      <c r="W37" s="835">
        <f>SUM(Q37:T37)</f>
        <v>1</v>
      </c>
      <c r="X37" s="813"/>
      <c r="Y37" s="813"/>
      <c r="Z37" s="814">
        <f>Z36/$AE$36</f>
        <v>9.6358597930914919E-2</v>
      </c>
      <c r="AA37" s="814">
        <f>AA36/$AE$36</f>
        <v>0.18475594776758156</v>
      </c>
      <c r="AB37" s="814">
        <f>AB36/$AE$36</f>
        <v>0</v>
      </c>
      <c r="AC37" s="814">
        <f>AC36/$AE$36</f>
        <v>0.71888545430150341</v>
      </c>
      <c r="AD37" s="810"/>
      <c r="AE37" s="815">
        <f>SUM(Z37:AC37)</f>
        <v>0.99999999999999989</v>
      </c>
      <c r="AF37" s="810"/>
      <c r="AG37" s="810"/>
    </row>
    <row r="38" spans="1:33" s="804" customFormat="1" ht="15">
      <c r="A38" s="796"/>
      <c r="B38" s="796"/>
      <c r="C38" s="796"/>
      <c r="D38" s="796"/>
      <c r="E38" s="796"/>
      <c r="F38" s="796"/>
      <c r="G38" s="797"/>
      <c r="H38" s="797"/>
      <c r="I38" s="797"/>
      <c r="J38" s="797"/>
      <c r="K38" s="798"/>
      <c r="L38" s="799"/>
      <c r="M38" s="800"/>
      <c r="N38" s="801"/>
      <c r="O38" s="802"/>
      <c r="P38" s="803"/>
      <c r="Q38" s="836"/>
      <c r="R38" s="837"/>
      <c r="S38" s="838"/>
      <c r="T38" s="838"/>
      <c r="U38" s="839"/>
      <c r="V38" s="839"/>
      <c r="W38" s="840"/>
      <c r="X38" s="816"/>
      <c r="Y38" s="816"/>
      <c r="Z38" s="817"/>
      <c r="AA38" s="817"/>
      <c r="AB38" s="817"/>
      <c r="AC38" s="817"/>
      <c r="AD38" s="817"/>
      <c r="AE38" s="817"/>
      <c r="AF38" s="817"/>
      <c r="AG38" s="817"/>
    </row>
    <row r="39" spans="1:33" ht="15">
      <c r="A39" s="621" t="s">
        <v>178</v>
      </c>
      <c r="B39" s="621"/>
      <c r="C39" s="621"/>
      <c r="D39" s="621"/>
      <c r="E39" s="621"/>
      <c r="F39" s="621"/>
      <c r="G39" s="622"/>
      <c r="H39" s="622"/>
      <c r="I39" s="622"/>
      <c r="J39" s="622"/>
      <c r="K39" s="623"/>
      <c r="L39" s="623"/>
      <c r="M39" s="634" t="s">
        <v>178</v>
      </c>
      <c r="N39" s="148" t="s">
        <v>1116</v>
      </c>
      <c r="O39" s="635">
        <f>C57</f>
        <v>0</v>
      </c>
      <c r="P39" s="636"/>
      <c r="Q39" s="841"/>
      <c r="R39" s="841"/>
      <c r="S39" s="841"/>
      <c r="T39" s="842">
        <f>U39*(1-0.231)/0.231</f>
        <v>0</v>
      </c>
      <c r="U39" s="843">
        <f>U36*O39</f>
        <v>0</v>
      </c>
      <c r="V39" s="829"/>
      <c r="W39" s="835"/>
      <c r="X39" s="624" t="s">
        <v>301</v>
      </c>
      <c r="Y39" s="818">
        <f>O39</f>
        <v>0</v>
      </c>
      <c r="Z39" s="819">
        <v>0</v>
      </c>
      <c r="AA39" s="819">
        <v>0</v>
      </c>
      <c r="AB39" s="819">
        <v>0</v>
      </c>
      <c r="AC39" s="810">
        <f>T39*'Cp calculations  (2)'!H11</f>
        <v>0</v>
      </c>
      <c r="AD39" s="810">
        <f>Y39*AD36</f>
        <v>0</v>
      </c>
      <c r="AE39" s="810"/>
      <c r="AF39" s="810"/>
      <c r="AG39" s="810"/>
    </row>
    <row r="40" spans="1:33">
      <c r="A40" s="621"/>
      <c r="B40" s="621"/>
      <c r="C40" s="621"/>
      <c r="D40" s="621"/>
      <c r="E40" s="621"/>
      <c r="F40" s="621"/>
      <c r="G40" s="622"/>
      <c r="H40" s="622"/>
      <c r="I40" s="622"/>
      <c r="J40" s="622"/>
      <c r="K40" s="623"/>
      <c r="L40" s="623"/>
      <c r="M40" s="624" t="s">
        <v>179</v>
      </c>
      <c r="N40" s="625"/>
      <c r="O40" s="643"/>
      <c r="P40" s="644"/>
      <c r="Q40" s="844">
        <f>Q36</f>
        <v>2.7095835212488995</v>
      </c>
      <c r="R40" s="844">
        <f>R36+R38</f>
        <v>2.1253493533810555</v>
      </c>
      <c r="S40" s="844">
        <f>S36</f>
        <v>0</v>
      </c>
      <c r="T40" s="845">
        <f>T36+T39</f>
        <v>12.864032287414576</v>
      </c>
      <c r="U40" s="845">
        <f>U39</f>
        <v>0</v>
      </c>
      <c r="V40" s="829"/>
      <c r="W40" s="846">
        <f>SUM(Q40:U40)</f>
        <v>17.69896516204453</v>
      </c>
      <c r="X40" s="624" t="s">
        <v>180</v>
      </c>
      <c r="Y40" s="624"/>
      <c r="Z40" s="820">
        <f>Z36 +Z39</f>
        <v>23.290101994007586</v>
      </c>
      <c r="AA40" s="820">
        <f>AA36 +AA39</f>
        <v>44.655951413817505</v>
      </c>
      <c r="AB40" s="820">
        <f>AB36 +AB39</f>
        <v>0</v>
      </c>
      <c r="AC40" s="820">
        <f>AC36 +AC39</f>
        <v>173.75632182500686</v>
      </c>
      <c r="AD40" s="820">
        <f>AD39</f>
        <v>0</v>
      </c>
      <c r="AE40" s="821">
        <f>SUM(Z40:AD40)</f>
        <v>241.70237523283197</v>
      </c>
      <c r="AF40" s="810"/>
      <c r="AG40" s="810"/>
    </row>
    <row r="41" spans="1:33">
      <c r="A41" s="621"/>
      <c r="B41" s="621"/>
      <c r="C41" s="621"/>
      <c r="D41" s="621"/>
      <c r="E41" s="621"/>
      <c r="F41" s="621"/>
      <c r="G41" s="622"/>
      <c r="H41" s="622"/>
      <c r="I41" s="622"/>
      <c r="J41" s="622"/>
      <c r="K41" s="623"/>
      <c r="L41" s="623"/>
      <c r="M41" s="624" t="s">
        <v>181</v>
      </c>
      <c r="N41" s="625" t="s">
        <v>1116</v>
      </c>
      <c r="O41" s="643"/>
      <c r="P41" s="644"/>
      <c r="Q41" s="834">
        <f>Q40/$W$40</f>
        <v>0.15309276539283817</v>
      </c>
      <c r="R41" s="834">
        <f>R40/$W$40</f>
        <v>0.1200832553724029</v>
      </c>
      <c r="S41" s="834">
        <f>S40/$W$40</f>
        <v>0</v>
      </c>
      <c r="T41" s="834">
        <f>T40/$W$40</f>
        <v>0.72682397923475894</v>
      </c>
      <c r="U41" s="834">
        <f>U40/$W$40</f>
        <v>0</v>
      </c>
      <c r="V41" s="829"/>
      <c r="W41" s="835"/>
      <c r="X41" s="624" t="s">
        <v>182</v>
      </c>
      <c r="Y41" s="624"/>
      <c r="Z41" s="822">
        <f>Z40/$AE$40</f>
        <v>9.6358597930914919E-2</v>
      </c>
      <c r="AA41" s="822">
        <f>AA40/$AE$40</f>
        <v>0.18475594776758156</v>
      </c>
      <c r="AB41" s="822">
        <f>AB40/$AE$40</f>
        <v>0</v>
      </c>
      <c r="AC41" s="822">
        <f>AC40/$AE$40</f>
        <v>0.71888545430150341</v>
      </c>
      <c r="AD41" s="822">
        <f>AD40/$AE$40</f>
        <v>0</v>
      </c>
      <c r="AE41" s="810"/>
      <c r="AF41" s="810"/>
      <c r="AG41" s="810"/>
    </row>
    <row r="42" spans="1:33">
      <c r="A42" s="621"/>
      <c r="B42" s="621"/>
      <c r="C42" s="621"/>
      <c r="D42" s="621"/>
      <c r="E42" s="621"/>
      <c r="F42" s="621"/>
      <c r="G42" s="622"/>
      <c r="H42" s="622"/>
      <c r="I42" s="622"/>
      <c r="J42" s="622"/>
      <c r="K42" s="623"/>
      <c r="L42" s="623"/>
      <c r="M42" s="624" t="s">
        <v>183</v>
      </c>
      <c r="N42" s="625"/>
      <c r="O42" s="643"/>
      <c r="P42" s="644"/>
      <c r="Q42" s="844">
        <f>Q40</f>
        <v>2.7095835212488995</v>
      </c>
      <c r="R42" s="834">
        <v>0</v>
      </c>
      <c r="S42" s="844">
        <f>S40</f>
        <v>0</v>
      </c>
      <c r="T42" s="844">
        <f>T40</f>
        <v>12.864032287414576</v>
      </c>
      <c r="U42" s="844">
        <f>U40</f>
        <v>0</v>
      </c>
      <c r="V42" s="829"/>
      <c r="W42" s="846">
        <f>SUM(Q42:U42)</f>
        <v>15.573615808663476</v>
      </c>
      <c r="X42" s="624" t="s">
        <v>184</v>
      </c>
      <c r="Y42" s="624"/>
      <c r="Z42" s="820">
        <f>Z40</f>
        <v>23.290101994007586</v>
      </c>
      <c r="AA42" s="625">
        <v>0</v>
      </c>
      <c r="AB42" s="821">
        <f>AB40</f>
        <v>0</v>
      </c>
      <c r="AC42" s="821">
        <f>AC40</f>
        <v>173.75632182500686</v>
      </c>
      <c r="AD42" s="821">
        <f>AD40</f>
        <v>0</v>
      </c>
      <c r="AE42" s="821">
        <f>SUM(Z42:AD42)</f>
        <v>197.04642381901445</v>
      </c>
      <c r="AF42" s="810"/>
      <c r="AG42" s="810"/>
    </row>
    <row r="43" spans="1:33">
      <c r="A43" s="621"/>
      <c r="B43" s="621"/>
      <c r="C43" s="621"/>
      <c r="D43" s="621"/>
      <c r="E43" s="621"/>
      <c r="F43" s="621"/>
      <c r="G43" s="622"/>
      <c r="H43" s="622"/>
      <c r="I43" s="622"/>
      <c r="J43" s="622"/>
      <c r="K43" s="623"/>
      <c r="L43" s="623"/>
      <c r="M43" s="624" t="s">
        <v>185</v>
      </c>
      <c r="N43" s="625" t="s">
        <v>1116</v>
      </c>
      <c r="O43" s="643"/>
      <c r="P43" s="644"/>
      <c r="Q43" s="834">
        <f>Q42/$W$42</f>
        <v>0.17398551206981619</v>
      </c>
      <c r="R43" s="834">
        <f>R42/$W$42</f>
        <v>0</v>
      </c>
      <c r="S43" s="834">
        <f>S42/$W$42</f>
        <v>0</v>
      </c>
      <c r="T43" s="834">
        <f>T42/$W$42</f>
        <v>0.82601448793018373</v>
      </c>
      <c r="U43" s="834">
        <f>U42/$W$42</f>
        <v>0</v>
      </c>
      <c r="V43" s="829"/>
      <c r="W43" s="835"/>
      <c r="X43" s="624" t="s">
        <v>186</v>
      </c>
      <c r="Y43" s="624"/>
      <c r="Z43" s="822">
        <f>Z42/$AE$42</f>
        <v>0.11819601463764375</v>
      </c>
      <c r="AA43" s="822">
        <f>AA42/$AE$42</f>
        <v>0</v>
      </c>
      <c r="AB43" s="822">
        <f>AB42/$AE$42</f>
        <v>0</v>
      </c>
      <c r="AC43" s="822">
        <f>AC42/$AE$42</f>
        <v>0.88180398536235627</v>
      </c>
      <c r="AD43" s="822">
        <f>AD42/$AE$42</f>
        <v>0</v>
      </c>
      <c r="AE43" s="810"/>
      <c r="AF43" s="810"/>
      <c r="AG43" s="810"/>
    </row>
    <row r="44" spans="1:33">
      <c r="A44" s="652"/>
      <c r="B44" s="652"/>
      <c r="C44" s="652"/>
      <c r="D44" s="652"/>
      <c r="E44" s="652"/>
      <c r="F44" s="652"/>
      <c r="G44" s="653"/>
      <c r="H44" s="653"/>
      <c r="I44" s="653"/>
      <c r="J44" s="653"/>
      <c r="K44" s="654"/>
      <c r="L44" s="654"/>
      <c r="M44" s="655"/>
      <c r="N44" s="656"/>
      <c r="O44" s="643"/>
      <c r="P44" s="644"/>
      <c r="Q44" s="847"/>
      <c r="R44" s="847"/>
      <c r="S44" s="847"/>
      <c r="T44" s="847"/>
      <c r="U44" s="847"/>
      <c r="V44" s="848"/>
      <c r="W44" s="849"/>
      <c r="X44" s="813"/>
      <c r="Y44" s="813"/>
      <c r="Z44" s="810"/>
      <c r="AA44" s="810"/>
      <c r="AB44" s="810"/>
      <c r="AC44" s="810"/>
      <c r="AD44" s="810"/>
      <c r="AE44" s="810"/>
      <c r="AF44" s="810"/>
      <c r="AG44" s="810"/>
    </row>
    <row r="45" spans="1:33">
      <c r="A45" s="660"/>
      <c r="B45" s="660"/>
      <c r="C45" s="660"/>
      <c r="D45" s="660"/>
      <c r="E45" s="660"/>
      <c r="F45" s="660"/>
      <c r="G45" s="661"/>
      <c r="H45" s="661"/>
      <c r="I45" s="661"/>
      <c r="J45" s="661"/>
      <c r="K45" s="662"/>
      <c r="L45" s="662"/>
      <c r="M45" s="95"/>
      <c r="N45" s="643"/>
      <c r="O45" s="643"/>
      <c r="P45" s="644"/>
      <c r="Q45" s="850"/>
      <c r="R45" s="850"/>
      <c r="S45" s="850"/>
      <c r="T45" s="850"/>
      <c r="U45" s="850"/>
      <c r="V45" s="851"/>
      <c r="W45" s="852"/>
      <c r="X45" s="823"/>
      <c r="Y45" s="813"/>
      <c r="Z45" s="810"/>
      <c r="AA45" s="810"/>
      <c r="AB45" s="810"/>
      <c r="AC45" s="810"/>
      <c r="AD45" s="810"/>
      <c r="AE45" s="810"/>
      <c r="AF45" s="810"/>
      <c r="AG45" s="810"/>
    </row>
    <row r="46" spans="1:33">
      <c r="A46" s="660"/>
      <c r="B46" s="660"/>
      <c r="C46" s="660"/>
      <c r="D46" s="660"/>
      <c r="E46" s="660"/>
      <c r="F46" s="660"/>
      <c r="G46" s="661"/>
      <c r="H46" s="661"/>
      <c r="I46" s="661"/>
      <c r="J46" s="661"/>
      <c r="K46" s="662"/>
      <c r="L46" s="667"/>
      <c r="M46" s="668" t="s">
        <v>187</v>
      </c>
      <c r="N46" s="669"/>
      <c r="O46" s="669">
        <f>1/O36</f>
        <v>21.418496391178611</v>
      </c>
      <c r="P46" s="670" t="s">
        <v>188</v>
      </c>
      <c r="Q46" s="850"/>
      <c r="R46" s="850"/>
      <c r="S46" s="850"/>
      <c r="T46" s="853" t="s">
        <v>189</v>
      </c>
      <c r="U46" s="850"/>
      <c r="V46" s="851">
        <f>U36*(1+O39)/0.231</f>
        <v>16.698965162044534</v>
      </c>
      <c r="W46" s="852"/>
      <c r="X46" s="823"/>
      <c r="Y46" s="813"/>
      <c r="Z46" s="810"/>
      <c r="AA46" s="810"/>
      <c r="AB46" s="810"/>
      <c r="AC46" s="810"/>
      <c r="AD46" s="810"/>
      <c r="AE46" s="810"/>
      <c r="AF46" s="810"/>
      <c r="AG46" s="810"/>
    </row>
    <row r="47" spans="1:33" ht="25.5">
      <c r="A47" s="660" t="s">
        <v>190</v>
      </c>
      <c r="B47" s="660" t="s">
        <v>162</v>
      </c>
      <c r="C47" s="672">
        <f>L36</f>
        <v>23081.065532346693</v>
      </c>
      <c r="D47" s="660"/>
      <c r="E47" s="660"/>
      <c r="F47" s="660"/>
      <c r="G47" s="661"/>
      <c r="H47" s="661"/>
      <c r="I47" s="661"/>
      <c r="J47" s="661"/>
      <c r="K47" s="662"/>
      <c r="L47" s="662"/>
      <c r="M47" s="95"/>
      <c r="N47" s="643"/>
      <c r="O47" s="643"/>
      <c r="P47" s="644"/>
      <c r="Q47" s="850"/>
      <c r="R47" s="850"/>
      <c r="S47" s="850"/>
      <c r="T47" s="850"/>
      <c r="U47" s="850"/>
      <c r="V47" s="851"/>
      <c r="W47" s="852"/>
      <c r="X47" s="823"/>
      <c r="Y47" s="813"/>
      <c r="Z47" s="810"/>
      <c r="AA47" s="810"/>
      <c r="AB47" s="810"/>
      <c r="AC47" s="810"/>
      <c r="AD47" s="810"/>
      <c r="AE47" s="810"/>
      <c r="AF47" s="810"/>
      <c r="AG47" s="810"/>
    </row>
    <row r="48" spans="1:33">
      <c r="A48" s="660"/>
      <c r="B48" s="660" t="s">
        <v>1064</v>
      </c>
      <c r="C48" s="672">
        <f>J36</f>
        <v>1033.217268552</v>
      </c>
      <c r="D48" s="660"/>
      <c r="E48" s="672" t="s">
        <v>1113</v>
      </c>
      <c r="F48" s="660"/>
      <c r="G48" s="661"/>
      <c r="H48" s="661"/>
      <c r="I48" s="661"/>
      <c r="J48" s="661"/>
      <c r="K48" s="662"/>
      <c r="L48" s="662"/>
      <c r="M48" s="95"/>
      <c r="N48" s="643"/>
      <c r="O48" s="14"/>
      <c r="P48" s="633"/>
      <c r="Q48" s="673"/>
      <c r="R48" s="673"/>
      <c r="S48" s="673"/>
      <c r="T48" s="673"/>
      <c r="W48" s="138"/>
      <c r="X48" s="138"/>
      <c r="Y48" s="138"/>
      <c r="AC48" s="563">
        <f>AC40*O36</f>
        <v>8.1124425660696655</v>
      </c>
    </row>
    <row r="49" spans="1:29" ht="25.5">
      <c r="A49" s="660" t="s">
        <v>191</v>
      </c>
      <c r="B49" s="660" t="s">
        <v>162</v>
      </c>
      <c r="C49" s="672">
        <f>C19</f>
        <v>23081.065532346693</v>
      </c>
      <c r="D49" s="660"/>
      <c r="E49" s="672"/>
      <c r="F49" s="660"/>
      <c r="G49" s="661"/>
      <c r="H49" s="661"/>
      <c r="I49" s="661"/>
      <c r="J49" s="661"/>
      <c r="K49" s="662"/>
      <c r="L49" s="662"/>
      <c r="M49" s="95"/>
      <c r="N49" s="643"/>
      <c r="O49" s="14"/>
      <c r="P49" s="633"/>
      <c r="Q49" s="673"/>
      <c r="R49" s="673"/>
      <c r="S49" s="673"/>
      <c r="T49" s="673"/>
      <c r="U49" s="563"/>
      <c r="W49" s="138"/>
      <c r="X49" s="138"/>
      <c r="Y49" s="138"/>
      <c r="AC49" s="563"/>
    </row>
    <row r="50" spans="1:29">
      <c r="A50" s="660"/>
      <c r="B50" s="660"/>
      <c r="C50" s="672"/>
      <c r="D50" s="660"/>
      <c r="E50" s="672"/>
      <c r="F50" s="660"/>
      <c r="G50" s="661"/>
      <c r="H50" s="661"/>
      <c r="I50" s="661"/>
      <c r="J50" s="661"/>
      <c r="K50" s="662"/>
      <c r="L50" s="662"/>
      <c r="M50" s="95"/>
      <c r="N50" s="643"/>
      <c r="O50" s="14"/>
      <c r="P50" s="633"/>
      <c r="Q50" s="673"/>
      <c r="R50" s="673"/>
      <c r="S50" s="673"/>
      <c r="T50" s="673"/>
      <c r="W50" s="138"/>
      <c r="X50" s="138"/>
      <c r="Y50" s="138"/>
      <c r="AC50" s="563"/>
    </row>
    <row r="51" spans="1:29">
      <c r="A51" s="2778"/>
      <c r="B51" s="2778"/>
      <c r="C51" s="2778"/>
      <c r="D51" s="2778"/>
      <c r="E51" s="2778"/>
      <c r="F51" s="2778"/>
      <c r="G51" s="2778"/>
      <c r="H51" s="2778"/>
      <c r="I51" s="2778"/>
      <c r="J51" s="2778"/>
      <c r="K51" s="2778"/>
      <c r="L51" s="2778"/>
      <c r="M51" s="2778"/>
      <c r="N51" s="2778"/>
      <c r="O51" s="9"/>
      <c r="P51" s="9"/>
      <c r="Z51" t="s">
        <v>1113</v>
      </c>
    </row>
    <row r="52" spans="1:29">
      <c r="A52" s="674" t="s">
        <v>192</v>
      </c>
      <c r="B52" s="674" t="s">
        <v>1176</v>
      </c>
      <c r="C52" s="9">
        <f>'Data-Results vol current '!C25</f>
        <v>0</v>
      </c>
      <c r="D52" s="9"/>
      <c r="E52" s="9"/>
      <c r="F52" s="9"/>
      <c r="G52" s="9"/>
      <c r="H52" s="9"/>
      <c r="I52" s="9"/>
      <c r="J52" s="9"/>
      <c r="K52" s="9"/>
      <c r="L52" s="9"/>
      <c r="M52" s="674" t="s">
        <v>193</v>
      </c>
      <c r="N52" s="9"/>
      <c r="O52" s="9"/>
      <c r="P52" s="9"/>
      <c r="Q52" s="675">
        <f t="shared" ref="Q52:W52" si="7">Q40*$O$36</f>
        <v>0.12650671045073286</v>
      </c>
      <c r="R52" s="675">
        <f t="shared" si="7"/>
        <v>9.9229624459371418E-2</v>
      </c>
      <c r="S52" s="675">
        <f t="shared" si="7"/>
        <v>0</v>
      </c>
      <c r="T52" s="675">
        <f t="shared" si="7"/>
        <v>0.600603891723825</v>
      </c>
      <c r="U52" s="675">
        <f t="shared" si="7"/>
        <v>0</v>
      </c>
      <c r="V52" s="675">
        <f t="shared" si="7"/>
        <v>0</v>
      </c>
      <c r="W52" s="675">
        <f t="shared" si="7"/>
        <v>0.82634022663392936</v>
      </c>
    </row>
    <row r="53" spans="1:29">
      <c r="A53" s="674" t="s">
        <v>433</v>
      </c>
      <c r="B53" s="9" t="str">
        <f>B52</f>
        <v>Deg. F</v>
      </c>
      <c r="C53" s="9">
        <f>'Data-Results vol current '!C26</f>
        <v>0</v>
      </c>
      <c r="D53" s="9"/>
      <c r="E53" s="9"/>
      <c r="F53" s="9"/>
      <c r="G53" s="9"/>
      <c r="H53" s="9"/>
      <c r="I53" s="9"/>
      <c r="J53" s="9"/>
      <c r="K53" s="9"/>
      <c r="L53" s="9"/>
      <c r="M53" s="674" t="s">
        <v>194</v>
      </c>
      <c r="N53" s="9"/>
      <c r="O53" s="9"/>
      <c r="P53" s="9"/>
    </row>
    <row r="54" spans="1:29">
      <c r="A54" s="9"/>
      <c r="B54" s="9"/>
      <c r="C54" s="9"/>
      <c r="D54" s="9"/>
      <c r="E54" s="9"/>
      <c r="F54" s="9"/>
      <c r="G54" s="9"/>
      <c r="H54" s="9"/>
      <c r="I54" s="9"/>
      <c r="J54" s="9"/>
      <c r="K54" s="9"/>
      <c r="L54" s="9"/>
      <c r="M54" s="9"/>
      <c r="N54" s="9"/>
      <c r="O54" s="9"/>
      <c r="P54" s="9"/>
      <c r="U54" s="476" t="s">
        <v>1113</v>
      </c>
    </row>
    <row r="55" spans="1:29">
      <c r="A55" s="674" t="s">
        <v>434</v>
      </c>
      <c r="B55" s="9" t="str">
        <f>B52</f>
        <v>Deg. F</v>
      </c>
      <c r="C55" s="9">
        <f>'Data-Results vol current '!C27</f>
        <v>0</v>
      </c>
      <c r="D55" s="9"/>
      <c r="E55" s="9"/>
      <c r="F55" s="9"/>
      <c r="G55" s="9"/>
      <c r="H55" s="9"/>
      <c r="I55" s="9"/>
      <c r="J55" s="9"/>
      <c r="K55" s="9"/>
      <c r="L55" s="9"/>
      <c r="M55" s="9"/>
      <c r="N55" s="9"/>
      <c r="O55" s="9"/>
      <c r="P55" s="9"/>
    </row>
    <row r="56" spans="1:29">
      <c r="A56" s="9"/>
      <c r="B56" s="9"/>
      <c r="C56" s="9"/>
      <c r="D56" s="9"/>
      <c r="E56" s="9"/>
      <c r="F56" s="9"/>
      <c r="G56" s="9"/>
      <c r="H56" s="9"/>
      <c r="I56" s="9"/>
      <c r="J56" s="9"/>
      <c r="K56" s="9"/>
      <c r="L56" s="9"/>
      <c r="M56" s="9"/>
      <c r="N56" s="9"/>
      <c r="O56" s="9"/>
      <c r="P56" s="9"/>
    </row>
    <row r="57" spans="1:29">
      <c r="A57" s="674" t="s">
        <v>195</v>
      </c>
      <c r="B57" s="674" t="s">
        <v>1116</v>
      </c>
      <c r="C57" s="676">
        <f>'Data-Results vol current '!C28</f>
        <v>0</v>
      </c>
      <c r="D57" s="9"/>
      <c r="E57" s="9"/>
      <c r="F57" s="9"/>
      <c r="G57" s="9"/>
      <c r="H57" s="9"/>
      <c r="I57" s="9"/>
      <c r="J57" s="9"/>
      <c r="K57" s="9"/>
      <c r="L57" s="9"/>
      <c r="M57" s="9"/>
      <c r="N57" s="9"/>
      <c r="O57" s="9"/>
      <c r="P57" s="9"/>
    </row>
    <row r="58" spans="1:29">
      <c r="A58" s="9"/>
      <c r="B58" s="9"/>
      <c r="C58" s="9"/>
      <c r="D58" s="9"/>
      <c r="E58" s="9"/>
      <c r="F58" s="9"/>
      <c r="G58" s="9"/>
      <c r="H58" s="9"/>
      <c r="I58" s="9"/>
      <c r="J58" s="9"/>
      <c r="K58" s="9"/>
      <c r="L58" s="9"/>
      <c r="M58" s="9"/>
      <c r="N58" s="9"/>
      <c r="O58" s="9"/>
      <c r="P58" s="9"/>
    </row>
    <row r="59" spans="1:29">
      <c r="A59" s="674" t="s">
        <v>196</v>
      </c>
      <c r="B59" s="674" t="s">
        <v>197</v>
      </c>
      <c r="C59" s="9">
        <v>1</v>
      </c>
      <c r="D59" s="9"/>
      <c r="E59" s="9"/>
      <c r="F59" s="9"/>
      <c r="G59" s="9"/>
      <c r="H59" s="9"/>
      <c r="I59" s="9"/>
      <c r="J59" s="9"/>
      <c r="K59" s="9"/>
      <c r="L59" s="9"/>
      <c r="M59" s="9"/>
      <c r="N59" s="9"/>
      <c r="O59" s="9"/>
      <c r="P59" s="9"/>
    </row>
    <row r="60" spans="1:29">
      <c r="A60" s="674" t="s">
        <v>198</v>
      </c>
      <c r="B60" s="674" t="s">
        <v>197</v>
      </c>
      <c r="C60" s="677">
        <f>C78*(1+C57)</f>
        <v>16.698965162044534</v>
      </c>
      <c r="D60" s="9"/>
      <c r="E60" s="9"/>
      <c r="F60" s="674" t="s">
        <v>199</v>
      </c>
      <c r="G60" s="9"/>
      <c r="H60" s="9"/>
      <c r="I60" s="9"/>
      <c r="J60" s="9"/>
      <c r="K60" s="9"/>
      <c r="L60" s="9"/>
      <c r="M60" s="9"/>
      <c r="N60" s="9"/>
      <c r="O60" s="9"/>
      <c r="P60" s="9"/>
    </row>
    <row r="61" spans="1:29">
      <c r="A61" s="674" t="s">
        <v>200</v>
      </c>
      <c r="B61" s="674" t="s">
        <v>201</v>
      </c>
      <c r="C61" s="678">
        <f>(P25*'Cp calculations  (2)'!G26+'Calculations - vol current'!P26*'Cp calculations  (2)'!G32+'Calculations - vol current'!P27*'Cp calculations  (2)'!G11+'Calculations - vol current'!P28*'Cp calculations  (2)'!G17+'Calculations - vol current'!P29*'Cp calculations  (2)'!G35+'Calculations - vol current'!P30*'Cp calculations  (2)'!G38+'Calculations - vol current'!P31*'Cp calculations  (2)'!G20+'Calculations - vol current'!P32*'Cp calculations  (2)'!G14+'Calculations - vol current'!P33*'Cp calculations  (2)'!G23+'Calculations - vol current'!P34*'Cp calculations  (2)'!G41+'Calculations - vol current'!P35*'Cp calculations  (2)'!G8)</f>
        <v>0.66085062346213552</v>
      </c>
      <c r="D61" s="9"/>
      <c r="E61" s="9"/>
      <c r="F61" s="9"/>
      <c r="G61" s="9"/>
      <c r="H61" s="9"/>
      <c r="I61" s="9"/>
      <c r="J61" s="9"/>
      <c r="K61" s="9"/>
      <c r="L61" s="9"/>
      <c r="M61" s="9"/>
      <c r="N61" s="9"/>
      <c r="O61" s="9"/>
      <c r="P61" s="9"/>
    </row>
    <row r="62" spans="1:29">
      <c r="A62" s="679" t="s">
        <v>202</v>
      </c>
      <c r="B62" s="679" t="s">
        <v>1173</v>
      </c>
      <c r="C62" s="680">
        <f>C61*(C52-32)*C59</f>
        <v>-21.147219950788337</v>
      </c>
      <c r="D62" s="9"/>
      <c r="E62" s="9"/>
      <c r="F62" s="678">
        <f>C62</f>
        <v>-21.147219950788337</v>
      </c>
      <c r="G62" s="299">
        <f>F62/F64</f>
        <v>-9.1621506473138384E-4</v>
      </c>
      <c r="H62" s="9"/>
      <c r="I62" s="9"/>
      <c r="J62" s="9"/>
      <c r="K62" s="9"/>
      <c r="L62" s="9"/>
      <c r="M62" s="9"/>
      <c r="N62" s="9"/>
      <c r="O62" s="9"/>
      <c r="P62" s="9"/>
    </row>
    <row r="63" spans="1:29">
      <c r="A63" s="679" t="s">
        <v>203</v>
      </c>
      <c r="B63" s="679" t="s">
        <v>1173</v>
      </c>
      <c r="C63" s="680">
        <f>'Cp calculations  (2)'!Q55*('Calculations - vol current'!C53-32)*C60</f>
        <v>-128.79979978335206</v>
      </c>
      <c r="D63" s="9"/>
      <c r="E63" s="9"/>
      <c r="F63" s="678">
        <f>C63</f>
        <v>-128.79979978335206</v>
      </c>
      <c r="G63" s="299">
        <f>F63/F64</f>
        <v>-5.5803229535849232E-3</v>
      </c>
      <c r="H63" s="9"/>
      <c r="I63" s="9"/>
      <c r="J63" s="9"/>
      <c r="K63" s="9"/>
      <c r="L63" s="9"/>
      <c r="M63" s="9"/>
      <c r="N63" s="9"/>
      <c r="O63" s="9"/>
      <c r="P63" s="9"/>
    </row>
    <row r="64" spans="1:29">
      <c r="A64" s="679" t="s">
        <v>204</v>
      </c>
      <c r="B64" s="679" t="s">
        <v>1173</v>
      </c>
      <c r="C64" s="680">
        <f>C19</f>
        <v>23081.065532346693</v>
      </c>
      <c r="D64" s="9"/>
      <c r="E64" s="9"/>
      <c r="F64" s="299">
        <f>C19</f>
        <v>23081.065532346693</v>
      </c>
      <c r="G64" s="9"/>
      <c r="H64" s="9"/>
      <c r="I64" s="9"/>
      <c r="J64" s="9"/>
      <c r="K64" s="9"/>
      <c r="L64" s="9"/>
      <c r="M64" s="9"/>
      <c r="N64" s="9"/>
      <c r="O64" s="9"/>
      <c r="P64" s="9"/>
    </row>
    <row r="65" spans="1:16">
      <c r="A65" s="679" t="s">
        <v>205</v>
      </c>
      <c r="B65" s="679" t="s">
        <v>1173</v>
      </c>
      <c r="C65" s="680">
        <f>SUM(C62:C64)</f>
        <v>22931.118512612553</v>
      </c>
      <c r="D65" s="9"/>
      <c r="E65" s="9"/>
      <c r="F65" s="680">
        <f>SUM(F62:F64)</f>
        <v>22931.118512612553</v>
      </c>
      <c r="G65" s="9"/>
      <c r="H65" s="9"/>
      <c r="I65" s="9"/>
      <c r="J65" s="9"/>
      <c r="K65" s="9"/>
      <c r="L65" s="9"/>
      <c r="M65" s="9"/>
      <c r="N65" s="9"/>
      <c r="O65" s="9"/>
      <c r="P65" s="9"/>
    </row>
    <row r="66" spans="1:16">
      <c r="A66" s="674"/>
      <c r="B66" s="674"/>
      <c r="C66" s="678"/>
      <c r="D66" s="9"/>
      <c r="E66" s="9"/>
      <c r="F66" s="9"/>
      <c r="G66" s="9"/>
      <c r="H66" s="9"/>
      <c r="I66" s="9"/>
      <c r="J66" s="9"/>
      <c r="K66" s="9"/>
      <c r="L66" s="9"/>
      <c r="M66" s="9"/>
      <c r="N66" s="9"/>
      <c r="O66" s="9"/>
      <c r="P66" s="9"/>
    </row>
    <row r="67" spans="1:16" ht="15.75" thickBot="1">
      <c r="A67" s="674" t="s">
        <v>206</v>
      </c>
      <c r="B67" s="674"/>
      <c r="C67" s="678"/>
      <c r="D67" s="9"/>
      <c r="E67" s="674" t="s">
        <v>207</v>
      </c>
      <c r="F67" s="9"/>
      <c r="G67" s="9"/>
      <c r="H67" s="681" t="s">
        <v>208</v>
      </c>
      <c r="I67" s="9"/>
      <c r="J67" s="9"/>
      <c r="K67" s="9"/>
      <c r="L67" s="9"/>
      <c r="M67" s="9"/>
      <c r="N67" s="9"/>
      <c r="O67" s="9"/>
      <c r="P67" s="9"/>
    </row>
    <row r="68" spans="1:16" ht="15">
      <c r="A68" s="674" t="s">
        <v>209</v>
      </c>
      <c r="B68" s="674" t="s">
        <v>1173</v>
      </c>
      <c r="C68" s="682">
        <f>G9*(K73+(('Cp calculations  (2)'!G21+'Cp calculations  (2)'!G20)/2)*('Calculations - vol current'!C55-212))</f>
        <v>2179.0479672972228</v>
      </c>
      <c r="D68" s="683">
        <f>G9*(970+'Cp calculations  (2)'!G20*('Calculations - vol current'!C55-212))</f>
        <v>1861.6447034200116</v>
      </c>
      <c r="E68" s="683"/>
      <c r="F68" s="684">
        <f t="shared" ref="F68:F73" si="8">C68</f>
        <v>2179.0479672972228</v>
      </c>
      <c r="G68" s="9"/>
      <c r="H68" s="685">
        <f>G9*(K73+(('Cp calculations  (2)'!G21+'Cp calculations  (2)'!G20)/2)*('Calculations - vol current'!C55-K74))</f>
        <v>2245.8719985527573</v>
      </c>
      <c r="I68" s="686" t="s">
        <v>339</v>
      </c>
      <c r="J68" s="687"/>
      <c r="K68" s="687"/>
      <c r="L68" s="687" t="s">
        <v>210</v>
      </c>
      <c r="M68" s="688" t="s">
        <v>211</v>
      </c>
      <c r="N68" s="9"/>
      <c r="O68" s="9"/>
      <c r="P68" s="9"/>
    </row>
    <row r="69" spans="1:16" ht="15">
      <c r="A69" s="674" t="s">
        <v>212</v>
      </c>
      <c r="B69" s="674" t="s">
        <v>1173</v>
      </c>
      <c r="C69" s="682">
        <f>F9*(('Cp calculations  (2)'!G23+'Cp calculations  (2)'!G24)/2)*('Calculations - vol current'!C55-32)</f>
        <v>-17.638105097522882</v>
      </c>
      <c r="D69" s="682">
        <f>C69</f>
        <v>-17.638105097522882</v>
      </c>
      <c r="E69" s="683"/>
      <c r="F69" s="684">
        <f t="shared" si="8"/>
        <v>-17.638105097522882</v>
      </c>
      <c r="G69" s="9"/>
      <c r="H69" s="689">
        <f>F69</f>
        <v>-17.638105097522882</v>
      </c>
      <c r="I69" s="690" t="s">
        <v>213</v>
      </c>
      <c r="J69" s="691"/>
      <c r="K69" s="691" t="s">
        <v>342</v>
      </c>
      <c r="L69" s="691">
        <v>1096.7</v>
      </c>
      <c r="M69" s="692">
        <v>1.2999999999999999E-2</v>
      </c>
      <c r="N69" s="9"/>
      <c r="O69" s="9"/>
      <c r="P69" s="9"/>
    </row>
    <row r="70" spans="1:16" ht="15">
      <c r="A70" s="674" t="s">
        <v>214</v>
      </c>
      <c r="B70" s="674" t="s">
        <v>1173</v>
      </c>
      <c r="C70" s="682">
        <f>H9*(('Cp calculations  (2)'!G12 + 'Cp calculations  (2)'!G11)/2)*('Calculations - vol current'!C55-32)</f>
        <v>-100.98086118642294</v>
      </c>
      <c r="D70" s="682">
        <f>C70</f>
        <v>-100.98086118642294</v>
      </c>
      <c r="E70" s="683"/>
      <c r="F70" s="684">
        <f t="shared" si="8"/>
        <v>-100.98086118642294</v>
      </c>
      <c r="G70" s="9"/>
      <c r="H70" s="689">
        <f>F70</f>
        <v>-100.98086118642294</v>
      </c>
      <c r="I70" s="690"/>
      <c r="J70" s="691"/>
      <c r="K70" s="691"/>
      <c r="L70" s="691"/>
      <c r="M70" s="692"/>
      <c r="N70" s="9"/>
      <c r="O70" s="9"/>
      <c r="P70" s="9"/>
    </row>
    <row r="71" spans="1:16" ht="15">
      <c r="A71" s="674" t="s">
        <v>215</v>
      </c>
      <c r="B71" s="674" t="s">
        <v>1173</v>
      </c>
      <c r="C71" s="682">
        <f>I9*(('Cp calculations  (2)'!G9+'Cp calculations  (2)'!G8)/2)*('Calculations - vol current'!C55-32)</f>
        <v>0</v>
      </c>
      <c r="D71" s="682">
        <f>C71</f>
        <v>0</v>
      </c>
      <c r="E71" s="683"/>
      <c r="F71" s="684">
        <f t="shared" si="8"/>
        <v>0</v>
      </c>
      <c r="G71" s="9"/>
      <c r="H71" s="689">
        <f>F71</f>
        <v>0</v>
      </c>
      <c r="I71" s="690" t="s">
        <v>346</v>
      </c>
      <c r="J71" s="691"/>
      <c r="K71" s="693">
        <f>G13</f>
        <v>0.18475594776758156</v>
      </c>
      <c r="L71" s="691" t="s">
        <v>216</v>
      </c>
      <c r="M71" s="692"/>
      <c r="N71" s="9"/>
      <c r="O71" s="9"/>
      <c r="P71" s="9"/>
    </row>
    <row r="72" spans="1:16" ht="15">
      <c r="A72" s="674" t="s">
        <v>217</v>
      </c>
      <c r="B72" s="674" t="s">
        <v>1173</v>
      </c>
      <c r="C72" s="682">
        <f>K9*'Cp calculations  (2)'!G41*('Calculations - vol current'!C55-32)</f>
        <v>0</v>
      </c>
      <c r="D72" s="682">
        <f>C72</f>
        <v>0</v>
      </c>
      <c r="E72" s="683"/>
      <c r="F72" s="684">
        <f t="shared" si="8"/>
        <v>0</v>
      </c>
      <c r="G72" s="9"/>
      <c r="H72" s="689">
        <f>F72</f>
        <v>0</v>
      </c>
      <c r="I72" s="690" t="s">
        <v>101</v>
      </c>
      <c r="J72" s="691"/>
      <c r="K72" s="694">
        <f>K71*29.926</f>
        <v>5.5290064928926457</v>
      </c>
      <c r="L72" s="691" t="s">
        <v>350</v>
      </c>
      <c r="M72" s="692"/>
      <c r="N72" s="9"/>
      <c r="O72" s="9"/>
      <c r="P72" s="9"/>
    </row>
    <row r="73" spans="1:16" ht="15.75">
      <c r="A73" s="674" t="s">
        <v>218</v>
      </c>
      <c r="B73" s="674" t="s">
        <v>1173</v>
      </c>
      <c r="C73" s="682">
        <f>SUM(C68:C72)</f>
        <v>2060.4290010132772</v>
      </c>
      <c r="D73" s="682">
        <f>SUM(D68:D72)</f>
        <v>1743.0257371360658</v>
      </c>
      <c r="E73" s="683"/>
      <c r="F73" s="684">
        <f t="shared" si="8"/>
        <v>2060.4290010132772</v>
      </c>
      <c r="G73" s="299"/>
      <c r="H73" s="695">
        <f>SUM(H68:H72)</f>
        <v>2127.2530322688117</v>
      </c>
      <c r="I73" s="690" t="s">
        <v>353</v>
      </c>
      <c r="J73" s="691"/>
      <c r="K73" s="696">
        <f>L69*K72^M69</f>
        <v>1121.3527585645638</v>
      </c>
      <c r="L73" s="691" t="s">
        <v>354</v>
      </c>
      <c r="M73" s="692"/>
      <c r="N73" s="9"/>
      <c r="O73" s="9"/>
      <c r="P73" s="9"/>
    </row>
    <row r="74" spans="1:16" ht="15.75">
      <c r="A74" s="674"/>
      <c r="B74" s="674"/>
      <c r="C74" s="682"/>
      <c r="D74" s="683"/>
      <c r="E74" s="683"/>
      <c r="F74" s="697"/>
      <c r="G74" s="9"/>
      <c r="H74" s="698"/>
      <c r="I74" s="690" t="s">
        <v>362</v>
      </c>
      <c r="J74" s="691"/>
      <c r="K74" s="699">
        <f>K75*LN(K72) +L76</f>
        <v>142.62968317408277</v>
      </c>
      <c r="L74" s="691" t="s">
        <v>1175</v>
      </c>
      <c r="M74" s="692"/>
      <c r="N74" s="9"/>
      <c r="O74" s="9"/>
      <c r="P74" s="9"/>
    </row>
    <row r="75" spans="1:16" ht="15">
      <c r="A75" s="674" t="s">
        <v>219</v>
      </c>
      <c r="B75" s="674" t="s">
        <v>1116</v>
      </c>
      <c r="C75" s="700">
        <f>(C65-C73)/C64</f>
        <v>0.90423422966978229</v>
      </c>
      <c r="D75" s="700">
        <f>(C65-D73)/C64</f>
        <v>0.9179859025911381</v>
      </c>
      <c r="E75" s="700">
        <f>AVERAGE(C75:D75)</f>
        <v>0.91111006613046019</v>
      </c>
      <c r="F75" s="701">
        <f>(F65-F73)/F64</f>
        <v>0.90423422966978229</v>
      </c>
      <c r="G75" s="9"/>
      <c r="H75" s="698">
        <f>(F65-H73)/F64</f>
        <v>0.90133904135354603</v>
      </c>
      <c r="I75" s="690"/>
      <c r="J75" s="691" t="s">
        <v>220</v>
      </c>
      <c r="K75" s="702">
        <v>36.009</v>
      </c>
      <c r="L75" s="691"/>
      <c r="M75" s="692"/>
      <c r="N75" s="9"/>
      <c r="O75" s="9"/>
      <c r="P75" s="9"/>
    </row>
    <row r="76" spans="1:16" ht="15">
      <c r="A76" s="674"/>
      <c r="B76" s="674"/>
      <c r="C76" s="678"/>
      <c r="D76" s="9"/>
      <c r="E76" s="9"/>
      <c r="F76" s="9"/>
      <c r="G76" s="9"/>
      <c r="H76" s="9"/>
      <c r="I76" s="690"/>
      <c r="J76" s="691"/>
      <c r="K76" s="703"/>
      <c r="L76" s="691">
        <f>81.054</f>
        <v>81.054000000000002</v>
      </c>
      <c r="M76" s="692"/>
      <c r="N76" s="9"/>
      <c r="O76" s="9"/>
      <c r="P76" s="9"/>
    </row>
    <row r="77" spans="1:16" ht="15.75" thickBot="1">
      <c r="A77" s="674" t="s">
        <v>221</v>
      </c>
      <c r="B77" s="674" t="s">
        <v>222</v>
      </c>
      <c r="C77" s="678">
        <f>U36</f>
        <v>3.8574609524322874</v>
      </c>
      <c r="D77" s="9"/>
      <c r="E77" s="9"/>
      <c r="F77" s="9"/>
      <c r="G77" s="9"/>
      <c r="H77" s="9"/>
      <c r="I77" s="704"/>
      <c r="J77" s="705"/>
      <c r="K77" s="706"/>
      <c r="L77" s="705"/>
      <c r="M77" s="707"/>
      <c r="N77" s="9"/>
      <c r="O77" s="9"/>
      <c r="P77" s="9"/>
    </row>
    <row r="78" spans="1:16" ht="16.5" thickBot="1">
      <c r="A78" s="674" t="s">
        <v>223</v>
      </c>
      <c r="B78" s="674" t="s">
        <v>222</v>
      </c>
      <c r="C78" s="678">
        <f>C77/0.231</f>
        <v>16.698965162044534</v>
      </c>
      <c r="D78" s="9"/>
      <c r="E78" s="9"/>
      <c r="F78" s="9"/>
      <c r="G78" s="9"/>
      <c r="H78" s="9"/>
      <c r="I78" s="708" t="s">
        <v>224</v>
      </c>
      <c r="J78" s="709"/>
      <c r="K78" s="710" t="s">
        <v>225</v>
      </c>
      <c r="L78" s="711"/>
      <c r="M78" s="712"/>
      <c r="N78" s="9"/>
      <c r="O78" s="9"/>
      <c r="P78" s="9"/>
    </row>
    <row r="79" spans="1:16" ht="15.75" thickBot="1">
      <c r="A79" s="713" t="s">
        <v>223</v>
      </c>
      <c r="B79" s="674" t="s">
        <v>226</v>
      </c>
      <c r="C79" s="682">
        <f>C78*'Cp calculations  (2)'!M58</f>
        <v>219.05434048608407</v>
      </c>
      <c r="D79" s="9"/>
      <c r="E79" s="9"/>
      <c r="F79" s="9"/>
      <c r="G79" s="9"/>
      <c r="H79" s="299"/>
      <c r="I79" s="714" t="s">
        <v>227</v>
      </c>
      <c r="J79" s="709"/>
      <c r="K79" s="715" t="s">
        <v>228</v>
      </c>
      <c r="L79" s="715"/>
      <c r="M79" s="716"/>
      <c r="N79" s="9"/>
      <c r="O79" s="9"/>
      <c r="P79" s="9"/>
    </row>
    <row r="80" spans="1:16" ht="15">
      <c r="A80" s="674"/>
      <c r="B80" s="713" t="s">
        <v>229</v>
      </c>
      <c r="C80" s="717">
        <f>C79*O36</f>
        <v>10.227344463652615</v>
      </c>
      <c r="D80" s="718"/>
      <c r="E80" s="9"/>
      <c r="F80" s="718"/>
      <c r="G80" s="299"/>
      <c r="H80" s="9"/>
      <c r="I80" s="690"/>
      <c r="J80" s="691"/>
      <c r="K80" s="719"/>
      <c r="L80" s="691"/>
      <c r="M80" s="692"/>
      <c r="N80" s="9"/>
      <c r="O80" s="9"/>
      <c r="P80" s="9"/>
    </row>
    <row r="81" spans="1:27" ht="15">
      <c r="A81" s="674"/>
      <c r="B81" s="674"/>
      <c r="C81" s="678"/>
      <c r="D81" s="678"/>
      <c r="E81" s="9"/>
      <c r="F81" s="9"/>
      <c r="G81" s="9"/>
      <c r="H81" s="299"/>
      <c r="I81" s="690"/>
      <c r="J81" s="691" t="s">
        <v>230</v>
      </c>
      <c r="K81" s="691"/>
      <c r="L81" s="691"/>
      <c r="M81" s="692"/>
      <c r="N81" s="9"/>
      <c r="O81" s="9"/>
      <c r="P81" s="9"/>
    </row>
    <row r="82" spans="1:27" ht="15.75" thickBot="1">
      <c r="A82" s="674" t="s">
        <v>142</v>
      </c>
      <c r="B82" s="674" t="s">
        <v>226</v>
      </c>
      <c r="C82" s="678">
        <f>C79*(1+$C$57)</f>
        <v>219.05434048608407</v>
      </c>
      <c r="D82" s="678"/>
      <c r="E82" s="9"/>
      <c r="F82" s="9"/>
      <c r="G82" s="9"/>
      <c r="H82" s="9"/>
      <c r="I82" s="720"/>
      <c r="J82" s="705"/>
      <c r="K82" s="705"/>
      <c r="L82" s="705"/>
      <c r="M82" s="707"/>
      <c r="N82" s="9"/>
      <c r="O82" s="9"/>
      <c r="P82" s="9"/>
    </row>
    <row r="83" spans="1:27">
      <c r="A83" s="674"/>
      <c r="B83" s="713" t="s">
        <v>229</v>
      </c>
      <c r="C83" s="717">
        <f>C80*(1+$C$57)</f>
        <v>10.227344463652615</v>
      </c>
      <c r="D83" s="718"/>
      <c r="E83" s="9"/>
      <c r="F83" s="9"/>
      <c r="G83" s="9"/>
      <c r="H83" s="9"/>
      <c r="I83" s="9"/>
      <c r="J83" s="9"/>
      <c r="K83" s="9"/>
      <c r="L83" s="9"/>
      <c r="M83" s="9"/>
      <c r="N83" s="9"/>
      <c r="O83" s="9"/>
      <c r="P83" s="9"/>
      <c r="R83" s="563"/>
    </row>
    <row r="84" spans="1:27">
      <c r="A84" s="674"/>
      <c r="B84" s="674"/>
      <c r="C84" s="678"/>
      <c r="D84" s="678"/>
      <c r="E84" s="9"/>
      <c r="F84" s="9"/>
      <c r="G84" s="9"/>
      <c r="H84" s="9"/>
      <c r="I84" s="9"/>
      <c r="J84" s="9"/>
      <c r="K84" s="9"/>
      <c r="L84" s="9"/>
      <c r="M84" s="9"/>
      <c r="N84" s="9"/>
      <c r="O84" s="9"/>
      <c r="P84" s="9"/>
    </row>
    <row r="85" spans="1:27">
      <c r="A85" s="674"/>
      <c r="B85" s="674"/>
      <c r="C85" s="678"/>
      <c r="D85" s="9"/>
      <c r="E85" s="9"/>
      <c r="F85" s="9"/>
      <c r="G85" s="9"/>
      <c r="H85" s="9"/>
      <c r="I85" s="9"/>
      <c r="J85" s="9"/>
      <c r="K85" s="9"/>
      <c r="L85" s="9"/>
      <c r="M85" s="9"/>
      <c r="N85" s="9"/>
      <c r="O85" s="9"/>
      <c r="P85" s="9"/>
    </row>
    <row r="86" spans="1:27">
      <c r="A86" s="674" t="s">
        <v>231</v>
      </c>
      <c r="B86" s="674" t="s">
        <v>226</v>
      </c>
      <c r="C86" s="678">
        <f>J12</f>
        <v>241.70237523283197</v>
      </c>
      <c r="D86" s="9"/>
      <c r="E86" s="9"/>
      <c r="F86" s="9"/>
      <c r="G86" s="9"/>
      <c r="H86" s="9"/>
      <c r="I86" s="9"/>
      <c r="J86" s="9"/>
      <c r="K86" s="9"/>
      <c r="L86" s="9"/>
      <c r="M86" s="9"/>
      <c r="N86" s="9"/>
      <c r="O86" s="9"/>
      <c r="P86" s="9"/>
    </row>
    <row r="87" spans="1:27">
      <c r="A87" s="674"/>
      <c r="B87" s="674"/>
      <c r="C87" s="678"/>
      <c r="D87" s="299"/>
      <c r="E87" s="9"/>
      <c r="F87" s="9"/>
      <c r="G87" s="9"/>
      <c r="H87" s="9"/>
      <c r="I87" s="9"/>
      <c r="J87" s="9"/>
      <c r="K87" s="9"/>
      <c r="L87" s="9"/>
      <c r="M87" s="9"/>
      <c r="N87" s="9"/>
      <c r="O87" s="9"/>
      <c r="P87" s="9"/>
    </row>
    <row r="88" spans="1:27">
      <c r="A88" s="674" t="s">
        <v>232</v>
      </c>
      <c r="B88" s="674" t="s">
        <v>233</v>
      </c>
      <c r="C88" s="678">
        <f>J9</f>
        <v>17.69896516204453</v>
      </c>
      <c r="D88" s="9"/>
      <c r="E88" s="9"/>
      <c r="F88" s="9"/>
      <c r="G88" s="9"/>
      <c r="H88" s="9"/>
      <c r="I88" s="9"/>
      <c r="J88" s="9"/>
      <c r="K88" s="9"/>
      <c r="L88" s="9"/>
      <c r="M88" s="9"/>
      <c r="N88" s="9"/>
      <c r="O88" s="9"/>
      <c r="P88" s="9"/>
    </row>
    <row r="89" spans="1:27" s="1" customFormat="1" ht="25.5">
      <c r="A89" s="5"/>
      <c r="B89" s="721" t="s">
        <v>234</v>
      </c>
      <c r="C89" s="722">
        <f>C86*O36</f>
        <v>11.2847499104736</v>
      </c>
      <c r="D89" s="5"/>
      <c r="E89" s="5"/>
      <c r="F89" s="5"/>
      <c r="G89" s="5"/>
      <c r="H89" s="5"/>
      <c r="I89" s="5"/>
      <c r="J89" s="5"/>
      <c r="K89" s="5"/>
      <c r="L89" s="5"/>
      <c r="M89" s="5"/>
      <c r="N89" s="5"/>
      <c r="O89" s="5"/>
      <c r="P89" s="5"/>
    </row>
    <row r="90" spans="1:27" ht="47.25" hidden="1" customHeight="1">
      <c r="A90" s="2775" t="s">
        <v>235</v>
      </c>
      <c r="B90" s="2775"/>
      <c r="C90" s="2775"/>
      <c r="D90" s="2775"/>
      <c r="E90" s="2775"/>
      <c r="F90" s="2775"/>
      <c r="G90" s="2776"/>
      <c r="H90" s="2776"/>
      <c r="I90" s="2776"/>
      <c r="J90" s="2776"/>
      <c r="K90" s="2776"/>
      <c r="L90" s="2776"/>
      <c r="M90" s="2777"/>
      <c r="N90" s="2777"/>
      <c r="O90" s="723"/>
      <c r="P90" s="723"/>
      <c r="AA90">
        <f>12*14*0.6</f>
        <v>100.8</v>
      </c>
    </row>
    <row r="91" spans="1:27" s="7" customFormat="1" ht="9" hidden="1" customHeight="1">
      <c r="A91" s="2784"/>
      <c r="B91" s="2784"/>
      <c r="C91" s="2784"/>
      <c r="D91" s="2784"/>
      <c r="E91" s="2784"/>
      <c r="F91" s="2784"/>
      <c r="G91" s="2784"/>
      <c r="H91" s="2784"/>
      <c r="I91" s="2784"/>
      <c r="J91" s="2784"/>
      <c r="K91" s="2784"/>
      <c r="L91" s="2784"/>
      <c r="M91" s="2784"/>
      <c r="N91" s="2784"/>
      <c r="O91" s="9"/>
      <c r="P91" s="9"/>
    </row>
    <row r="92" spans="1:27" hidden="1">
      <c r="A92" s="2786"/>
      <c r="B92" s="2787"/>
      <c r="C92" s="2787"/>
      <c r="D92" s="2787"/>
      <c r="E92" s="2787"/>
      <c r="F92" s="2787"/>
      <c r="G92" s="2787"/>
      <c r="H92" s="2787"/>
      <c r="I92" s="2787"/>
      <c r="J92" s="2787"/>
      <c r="K92" s="2787"/>
      <c r="L92" s="2787"/>
      <c r="M92" s="2787"/>
      <c r="N92" s="2787"/>
      <c r="O92" s="9"/>
      <c r="P92" s="9"/>
    </row>
    <row r="93" spans="1:27" s="1" customFormat="1" ht="15" hidden="1">
      <c r="A93" s="2781" t="s">
        <v>236</v>
      </c>
      <c r="B93" s="2781"/>
      <c r="C93" s="2781"/>
      <c r="D93" s="2781"/>
      <c r="E93" s="2781"/>
      <c r="F93" s="2781"/>
      <c r="G93" s="2781"/>
      <c r="H93" s="2781"/>
      <c r="I93" s="724"/>
      <c r="J93" s="724"/>
      <c r="K93" s="725"/>
      <c r="L93" s="725"/>
      <c r="M93" s="585">
        <v>60</v>
      </c>
      <c r="N93" s="726" t="s">
        <v>237</v>
      </c>
      <c r="O93" s="727"/>
      <c r="P93" s="727"/>
    </row>
    <row r="94" spans="1:27" s="1" customFormat="1" ht="15.75" hidden="1" thickBot="1">
      <c r="A94" s="2781" t="s">
        <v>260</v>
      </c>
      <c r="B94" s="2781"/>
      <c r="C94" s="2781"/>
      <c r="D94" s="2781"/>
      <c r="E94" s="2781"/>
      <c r="F94" s="2781"/>
      <c r="G94" s="2781"/>
      <c r="H94" s="2781"/>
      <c r="I94" s="724"/>
      <c r="J94" s="724"/>
      <c r="K94" s="725"/>
      <c r="L94" s="725"/>
      <c r="M94" s="585">
        <v>20.9</v>
      </c>
      <c r="N94" s="726" t="s">
        <v>238</v>
      </c>
      <c r="O94" s="727"/>
      <c r="P94" s="727"/>
    </row>
    <row r="95" spans="1:27" s="1" customFormat="1" ht="30.75" hidden="1" customHeight="1" thickTop="1">
      <c r="A95" s="2779" t="s">
        <v>261</v>
      </c>
      <c r="B95" s="2779"/>
      <c r="C95" s="2779"/>
      <c r="D95" s="2779"/>
      <c r="E95" s="2779"/>
      <c r="F95" s="2779"/>
      <c r="G95" s="2779"/>
      <c r="H95" s="2779"/>
      <c r="I95" s="728"/>
      <c r="J95" s="728"/>
      <c r="K95" s="729"/>
      <c r="L95" s="729"/>
      <c r="M95" s="730" t="s">
        <v>1113</v>
      </c>
      <c r="N95" s="731" t="s">
        <v>1116</v>
      </c>
      <c r="O95" s="732"/>
      <c r="P95" s="732"/>
      <c r="Q95" s="2766"/>
      <c r="R95" s="2767"/>
      <c r="S95" s="2767"/>
      <c r="T95" s="2767"/>
      <c r="U95" s="2768"/>
    </row>
    <row r="96" spans="1:27" s="1" customFormat="1" ht="30.75" hidden="1" customHeight="1">
      <c r="A96" s="2780" t="s">
        <v>262</v>
      </c>
      <c r="B96" s="2780"/>
      <c r="C96" s="2780"/>
      <c r="D96" s="2780"/>
      <c r="E96" s="2780"/>
      <c r="F96" s="2780"/>
      <c r="G96" s="2780"/>
      <c r="H96" s="2780"/>
      <c r="I96" s="733"/>
      <c r="J96" s="733"/>
      <c r="K96" s="734"/>
      <c r="L96" s="734"/>
      <c r="M96" s="735">
        <f>O39</f>
        <v>0</v>
      </c>
      <c r="N96" s="736" t="s">
        <v>1116</v>
      </c>
      <c r="O96" s="737"/>
      <c r="P96" s="737"/>
      <c r="Q96" s="2769"/>
      <c r="R96" s="2770"/>
      <c r="S96" s="2770"/>
      <c r="T96" s="2770"/>
      <c r="U96" s="2771"/>
    </row>
    <row r="97" spans="1:21" s="1" customFormat="1" ht="47.25" hidden="1" customHeight="1" thickBot="1">
      <c r="A97" s="2788" t="s">
        <v>263</v>
      </c>
      <c r="B97" s="2788"/>
      <c r="C97" s="2788"/>
      <c r="D97" s="2788"/>
      <c r="E97" s="2788"/>
      <c r="F97" s="2788"/>
      <c r="G97" s="2788"/>
      <c r="H97" s="2788"/>
      <c r="I97" s="738"/>
      <c r="J97" s="738"/>
      <c r="K97" s="739"/>
      <c r="L97" s="739"/>
      <c r="M97" s="740">
        <v>0</v>
      </c>
      <c r="N97" s="741" t="s">
        <v>238</v>
      </c>
      <c r="O97" s="742"/>
      <c r="P97" s="742"/>
      <c r="Q97" s="2772"/>
      <c r="R97" s="2773"/>
      <c r="S97" s="2773"/>
      <c r="T97" s="2773"/>
      <c r="U97" s="2774"/>
    </row>
    <row r="98" spans="1:21" s="1" customFormat="1" ht="21" hidden="1" customHeight="1" thickTop="1">
      <c r="A98" s="2781" t="s">
        <v>239</v>
      </c>
      <c r="B98" s="2781"/>
      <c r="C98" s="2781"/>
      <c r="D98" s="2781"/>
      <c r="E98" s="2781"/>
      <c r="F98" s="2781"/>
      <c r="G98" s="2781"/>
      <c r="H98" s="2781"/>
      <c r="I98" s="724"/>
      <c r="J98" s="724"/>
      <c r="K98" s="725"/>
      <c r="L98" s="725"/>
      <c r="M98" s="585">
        <v>1400</v>
      </c>
      <c r="N98" s="726" t="s">
        <v>237</v>
      </c>
      <c r="O98" s="727"/>
      <c r="P98" s="727"/>
    </row>
    <row r="99" spans="1:21" s="1" customFormat="1" ht="15" hidden="1">
      <c r="A99" s="2799" t="s">
        <v>240</v>
      </c>
      <c r="B99" s="2799"/>
      <c r="C99" s="2799"/>
      <c r="D99" s="2799"/>
      <c r="E99" s="2799"/>
      <c r="F99" s="2799"/>
      <c r="G99" s="2799"/>
      <c r="H99" s="2799"/>
      <c r="I99" s="743"/>
      <c r="J99" s="743"/>
      <c r="K99" s="744"/>
      <c r="L99" s="744"/>
      <c r="M99" s="745">
        <f>IF(M94&gt;21.1,M97,M96)</f>
        <v>0</v>
      </c>
      <c r="N99" s="726" t="s">
        <v>237</v>
      </c>
      <c r="O99" s="727"/>
      <c r="P99" s="727"/>
    </row>
    <row r="100" spans="1:21" s="1" customFormat="1" ht="15" hidden="1">
      <c r="A100" s="746"/>
      <c r="B100" s="746"/>
      <c r="C100" s="746"/>
      <c r="D100" s="746"/>
      <c r="E100" s="746"/>
      <c r="F100" s="746"/>
      <c r="G100" s="746"/>
      <c r="H100" s="746"/>
      <c r="I100" s="746"/>
      <c r="J100" s="746"/>
      <c r="K100" s="747"/>
      <c r="L100" s="747"/>
      <c r="M100" s="748"/>
      <c r="N100" s="727"/>
      <c r="O100" s="727"/>
      <c r="P100" s="727"/>
    </row>
    <row r="101" spans="1:21" s="1" customFormat="1">
      <c r="A101" s="2785"/>
      <c r="B101" s="2785"/>
      <c r="C101" s="2785"/>
      <c r="D101" s="2785"/>
      <c r="E101" s="2785"/>
      <c r="F101" s="2785"/>
      <c r="G101" s="2731"/>
      <c r="H101" s="2731"/>
      <c r="K101" s="749"/>
      <c r="L101" s="749"/>
      <c r="M101" s="750"/>
      <c r="N101" s="2"/>
      <c r="O101" s="2"/>
      <c r="P101" s="2"/>
    </row>
    <row r="102" spans="1:21" ht="19.5" customHeight="1">
      <c r="A102" s="2791" t="s">
        <v>264</v>
      </c>
      <c r="B102" s="2791"/>
      <c r="C102" s="2791"/>
      <c r="D102" s="2791"/>
      <c r="E102" s="2791"/>
      <c r="F102" s="2791"/>
      <c r="G102" s="2791"/>
      <c r="H102" s="2791"/>
      <c r="I102" s="2791"/>
      <c r="J102" s="2791"/>
      <c r="K102" s="2791"/>
      <c r="L102" s="2791"/>
      <c r="M102" s="2791"/>
      <c r="N102" s="2791"/>
      <c r="O102" s="751"/>
      <c r="P102" s="751"/>
    </row>
    <row r="103" spans="1:21">
      <c r="A103" s="2789"/>
      <c r="B103" s="2789"/>
      <c r="C103" s="2789"/>
      <c r="D103" s="2789"/>
      <c r="E103" s="2789"/>
      <c r="F103" s="2789"/>
      <c r="G103" s="2790"/>
      <c r="H103" s="2790"/>
      <c r="I103" s="4"/>
      <c r="J103" s="4"/>
      <c r="K103" s="753"/>
      <c r="L103" s="753"/>
      <c r="M103" s="559"/>
    </row>
    <row r="104" spans="1:21">
      <c r="A104" s="2789"/>
      <c r="B104" s="2789"/>
      <c r="C104" s="2789"/>
      <c r="D104" s="2789"/>
      <c r="E104" s="2789"/>
      <c r="F104" s="2789"/>
      <c r="G104" s="2790"/>
      <c r="H104" s="2790"/>
      <c r="I104" s="4"/>
      <c r="J104" s="4"/>
      <c r="K104" s="753"/>
      <c r="L104" s="753"/>
      <c r="M104" s="559"/>
    </row>
  </sheetData>
  <mergeCells count="37">
    <mergeCell ref="A104:H104"/>
    <mergeCell ref="A102:N102"/>
    <mergeCell ref="O23:P23"/>
    <mergeCell ref="M28:N28"/>
    <mergeCell ref="M29:N29"/>
    <mergeCell ref="A23:H23"/>
    <mergeCell ref="M23:N23"/>
    <mergeCell ref="M24:N24"/>
    <mergeCell ref="M25:N25"/>
    <mergeCell ref="M37:N37"/>
    <mergeCell ref="M33:N33"/>
    <mergeCell ref="A98:H98"/>
    <mergeCell ref="A99:H99"/>
    <mergeCell ref="M36:N36"/>
    <mergeCell ref="M26:N26"/>
    <mergeCell ref="M27:N27"/>
    <mergeCell ref="A101:H101"/>
    <mergeCell ref="A94:H94"/>
    <mergeCell ref="A92:N92"/>
    <mergeCell ref="A97:H97"/>
    <mergeCell ref="A103:H103"/>
    <mergeCell ref="C1:E1"/>
    <mergeCell ref="F1:H1"/>
    <mergeCell ref="Q23:T23"/>
    <mergeCell ref="Z23:AC23"/>
    <mergeCell ref="Q95:U97"/>
    <mergeCell ref="A90:N90"/>
    <mergeCell ref="A51:N51"/>
    <mergeCell ref="A95:H95"/>
    <mergeCell ref="A96:H96"/>
    <mergeCell ref="A93:H93"/>
    <mergeCell ref="M30:N30"/>
    <mergeCell ref="M31:N31"/>
    <mergeCell ref="A91:N91"/>
    <mergeCell ref="M34:N34"/>
    <mergeCell ref="M35:N35"/>
    <mergeCell ref="M32:N32"/>
  </mergeCells>
  <phoneticPr fontId="5" type="noConversion"/>
  <pageMargins left="0.7" right="0.7" top="0.75" bottom="0.75" header="0.3" footer="0.3"/>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V93"/>
  <sheetViews>
    <sheetView workbookViewId="0"/>
  </sheetViews>
  <sheetFormatPr defaultRowHeight="12.75"/>
  <cols>
    <col min="2" max="2" width="24.85546875" customWidth="1"/>
    <col min="5" max="5" width="16.85546875" customWidth="1"/>
    <col min="7" max="7" width="12.42578125" bestFit="1" customWidth="1"/>
    <col min="9" max="9" width="8.85546875" style="21" customWidth="1"/>
    <col min="10" max="10" width="10.7109375" style="21" customWidth="1"/>
    <col min="11" max="11" width="8.85546875" style="21" customWidth="1"/>
    <col min="14" max="14" width="16.5703125" customWidth="1"/>
    <col min="15" max="15" width="14" hidden="1" customWidth="1"/>
    <col min="16" max="16" width="10.7109375" hidden="1" customWidth="1"/>
    <col min="17" max="17" width="13" hidden="1" customWidth="1"/>
    <col min="19" max="19" width="12.5703125" customWidth="1"/>
    <col min="20" max="20" width="9.140625" bestFit="1" customWidth="1"/>
    <col min="21" max="21" width="11" bestFit="1" customWidth="1"/>
    <col min="22" max="22" width="9.140625" bestFit="1" customWidth="1"/>
  </cols>
  <sheetData>
    <row r="1" spans="2:14" ht="13.5" thickBot="1"/>
    <row r="2" spans="2:14">
      <c r="B2" s="22" t="s">
        <v>1191</v>
      </c>
      <c r="C2" s="23">
        <v>60</v>
      </c>
    </row>
    <row r="3" spans="2:14" ht="13.5" thickBot="1">
      <c r="B3" s="24" t="s">
        <v>1192</v>
      </c>
      <c r="C3" s="25">
        <f>'Calculations - vol current'!C55</f>
        <v>0</v>
      </c>
    </row>
    <row r="4" spans="2:14" s="4" customFormat="1">
      <c r="I4" s="17"/>
      <c r="J4" s="17"/>
      <c r="K4" s="17"/>
    </row>
    <row r="5" spans="2:14" s="4" customFormat="1" ht="13.5" thickBot="1">
      <c r="I5" s="17"/>
      <c r="J5" s="17"/>
      <c r="K5" s="17"/>
    </row>
    <row r="6" spans="2:14" s="4" customFormat="1">
      <c r="B6" s="26"/>
      <c r="C6" s="27"/>
      <c r="D6" s="27"/>
      <c r="E6" s="27" t="s">
        <v>1193</v>
      </c>
      <c r="F6" s="27"/>
      <c r="G6" s="27" t="s">
        <v>1193</v>
      </c>
      <c r="H6" s="27" t="s">
        <v>1194</v>
      </c>
      <c r="I6" s="28" t="s">
        <v>1195</v>
      </c>
      <c r="J6" s="29" t="s">
        <v>1196</v>
      </c>
      <c r="K6" s="28" t="s">
        <v>1193</v>
      </c>
      <c r="L6" s="30" t="s">
        <v>1197</v>
      </c>
    </row>
    <row r="7" spans="2:14" s="4" customFormat="1">
      <c r="B7" s="31" t="s">
        <v>1198</v>
      </c>
      <c r="C7" s="32" t="s">
        <v>1199</v>
      </c>
      <c r="D7" s="32" t="s">
        <v>1200</v>
      </c>
      <c r="E7" s="32" t="s">
        <v>1201</v>
      </c>
      <c r="F7" s="32" t="s">
        <v>1202</v>
      </c>
      <c r="G7" s="32" t="s">
        <v>1203</v>
      </c>
      <c r="H7" s="32" t="s">
        <v>1204</v>
      </c>
      <c r="I7" s="33" t="s">
        <v>1205</v>
      </c>
      <c r="J7" s="34" t="s">
        <v>1206</v>
      </c>
      <c r="K7" s="33" t="s">
        <v>1207</v>
      </c>
      <c r="L7" s="35" t="s">
        <v>1207</v>
      </c>
    </row>
    <row r="8" spans="2:14" s="4" customFormat="1">
      <c r="B8" s="36" t="s">
        <v>1208</v>
      </c>
      <c r="C8" s="37">
        <f>C2</f>
        <v>60</v>
      </c>
      <c r="D8" s="37">
        <f>460+C8</f>
        <v>520</v>
      </c>
      <c r="E8" s="38">
        <f>11.515-172/D8^0.5 +1530/D8</f>
        <v>6.9146087262672413</v>
      </c>
      <c r="F8" s="37">
        <v>32</v>
      </c>
      <c r="G8" s="39">
        <f>E8/F8</f>
        <v>0.21608152269585129</v>
      </c>
      <c r="H8" s="39">
        <f>378.2/F8</f>
        <v>11.81875</v>
      </c>
      <c r="I8" s="40">
        <f>1/H8</f>
        <v>8.4611316763617134E-2</v>
      </c>
      <c r="J8" s="40">
        <f>I8/0.0763</f>
        <v>1.1089294464432127</v>
      </c>
      <c r="K8" s="40">
        <f>G8/H8</f>
        <v>1.82829421635834E-2</v>
      </c>
      <c r="L8" s="2599">
        <f>(K8+K9)/2</f>
        <v>1.8159907895190751E-2</v>
      </c>
    </row>
    <row r="9" spans="2:14" s="4" customFormat="1">
      <c r="B9" s="41" t="s">
        <v>1208</v>
      </c>
      <c r="C9" s="42">
        <f>C3</f>
        <v>0</v>
      </c>
      <c r="D9" s="42">
        <f>460+C9</f>
        <v>460</v>
      </c>
      <c r="E9" s="43">
        <f>11.515-172/D9^0.5 +1530/D9</f>
        <v>6.8215456056550403</v>
      </c>
      <c r="F9" s="42">
        <v>32</v>
      </c>
      <c r="G9" s="44">
        <f>E9/F9</f>
        <v>0.21317330017672001</v>
      </c>
      <c r="H9" s="44">
        <f>378.2/F9</f>
        <v>11.81875</v>
      </c>
      <c r="I9" s="45">
        <f>1/H9</f>
        <v>8.4611316763617134E-2</v>
      </c>
      <c r="J9" s="40">
        <f>I9/0.0763</f>
        <v>1.1089294464432127</v>
      </c>
      <c r="K9" s="45">
        <f>G9/H9</f>
        <v>1.8036873626798098E-2</v>
      </c>
      <c r="L9" s="2600"/>
      <c r="N9" s="4">
        <f>G9/G8</f>
        <v>0.98654108651749561</v>
      </c>
    </row>
    <row r="10" spans="2:14" s="4" customFormat="1">
      <c r="B10" s="46"/>
      <c r="C10" s="47"/>
      <c r="D10" s="47"/>
      <c r="E10" s="48"/>
      <c r="F10" s="47"/>
      <c r="G10" s="49"/>
      <c r="H10" s="49"/>
      <c r="I10" s="50"/>
      <c r="J10" s="50"/>
      <c r="K10" s="50"/>
      <c r="L10" s="51"/>
    </row>
    <row r="11" spans="2:14" s="4" customFormat="1">
      <c r="B11" s="36" t="s">
        <v>1209</v>
      </c>
      <c r="C11" s="37">
        <f>C8</f>
        <v>60</v>
      </c>
      <c r="D11" s="37">
        <f>460+C11</f>
        <v>520</v>
      </c>
      <c r="E11" s="38">
        <f>9.47-3.47*10^3/D11 +1.07*10^6/D11^2</f>
        <v>6.7540236686390536</v>
      </c>
      <c r="F11" s="37">
        <v>28</v>
      </c>
      <c r="G11" s="39">
        <f>E11/F11</f>
        <v>0.24121513102282335</v>
      </c>
      <c r="H11" s="39">
        <f>378.2/F11</f>
        <v>13.507142857142856</v>
      </c>
      <c r="I11" s="40">
        <f>1/H11</f>
        <v>7.4034902168164995E-2</v>
      </c>
      <c r="J11" s="40">
        <f>I11/0.0763</f>
        <v>0.97031326563781117</v>
      </c>
      <c r="K11" s="40">
        <f>G11/H11</f>
        <v>1.7858338626755829E-2</v>
      </c>
      <c r="L11" s="2599">
        <f>(K11+K12)/2</f>
        <v>1.8161364599176031E-2</v>
      </c>
    </row>
    <row r="12" spans="2:14" s="4" customFormat="1">
      <c r="B12" s="41" t="s">
        <v>1209</v>
      </c>
      <c r="C12" s="42">
        <f>C9</f>
        <v>0</v>
      </c>
      <c r="D12" s="42">
        <f>460+C12</f>
        <v>460</v>
      </c>
      <c r="E12" s="43">
        <f>9.47-3.47*10^3/D12 +1.07*10^6/D12^2</f>
        <v>6.9832325141776943</v>
      </c>
      <c r="F12" s="42">
        <v>28</v>
      </c>
      <c r="G12" s="44">
        <f>E12/F12</f>
        <v>0.24940116122063194</v>
      </c>
      <c r="H12" s="44">
        <f>378.2/F12</f>
        <v>13.507142857142856</v>
      </c>
      <c r="I12" s="45">
        <f>1/H12</f>
        <v>7.4034902168164995E-2</v>
      </c>
      <c r="J12" s="40">
        <f>I12/0.0763</f>
        <v>0.97031326563781117</v>
      </c>
      <c r="K12" s="45">
        <f>G12/H12</f>
        <v>1.8464390571596233E-2</v>
      </c>
      <c r="L12" s="2600"/>
      <c r="N12" s="4">
        <f>G12/G11</f>
        <v>1.0339366364087419</v>
      </c>
    </row>
    <row r="13" spans="2:14" s="4" customFormat="1">
      <c r="B13" s="46"/>
      <c r="C13" s="47"/>
      <c r="D13" s="47"/>
      <c r="E13" s="48"/>
      <c r="F13" s="47"/>
      <c r="G13" s="49"/>
      <c r="H13" s="49"/>
      <c r="I13" s="50"/>
      <c r="J13" s="50"/>
      <c r="K13" s="50"/>
      <c r="L13" s="51"/>
    </row>
    <row r="14" spans="2:14" s="4" customFormat="1">
      <c r="B14" s="36" t="s">
        <v>1210</v>
      </c>
      <c r="C14" s="37">
        <f>C11</f>
        <v>60</v>
      </c>
      <c r="D14" s="37">
        <f>460+C14</f>
        <v>520</v>
      </c>
      <c r="E14" s="38">
        <f>9.46-3.29*10^3/D14+1.07*10^6/D14^2</f>
        <v>7.0901775147929005</v>
      </c>
      <c r="F14" s="37">
        <v>28</v>
      </c>
      <c r="G14" s="39">
        <f>E14/F14</f>
        <v>0.25322062552831787</v>
      </c>
      <c r="H14" s="39">
        <f>378.2/F14</f>
        <v>13.507142857142856</v>
      </c>
      <c r="I14" s="40">
        <f>1/H14</f>
        <v>7.4034902168164995E-2</v>
      </c>
      <c r="J14" s="40">
        <f>I14/0.0763</f>
        <v>0.97031326563781117</v>
      </c>
      <c r="K14" s="40">
        <f>G14/H14</f>
        <v>1.8747164237950559E-2</v>
      </c>
      <c r="L14" s="2599">
        <f>(K14+K15)/2</f>
        <v>1.9109881513480545E-2</v>
      </c>
    </row>
    <row r="15" spans="2:14" s="4" customFormat="1">
      <c r="B15" s="41" t="s">
        <v>1210</v>
      </c>
      <c r="C15" s="42">
        <f>C12</f>
        <v>0</v>
      </c>
      <c r="D15" s="42">
        <f>460+C15</f>
        <v>460</v>
      </c>
      <c r="E15" s="43">
        <f>9.46-3.29*10^3/D15+1.07*10^6/D15^2</f>
        <v>7.3645368620037814</v>
      </c>
      <c r="F15" s="42">
        <v>28</v>
      </c>
      <c r="G15" s="44">
        <f>E15/F15</f>
        <v>0.26301917364299221</v>
      </c>
      <c r="H15" s="44">
        <f>378.2/F15</f>
        <v>13.507142857142856</v>
      </c>
      <c r="I15" s="45">
        <f>1/H15</f>
        <v>7.4034902168164995E-2</v>
      </c>
      <c r="J15" s="40">
        <f>I15/0.0763</f>
        <v>0.97031326563781117</v>
      </c>
      <c r="K15" s="45">
        <f>G15/H15</f>
        <v>1.9472598789010531E-2</v>
      </c>
      <c r="L15" s="2600"/>
      <c r="N15" s="4">
        <f>G15/G14</f>
        <v>1.0386956950849904</v>
      </c>
    </row>
    <row r="16" spans="2:14" s="4" customFormat="1">
      <c r="B16" s="46"/>
      <c r="C16" s="47"/>
      <c r="D16" s="47"/>
      <c r="E16" s="48"/>
      <c r="F16" s="47"/>
      <c r="G16" s="49"/>
      <c r="H16" s="49"/>
      <c r="I16" s="50"/>
      <c r="J16" s="50"/>
      <c r="K16" s="50"/>
      <c r="L16" s="51"/>
    </row>
    <row r="17" spans="2:14" s="4" customFormat="1">
      <c r="B17" s="36" t="s">
        <v>1211</v>
      </c>
      <c r="C17" s="37">
        <f>C14</f>
        <v>60</v>
      </c>
      <c r="D17" s="37">
        <f>460+C17</f>
        <v>520</v>
      </c>
      <c r="E17" s="38">
        <f>5.76+0.578*D17/10^3+20/D17^0.5</f>
        <v>6.9376180193070294</v>
      </c>
      <c r="F17" s="37">
        <v>2</v>
      </c>
      <c r="G17" s="39">
        <f>E17/F17</f>
        <v>3.4688090096535147</v>
      </c>
      <c r="H17" s="39">
        <f>378.2/F17</f>
        <v>189.1</v>
      </c>
      <c r="I17" s="40">
        <f>1/H17</f>
        <v>5.2882072977260709E-3</v>
      </c>
      <c r="J17" s="40">
        <f>I17/0.0763</f>
        <v>6.9308090402700792E-2</v>
      </c>
      <c r="K17" s="40">
        <f>G17/H17</f>
        <v>1.8343781119267662E-2</v>
      </c>
      <c r="L17" s="2599">
        <f>(K17+K18)/2</f>
        <v>1.8371235890464493E-2</v>
      </c>
    </row>
    <row r="18" spans="2:14" s="4" customFormat="1">
      <c r="B18" s="41" t="s">
        <v>1211</v>
      </c>
      <c r="C18" s="42">
        <f>C15</f>
        <v>0</v>
      </c>
      <c r="D18" s="42">
        <f>460+C18</f>
        <v>460</v>
      </c>
      <c r="E18" s="43">
        <f>5.76+0.578*D18/10^3+20/D18^0.5</f>
        <v>6.9583848082403135</v>
      </c>
      <c r="F18" s="42">
        <v>2</v>
      </c>
      <c r="G18" s="44">
        <f>E18/F18</f>
        <v>3.4791924041201567</v>
      </c>
      <c r="H18" s="44">
        <f>378.2/F18</f>
        <v>189.1</v>
      </c>
      <c r="I18" s="45">
        <f>1/H18</f>
        <v>5.2882072977260709E-3</v>
      </c>
      <c r="J18" s="40">
        <f>I18/0.0763</f>
        <v>6.9308090402700792E-2</v>
      </c>
      <c r="K18" s="45">
        <f>G18/H18</f>
        <v>1.8398690661661325E-2</v>
      </c>
      <c r="L18" s="2600"/>
      <c r="N18" s="4">
        <f>G18/G17</f>
        <v>1.002993360094991</v>
      </c>
    </row>
    <row r="19" spans="2:14" s="4" customFormat="1">
      <c r="B19" s="46"/>
      <c r="C19" s="47"/>
      <c r="D19" s="47"/>
      <c r="E19" s="48"/>
      <c r="F19" s="47"/>
      <c r="G19" s="49"/>
      <c r="H19" s="49"/>
      <c r="I19" s="50"/>
      <c r="J19" s="50"/>
      <c r="K19" s="50"/>
      <c r="L19" s="51"/>
    </row>
    <row r="20" spans="2:14" s="4" customFormat="1" ht="15">
      <c r="B20" s="36" t="s">
        <v>1212</v>
      </c>
      <c r="C20" s="37">
        <f>140</f>
        <v>140</v>
      </c>
      <c r="D20" s="37">
        <f>460+C20</f>
        <v>600</v>
      </c>
      <c r="E20" s="38">
        <f>19.86-597/D20^0.5+7500/D20</f>
        <v>7.9875770593073767</v>
      </c>
      <c r="F20" s="37">
        <v>18</v>
      </c>
      <c r="G20" s="39">
        <f>E20/F20</f>
        <v>0.44375428107263204</v>
      </c>
      <c r="H20" s="39">
        <f>378.2/F20</f>
        <v>21.011111111111109</v>
      </c>
      <c r="I20" s="40">
        <f>1/H20</f>
        <v>4.7593865679534643E-2</v>
      </c>
      <c r="J20" s="40">
        <f>I20/0.0763</f>
        <v>0.62377281362430714</v>
      </c>
      <c r="K20" s="40">
        <f>G20/H20</f>
        <v>2.1119981648089311E-2</v>
      </c>
      <c r="L20" s="2599">
        <f>(K20+K21)/2</f>
        <v>2.1571465308594613E-2</v>
      </c>
      <c r="N20" s="605" t="s">
        <v>1113</v>
      </c>
    </row>
    <row r="21" spans="2:14" s="4" customFormat="1">
      <c r="B21" s="41" t="s">
        <v>1212</v>
      </c>
      <c r="C21" s="42">
        <f>C18</f>
        <v>0</v>
      </c>
      <c r="D21" s="42">
        <f>460+C21</f>
        <v>460</v>
      </c>
      <c r="E21" s="43">
        <f>19.86-597/D21^0.5+7500/D21</f>
        <v>8.3290793001135874</v>
      </c>
      <c r="F21" s="42">
        <v>18</v>
      </c>
      <c r="G21" s="44">
        <f>E21/F21</f>
        <v>0.46272662778408818</v>
      </c>
      <c r="H21" s="44">
        <f>378.2/F21</f>
        <v>21.011111111111109</v>
      </c>
      <c r="I21" s="45">
        <f>1/H21</f>
        <v>4.7593865679534643E-2</v>
      </c>
      <c r="J21" s="40">
        <f>I21/0.0763</f>
        <v>0.62377281362430714</v>
      </c>
      <c r="K21" s="45">
        <f>G21/H21</f>
        <v>2.2022948969099915E-2</v>
      </c>
      <c r="L21" s="2600"/>
      <c r="N21" s="4">
        <f>G21/G20</f>
        <v>1.0427541716681508</v>
      </c>
    </row>
    <row r="22" spans="2:14" s="4" customFormat="1">
      <c r="B22" s="46"/>
      <c r="C22" s="47"/>
      <c r="D22" s="47"/>
      <c r="E22" s="48"/>
      <c r="F22" s="47"/>
      <c r="G22" s="49"/>
      <c r="H22" s="49"/>
      <c r="I22" s="50"/>
      <c r="J22" s="50"/>
      <c r="K22" s="50"/>
      <c r="L22" s="51"/>
    </row>
    <row r="23" spans="2:14" s="4" customFormat="1">
      <c r="B23" s="36" t="s">
        <v>1213</v>
      </c>
      <c r="C23" s="37">
        <f>C20</f>
        <v>140</v>
      </c>
      <c r="D23" s="37">
        <f>460+C23</f>
        <v>600</v>
      </c>
      <c r="E23" s="38">
        <f>16.2-6.53*10^3/D23+1.41*10^6/D23^2</f>
        <v>9.2333333333333325</v>
      </c>
      <c r="F23" s="37">
        <v>44</v>
      </c>
      <c r="G23" s="39">
        <f>E23/F23</f>
        <v>0.20984848484848484</v>
      </c>
      <c r="H23" s="39">
        <f>378.2/F23</f>
        <v>8.5954545454545457</v>
      </c>
      <c r="I23" s="40">
        <f>1/H23</f>
        <v>0.11634056054997356</v>
      </c>
      <c r="J23" s="40">
        <f>I23/0.0763</f>
        <v>1.5247779888594175</v>
      </c>
      <c r="K23" s="40">
        <f>G23/H23</f>
        <v>2.4413890357835359E-2</v>
      </c>
      <c r="L23" s="2599">
        <f>(K23+K24)/2</f>
        <v>2.3666310454089394E-2</v>
      </c>
    </row>
    <row r="24" spans="2:14" s="4" customFormat="1">
      <c r="B24" s="41" t="s">
        <v>1213</v>
      </c>
      <c r="C24" s="42">
        <f>C21</f>
        <v>0</v>
      </c>
      <c r="D24" s="42">
        <f>460+C24</f>
        <v>460</v>
      </c>
      <c r="E24" s="43">
        <f>16.2-6.53*10^3/D24+1.41*10^6/D24^2</f>
        <v>8.6678638941398862</v>
      </c>
      <c r="F24" s="42">
        <v>44</v>
      </c>
      <c r="G24" s="44">
        <f>E24/F24</f>
        <v>0.19699690668499742</v>
      </c>
      <c r="H24" s="44">
        <f>378.2/F24</f>
        <v>8.5954545454545457</v>
      </c>
      <c r="I24" s="45">
        <f>1/H24</f>
        <v>0.11634056054997356</v>
      </c>
      <c r="J24" s="40">
        <f>I24/0.0763</f>
        <v>1.5247779888594175</v>
      </c>
      <c r="K24" s="45">
        <f>G24/H24</f>
        <v>2.2918730550343432E-2</v>
      </c>
      <c r="L24" s="2600"/>
      <c r="N24" s="4">
        <f>G24/G23</f>
        <v>0.93875782247002382</v>
      </c>
    </row>
    <row r="25" spans="2:14" s="4" customFormat="1">
      <c r="B25" s="46"/>
      <c r="C25" s="47"/>
      <c r="D25" s="47"/>
      <c r="E25" s="48"/>
      <c r="F25" s="47"/>
      <c r="G25" s="49"/>
      <c r="H25" s="49"/>
      <c r="I25" s="50"/>
      <c r="J25" s="50"/>
      <c r="K25" s="50"/>
      <c r="L25" s="51"/>
    </row>
    <row r="26" spans="2:14" s="4" customFormat="1">
      <c r="B26" s="36" t="s">
        <v>1214</v>
      </c>
      <c r="C26" s="37">
        <f>C23</f>
        <v>140</v>
      </c>
      <c r="D26" s="37">
        <f>460+C26</f>
        <v>600</v>
      </c>
      <c r="E26" s="38">
        <f>4.23+0.01177*D26</f>
        <v>11.292</v>
      </c>
      <c r="F26" s="37">
        <v>16</v>
      </c>
      <c r="G26" s="39">
        <f>E26/F26</f>
        <v>0.70574999999999999</v>
      </c>
      <c r="H26" s="39">
        <f>378.2/F26</f>
        <v>23.637499999999999</v>
      </c>
      <c r="I26" s="40">
        <f>1/H26</f>
        <v>4.2305658381808567E-2</v>
      </c>
      <c r="J26" s="40">
        <f>I26/0.0763</f>
        <v>0.55446472322160634</v>
      </c>
      <c r="K26" s="40">
        <f>G26/H26</f>
        <v>2.9857218402961398E-2</v>
      </c>
      <c r="L26" s="2599">
        <f>(K26+K27)/2</f>
        <v>2.767874140666314E-2</v>
      </c>
    </row>
    <row r="27" spans="2:14" s="4" customFormat="1">
      <c r="B27" s="41" t="s">
        <v>1214</v>
      </c>
      <c r="C27" s="42">
        <f>C24</f>
        <v>0</v>
      </c>
      <c r="D27" s="42">
        <f>460+C27</f>
        <v>460</v>
      </c>
      <c r="E27" s="43">
        <f>4.23+0.01177*D27</f>
        <v>9.6441999999999997</v>
      </c>
      <c r="F27" s="42">
        <v>16</v>
      </c>
      <c r="G27" s="44">
        <f>E27/F27</f>
        <v>0.60276249999999998</v>
      </c>
      <c r="H27" s="44">
        <f>378.2/F27</f>
        <v>23.637499999999999</v>
      </c>
      <c r="I27" s="45">
        <f>1/H27</f>
        <v>4.2305658381808567E-2</v>
      </c>
      <c r="J27" s="40">
        <f>I27/0.0763</f>
        <v>0.55446472322160634</v>
      </c>
      <c r="K27" s="45">
        <f>G27/H27</f>
        <v>2.5500264410364886E-2</v>
      </c>
      <c r="L27" s="2600"/>
      <c r="N27" s="4">
        <f>G27/G26</f>
        <v>0.85407368048175702</v>
      </c>
    </row>
    <row r="28" spans="2:14" s="4" customFormat="1">
      <c r="B28" s="46"/>
      <c r="C28" s="47"/>
      <c r="D28" s="47"/>
      <c r="E28" s="48"/>
      <c r="F28" s="47"/>
      <c r="G28" s="49"/>
      <c r="H28" s="49"/>
      <c r="I28" s="50"/>
      <c r="J28" s="50"/>
      <c r="K28" s="50"/>
      <c r="L28" s="51"/>
    </row>
    <row r="29" spans="2:14" s="4" customFormat="1">
      <c r="B29" s="36" t="s">
        <v>1216</v>
      </c>
      <c r="C29" s="37">
        <f>C26</f>
        <v>140</v>
      </c>
      <c r="D29" s="37">
        <f>460+C29</f>
        <v>600</v>
      </c>
      <c r="E29" s="38">
        <f>4.52+0.00737*D29</f>
        <v>8.9420000000000002</v>
      </c>
      <c r="F29" s="37">
        <v>28</v>
      </c>
      <c r="G29" s="39">
        <f>E29/F29</f>
        <v>0.31935714285714284</v>
      </c>
      <c r="H29" s="39">
        <f>378.2/F29</f>
        <v>13.507142857142856</v>
      </c>
      <c r="I29" s="40">
        <f>1/H29</f>
        <v>7.4034902168164995E-2</v>
      </c>
      <c r="J29" s="40">
        <f>I29/0.0763</f>
        <v>0.97031326563781117</v>
      </c>
      <c r="K29" s="40">
        <f>G29/H29</f>
        <v>2.3643574828133264E-2</v>
      </c>
      <c r="L29" s="2599">
        <f>(K29+K30)/2</f>
        <v>2.2279481755684824E-2</v>
      </c>
    </row>
    <row r="30" spans="2:14" s="4" customFormat="1">
      <c r="B30" s="41" t="s">
        <v>1216</v>
      </c>
      <c r="C30" s="42">
        <f>C27</f>
        <v>0</v>
      </c>
      <c r="D30" s="42">
        <f>460+C30</f>
        <v>460</v>
      </c>
      <c r="E30" s="43">
        <f>4.52+0.00737*D30</f>
        <v>7.9101999999999997</v>
      </c>
      <c r="F30" s="42">
        <v>28</v>
      </c>
      <c r="G30" s="44">
        <f>E30/F30</f>
        <v>0.28250714285714285</v>
      </c>
      <c r="H30" s="44">
        <f>378.2/F30</f>
        <v>13.507142857142856</v>
      </c>
      <c r="I30" s="45">
        <f>1/H30</f>
        <v>7.4034902168164995E-2</v>
      </c>
      <c r="J30" s="40">
        <f>I30/0.0763</f>
        <v>0.97031326563781117</v>
      </c>
      <c r="K30" s="45">
        <f>G30/H30</f>
        <v>2.0915388683236384E-2</v>
      </c>
      <c r="L30" s="2600"/>
      <c r="N30" s="4">
        <f>G30/G29</f>
        <v>0.88461194363677031</v>
      </c>
    </row>
    <row r="31" spans="2:14" s="4" customFormat="1">
      <c r="B31" s="46"/>
      <c r="C31" s="47"/>
      <c r="D31" s="47"/>
      <c r="E31" s="48"/>
      <c r="F31" s="47"/>
      <c r="G31" s="49"/>
      <c r="H31" s="49"/>
      <c r="I31" s="50"/>
      <c r="J31" s="50"/>
      <c r="K31" s="50"/>
      <c r="L31" s="51"/>
    </row>
    <row r="32" spans="2:14" s="4" customFormat="1">
      <c r="B32" s="36" t="s">
        <v>1218</v>
      </c>
      <c r="C32" s="37">
        <f>C29</f>
        <v>140</v>
      </c>
      <c r="D32" s="37">
        <f>460+C32</f>
        <v>600</v>
      </c>
      <c r="E32" s="38">
        <f>4.04+0.01636*D32</f>
        <v>13.855999999999998</v>
      </c>
      <c r="F32" s="37">
        <v>30</v>
      </c>
      <c r="G32" s="39">
        <f>E32/F32</f>
        <v>0.46186666666666659</v>
      </c>
      <c r="H32" s="39">
        <f>378.2/F32</f>
        <v>12.606666666666666</v>
      </c>
      <c r="I32" s="40">
        <f>1/H32</f>
        <v>7.9323109465891065E-2</v>
      </c>
      <c r="J32" s="40">
        <f>I32/0.0763</f>
        <v>1.0396213560405119</v>
      </c>
      <c r="K32" s="40">
        <f>G32/H32</f>
        <v>3.6636700158646215E-2</v>
      </c>
      <c r="L32" s="2599">
        <f>(K32+K33)/2</f>
        <v>3.3608672659968267E-2</v>
      </c>
    </row>
    <row r="33" spans="2:14" s="4" customFormat="1" ht="13.5" thickBot="1">
      <c r="B33" s="52" t="s">
        <v>1218</v>
      </c>
      <c r="C33" s="53">
        <f>C30</f>
        <v>0</v>
      </c>
      <c r="D33" s="53">
        <f>460+C33</f>
        <v>460</v>
      </c>
      <c r="E33" s="54">
        <f>4.04+0.01636*D33</f>
        <v>11.5656</v>
      </c>
      <c r="F33" s="53">
        <v>30</v>
      </c>
      <c r="G33" s="55">
        <f>E33/F33</f>
        <v>0.38551999999999997</v>
      </c>
      <c r="H33" s="55">
        <f>378.2/F33</f>
        <v>12.606666666666666</v>
      </c>
      <c r="I33" s="56">
        <f>1/H33</f>
        <v>7.9323109465891065E-2</v>
      </c>
      <c r="J33" s="57">
        <f>I33/0.0763</f>
        <v>1.0396213560405119</v>
      </c>
      <c r="K33" s="56">
        <f>G33/H33</f>
        <v>3.0580645161290321E-2</v>
      </c>
      <c r="L33" s="2601"/>
      <c r="N33" s="4">
        <f>G33/G32</f>
        <v>0.83469976905311782</v>
      </c>
    </row>
    <row r="34" spans="2:14" s="4" customFormat="1">
      <c r="B34" s="46"/>
      <c r="C34" s="47"/>
      <c r="D34" s="47"/>
      <c r="E34" s="48"/>
      <c r="F34" s="47"/>
      <c r="G34" s="49"/>
      <c r="H34" s="49"/>
      <c r="I34" s="50"/>
      <c r="J34" s="50"/>
      <c r="K34" s="50"/>
      <c r="L34" s="51"/>
    </row>
    <row r="35" spans="2:14" s="4" customFormat="1">
      <c r="B35" s="36" t="s">
        <v>241</v>
      </c>
      <c r="C35" s="37">
        <f>C32</f>
        <v>140</v>
      </c>
      <c r="D35" s="37">
        <f>460+C35</f>
        <v>600</v>
      </c>
      <c r="E35" s="38" t="s">
        <v>1113</v>
      </c>
      <c r="F35" s="37">
        <v>44</v>
      </c>
      <c r="G35" s="39">
        <v>0.38800000000000001</v>
      </c>
      <c r="H35" s="39">
        <f>378.2/F35</f>
        <v>8.5954545454545457</v>
      </c>
      <c r="I35" s="40">
        <f>1/H35</f>
        <v>0.11634056054997356</v>
      </c>
      <c r="J35" s="40">
        <f>I35/0.0763</f>
        <v>1.5247779888594175</v>
      </c>
      <c r="K35" s="40">
        <f>G35/H35</f>
        <v>4.5140137493389743E-2</v>
      </c>
      <c r="L35" s="2599" t="e">
        <f>(K35+K36)/2</f>
        <v>#VALUE!</v>
      </c>
    </row>
    <row r="36" spans="2:14" s="4" customFormat="1">
      <c r="B36" s="36" t="s">
        <v>241</v>
      </c>
      <c r="C36" s="42">
        <f>C33</f>
        <v>0</v>
      </c>
      <c r="D36" s="42">
        <f>460+C36</f>
        <v>460</v>
      </c>
      <c r="E36" s="43" t="s">
        <v>1113</v>
      </c>
      <c r="F36" s="42">
        <v>44</v>
      </c>
      <c r="G36" s="44" t="e">
        <f>E36/F36</f>
        <v>#VALUE!</v>
      </c>
      <c r="H36" s="44">
        <f>378.2/F36</f>
        <v>8.5954545454545457</v>
      </c>
      <c r="I36" s="45">
        <f>1/H36</f>
        <v>0.11634056054997356</v>
      </c>
      <c r="J36" s="40">
        <f>I36/0.0763</f>
        <v>1.5247779888594175</v>
      </c>
      <c r="K36" s="45" t="e">
        <f>G36/H36</f>
        <v>#VALUE!</v>
      </c>
      <c r="L36" s="2600"/>
    </row>
    <row r="37" spans="2:14" s="4" customFormat="1">
      <c r="B37" s="46"/>
      <c r="C37" s="47"/>
      <c r="D37" s="47"/>
      <c r="E37" s="48"/>
      <c r="F37" s="47"/>
      <c r="G37" s="49"/>
      <c r="H37" s="49"/>
      <c r="I37" s="50"/>
      <c r="J37" s="50"/>
      <c r="K37" s="50"/>
      <c r="L37" s="51"/>
    </row>
    <row r="38" spans="2:14" s="4" customFormat="1">
      <c r="B38" s="36" t="s">
        <v>242</v>
      </c>
      <c r="C38" s="37">
        <f>C35</f>
        <v>140</v>
      </c>
      <c r="D38" s="37">
        <f>460+C38</f>
        <v>600</v>
      </c>
      <c r="E38" s="38" t="s">
        <v>1113</v>
      </c>
      <c r="F38" s="37">
        <v>58</v>
      </c>
      <c r="G38" s="39">
        <v>0.38200000000000001</v>
      </c>
      <c r="H38" s="39">
        <f>378.2/F38</f>
        <v>6.5206896551724132</v>
      </c>
      <c r="I38" s="40">
        <f>1/H38</f>
        <v>0.15335801163405607</v>
      </c>
      <c r="J38" s="40">
        <f>I38/0.0763</f>
        <v>2.0099346216783234</v>
      </c>
      <c r="K38" s="40">
        <f>G38/H38</f>
        <v>5.8582760444209417E-2</v>
      </c>
      <c r="L38" s="2599" t="e">
        <f>(K38+K39)/2</f>
        <v>#VALUE!</v>
      </c>
    </row>
    <row r="39" spans="2:14" s="4" customFormat="1" ht="13.5" thickBot="1">
      <c r="B39" s="36" t="s">
        <v>242</v>
      </c>
      <c r="C39" s="53">
        <f>C36</f>
        <v>0</v>
      </c>
      <c r="D39" s="53">
        <f>460+C39</f>
        <v>460</v>
      </c>
      <c r="E39" s="54" t="s">
        <v>1113</v>
      </c>
      <c r="F39" s="53">
        <v>58</v>
      </c>
      <c r="G39" s="55" t="e">
        <f>E39/F39</f>
        <v>#VALUE!</v>
      </c>
      <c r="H39" s="55">
        <f>378.2/F39</f>
        <v>6.5206896551724132</v>
      </c>
      <c r="I39" s="56">
        <f>1/H39</f>
        <v>0.15335801163405607</v>
      </c>
      <c r="J39" s="57">
        <f>I39/0.0763</f>
        <v>2.0099346216783234</v>
      </c>
      <c r="K39" s="56" t="e">
        <f>G39/H39</f>
        <v>#VALUE!</v>
      </c>
      <c r="L39" s="2601"/>
    </row>
    <row r="40" spans="2:14" s="4" customFormat="1">
      <c r="B40" s="9"/>
      <c r="C40" s="754"/>
      <c r="D40" s="754"/>
      <c r="E40" s="755"/>
      <c r="F40" s="754"/>
      <c r="G40" s="678"/>
      <c r="H40" s="678"/>
      <c r="I40" s="756"/>
      <c r="J40" s="756"/>
      <c r="K40" s="756"/>
      <c r="L40" s="9"/>
    </row>
    <row r="41" spans="2:14" s="4" customFormat="1">
      <c r="B41" s="18" t="s">
        <v>243</v>
      </c>
      <c r="C41" s="37">
        <f>C38</f>
        <v>140</v>
      </c>
      <c r="D41" s="37">
        <f>460+C41</f>
        <v>600</v>
      </c>
      <c r="E41" s="38" t="s">
        <v>1113</v>
      </c>
      <c r="F41" s="37">
        <v>64</v>
      </c>
      <c r="G41" s="39">
        <v>0.27300000000000002</v>
      </c>
      <c r="H41" s="39">
        <f>378.2/F41</f>
        <v>5.9093749999999998</v>
      </c>
      <c r="I41" s="40">
        <f>1/H41</f>
        <v>0.16922263352723427</v>
      </c>
      <c r="J41" s="40">
        <f>I41/0.0763</f>
        <v>2.2178588928864253</v>
      </c>
      <c r="K41" s="40">
        <f>G41/H41</f>
        <v>4.6197778952934962E-2</v>
      </c>
      <c r="L41" s="2599" t="e">
        <f>(K41+K42)/2</f>
        <v>#VALUE!</v>
      </c>
    </row>
    <row r="42" spans="2:14" s="4" customFormat="1" ht="13.5" thickBot="1">
      <c r="B42" s="18" t="s">
        <v>243</v>
      </c>
      <c r="C42" s="53">
        <f>C39</f>
        <v>0</v>
      </c>
      <c r="D42" s="53">
        <f>460+C42</f>
        <v>460</v>
      </c>
      <c r="E42" s="54" t="s">
        <v>1113</v>
      </c>
      <c r="F42" s="53">
        <v>64</v>
      </c>
      <c r="G42" s="55" t="e">
        <f>E42/F42</f>
        <v>#VALUE!</v>
      </c>
      <c r="H42" s="55">
        <f>378.2/F42</f>
        <v>5.9093749999999998</v>
      </c>
      <c r="I42" s="56">
        <f>1/H42</f>
        <v>0.16922263352723427</v>
      </c>
      <c r="J42" s="57">
        <f>I42/0.0763</f>
        <v>2.2178588928864253</v>
      </c>
      <c r="K42" s="56" t="e">
        <f>G42/H42</f>
        <v>#VALUE!</v>
      </c>
      <c r="L42" s="2601"/>
    </row>
    <row r="43" spans="2:14" s="4" customFormat="1">
      <c r="B43" s="9"/>
      <c r="C43" s="754"/>
      <c r="D43" s="754"/>
      <c r="E43" s="755"/>
      <c r="F43" s="754"/>
      <c r="G43" s="678"/>
      <c r="H43" s="678"/>
      <c r="I43" s="756"/>
      <c r="J43" s="756"/>
      <c r="K43" s="756"/>
      <c r="L43" s="9"/>
    </row>
    <row r="44" spans="2:14" s="4" customFormat="1">
      <c r="B44" s="757" t="s">
        <v>1056</v>
      </c>
      <c r="C44" s="613">
        <f>C2</f>
        <v>60</v>
      </c>
      <c r="D44" s="613"/>
      <c r="E44" s="758"/>
      <c r="F44" s="613"/>
      <c r="G44" s="759">
        <f>J52*G8+(1-J52)*G11</f>
        <v>0.2354199130627195</v>
      </c>
      <c r="H44" s="678"/>
      <c r="I44" s="756"/>
      <c r="J44" s="756"/>
      <c r="K44" s="756"/>
      <c r="L44" s="9"/>
    </row>
    <row r="45" spans="2:14" s="4" customFormat="1">
      <c r="B45" s="757"/>
      <c r="C45" s="613">
        <f>C3</f>
        <v>0</v>
      </c>
      <c r="D45" s="613"/>
      <c r="E45" s="758"/>
      <c r="F45" s="613"/>
      <c r="G45" s="759">
        <f>J52*G9+(1-J52)*G12</f>
        <v>0.24104786995236152</v>
      </c>
      <c r="H45" s="678"/>
      <c r="I45" s="756"/>
      <c r="J45" s="756"/>
      <c r="K45" s="756"/>
      <c r="L45" s="9"/>
    </row>
    <row r="46" spans="2:14" s="4" customFormat="1">
      <c r="B46" s="760" t="s">
        <v>244</v>
      </c>
      <c r="C46" s="761">
        <f>'Calculations - vol current'!C53</f>
        <v>0</v>
      </c>
      <c r="D46" s="761"/>
      <c r="E46" s="762"/>
      <c r="F46" s="761"/>
      <c r="G46" s="763">
        <f>G83</f>
        <v>0.23548139090679829</v>
      </c>
      <c r="H46" s="678"/>
      <c r="I46" s="756"/>
      <c r="J46" s="756"/>
      <c r="K46" s="756"/>
      <c r="L46" s="9"/>
    </row>
    <row r="47" spans="2:14" s="4" customFormat="1">
      <c r="E47" s="58"/>
      <c r="G47" s="59"/>
      <c r="H47" s="59"/>
      <c r="I47" s="17"/>
      <c r="J47" s="17"/>
      <c r="K47" s="17"/>
    </row>
    <row r="48" spans="2:14" s="4" customFormat="1">
      <c r="B48" s="4" t="s">
        <v>1220</v>
      </c>
      <c r="E48" s="58"/>
      <c r="G48" s="59"/>
      <c r="H48" s="59"/>
      <c r="I48" s="17"/>
      <c r="J48" s="17"/>
      <c r="K48" s="17"/>
    </row>
    <row r="49" spans="2:22" s="4" customFormat="1" ht="13.5" thickBot="1">
      <c r="E49" s="58"/>
      <c r="G49" s="59"/>
      <c r="H49" s="59"/>
      <c r="I49" s="17"/>
      <c r="J49" s="17"/>
      <c r="K49" s="17"/>
    </row>
    <row r="50" spans="2:22" s="4" customFormat="1" ht="15.75" thickBot="1">
      <c r="B50" s="60" t="s">
        <v>1221</v>
      </c>
      <c r="C50" s="61"/>
      <c r="D50" s="61"/>
      <c r="E50" s="62"/>
      <c r="G50" s="59"/>
      <c r="H50" s="59"/>
      <c r="I50" s="17"/>
      <c r="J50" s="17"/>
      <c r="K50" s="17"/>
      <c r="N50" s="2801" t="s">
        <v>245</v>
      </c>
      <c r="O50" s="2802"/>
      <c r="P50" s="2802"/>
      <c r="Q50" s="2802"/>
      <c r="R50" s="2803"/>
    </row>
    <row r="51" spans="2:22" s="4" customFormat="1" ht="15.75" thickBot="1">
      <c r="B51" s="63" t="s">
        <v>1222</v>
      </c>
      <c r="C51" s="64" t="s">
        <v>1223</v>
      </c>
      <c r="D51" s="64" t="s">
        <v>1224</v>
      </c>
      <c r="E51" s="65" t="s">
        <v>1225</v>
      </c>
      <c r="F51" s="4" t="s">
        <v>1226</v>
      </c>
      <c r="G51" s="59" t="s">
        <v>1227</v>
      </c>
      <c r="H51" s="59"/>
      <c r="I51" s="17" t="s">
        <v>246</v>
      </c>
      <c r="J51" s="17" t="s">
        <v>1224</v>
      </c>
      <c r="K51" s="17"/>
      <c r="L51" s="4" t="s">
        <v>247</v>
      </c>
      <c r="M51" s="752" t="s">
        <v>248</v>
      </c>
      <c r="N51" s="764" t="s">
        <v>249</v>
      </c>
      <c r="O51" s="765" t="s">
        <v>250</v>
      </c>
      <c r="P51" s="766" t="s">
        <v>251</v>
      </c>
      <c r="Q51" s="767" t="s">
        <v>252</v>
      </c>
      <c r="R51" s="768"/>
    </row>
    <row r="52" spans="2:22" s="4" customFormat="1" ht="15">
      <c r="B52" s="63" t="s">
        <v>1228</v>
      </c>
      <c r="C52" s="64">
        <v>20.7</v>
      </c>
      <c r="D52" s="64"/>
      <c r="E52" s="66">
        <f>L8</f>
        <v>1.8159907895190751E-2</v>
      </c>
      <c r="F52" s="67">
        <f>K8</f>
        <v>1.82829421635834E-2</v>
      </c>
      <c r="G52" s="59">
        <f>K9</f>
        <v>1.8036873626798098E-2</v>
      </c>
      <c r="H52" s="59"/>
      <c r="I52" s="17">
        <f>C52*I8</f>
        <v>1.7514542570068745</v>
      </c>
      <c r="J52" s="769">
        <f>I52/I58</f>
        <v>0.23057644110275691</v>
      </c>
      <c r="K52" s="17"/>
      <c r="L52" s="4" t="s">
        <v>247</v>
      </c>
      <c r="M52" s="4">
        <f>J52*H8</f>
        <v>2.7251253132832081</v>
      </c>
      <c r="N52" s="770">
        <v>0.23100000000000001</v>
      </c>
      <c r="O52" s="765">
        <f>N52*(G8+G9)/2</f>
        <v>4.9578932041781994E-2</v>
      </c>
      <c r="P52" s="766">
        <f>'Calculations - vol current'!C53 +460</f>
        <v>460</v>
      </c>
      <c r="Q52" s="767">
        <f>N52*(11.515-172/P52^0.5 +1530/P52)/32</f>
        <v>4.9243032340822328E-2</v>
      </c>
      <c r="R52" s="768" t="s">
        <v>253</v>
      </c>
    </row>
    <row r="53" spans="2:22" s="4" customFormat="1" ht="15">
      <c r="B53" s="68" t="s">
        <v>1213</v>
      </c>
      <c r="C53" s="18">
        <v>0</v>
      </c>
      <c r="D53" s="18"/>
      <c r="E53" s="69">
        <f>L23</f>
        <v>2.3666310454089394E-2</v>
      </c>
      <c r="F53" s="67">
        <f>K23</f>
        <v>2.4413890357835359E-2</v>
      </c>
      <c r="G53" s="59">
        <f>K24</f>
        <v>2.2918730550343432E-2</v>
      </c>
      <c r="I53" s="17"/>
      <c r="J53" s="769"/>
      <c r="K53" s="17"/>
      <c r="N53" s="770"/>
      <c r="O53" s="765"/>
      <c r="P53" s="766"/>
      <c r="Q53" s="767"/>
      <c r="R53" s="768"/>
    </row>
    <row r="54" spans="2:22" s="4" customFormat="1" ht="15">
      <c r="B54" s="68" t="s">
        <v>1229</v>
      </c>
      <c r="C54" s="18">
        <v>78.3</v>
      </c>
      <c r="D54" s="18"/>
      <c r="E54" s="69">
        <f>L11</f>
        <v>1.8161364599176031E-2</v>
      </c>
      <c r="F54" s="67">
        <f>K11</f>
        <v>1.7858338626755829E-2</v>
      </c>
      <c r="G54" s="59">
        <f>K12</f>
        <v>1.8464390571596233E-2</v>
      </c>
      <c r="I54" s="17">
        <f>C54*I11</f>
        <v>5.7969328397673188</v>
      </c>
      <c r="J54" s="769">
        <f>I54/I58</f>
        <v>0.76315789473684215</v>
      </c>
      <c r="K54" s="17"/>
      <c r="L54" s="4">
        <f>(J54+J55)/J52</f>
        <v>3.3369565217391304</v>
      </c>
      <c r="M54" s="4">
        <f>(1-J52)*H11</f>
        <v>10.392713927676333</v>
      </c>
      <c r="N54" s="770">
        <f>1-N52</f>
        <v>0.76900000000000002</v>
      </c>
      <c r="O54" s="765">
        <f>N54*(G11+G12)/2</f>
        <v>0.18864196436760855</v>
      </c>
      <c r="P54" s="766">
        <f>P52</f>
        <v>460</v>
      </c>
      <c r="Q54" s="767">
        <f>N54*(9.47-3.47*10^3/P54 +1.07*10^6/P54^2)/28</f>
        <v>0.19178949297866596</v>
      </c>
      <c r="R54" s="768" t="s">
        <v>254</v>
      </c>
    </row>
    <row r="55" spans="2:22" s="4" customFormat="1" ht="16.5" thickBot="1">
      <c r="B55" s="68" t="s">
        <v>1230</v>
      </c>
      <c r="C55" s="18">
        <v>1</v>
      </c>
      <c r="D55" s="18"/>
      <c r="E55" s="69">
        <f>L20</f>
        <v>2.1571465308594613E-2</v>
      </c>
      <c r="F55" s="67">
        <f>K20</f>
        <v>2.1119981648089311E-2</v>
      </c>
      <c r="G55" s="59">
        <f>K21</f>
        <v>2.2022948969099915E-2</v>
      </c>
      <c r="I55" s="17">
        <f>C55*I20</f>
        <v>4.7593865679534643E-2</v>
      </c>
      <c r="J55" s="769">
        <f>I55/I58</f>
        <v>6.2656641604010039E-3</v>
      </c>
      <c r="K55" s="17"/>
      <c r="N55" s="771" t="s">
        <v>321</v>
      </c>
      <c r="O55" s="772">
        <f>O52+O54</f>
        <v>0.23822089640939054</v>
      </c>
      <c r="P55" s="773"/>
      <c r="Q55" s="774">
        <f>SUM(Q52:Q54)</f>
        <v>0.24103252531948829</v>
      </c>
      <c r="R55" s="775"/>
    </row>
    <row r="56" spans="2:22" s="4" customFormat="1">
      <c r="B56" s="68"/>
      <c r="C56" s="18"/>
      <c r="D56" s="18"/>
      <c r="E56" s="70"/>
      <c r="G56" s="59"/>
      <c r="I56" s="17"/>
      <c r="J56" s="17"/>
      <c r="K56" s="17"/>
    </row>
    <row r="57" spans="2:22" s="4" customFormat="1">
      <c r="B57" s="68" t="s">
        <v>1172</v>
      </c>
      <c r="C57" s="18">
        <f>SUM(C52:C56)</f>
        <v>100</v>
      </c>
      <c r="D57" s="18"/>
      <c r="E57" s="70"/>
      <c r="I57" s="17"/>
      <c r="J57" s="17"/>
      <c r="K57" s="17"/>
    </row>
    <row r="58" spans="2:22" s="4" customFormat="1" ht="13.5" thickBot="1">
      <c r="B58" s="71" t="s">
        <v>1231</v>
      </c>
      <c r="C58" s="72"/>
      <c r="D58" s="72"/>
      <c r="E58" s="73">
        <f>($C$52*E52+$C$53*E53+$C$54*E54+$C$55*E55)/100</f>
        <v>1.8195164068545263E-2</v>
      </c>
      <c r="F58" s="73">
        <f>($C$52*F52+$C$53*F53+$C$54*F54+$C$55*F55)/100</f>
        <v>1.7978847989092474E-2</v>
      </c>
      <c r="G58" s="73">
        <f>($C$52*G52+$C$53*G53+$C$54*G54+$C$55*G55)/100</f>
        <v>1.8411480147998052E-2</v>
      </c>
      <c r="I58" s="17">
        <f>SUM(I52:I55)</f>
        <v>7.5959809624537273</v>
      </c>
      <c r="J58" s="17"/>
      <c r="K58" s="17"/>
      <c r="M58" s="4">
        <f>M52+M54</f>
        <v>13.11783924095954</v>
      </c>
    </row>
    <row r="59" spans="2:22" s="4" customFormat="1">
      <c r="I59" s="17"/>
      <c r="J59" s="17"/>
      <c r="K59" s="17"/>
    </row>
    <row r="60" spans="2:22" s="4" customFormat="1">
      <c r="F60" s="4" t="s">
        <v>1182</v>
      </c>
      <c r="G60" s="4">
        <f>(G58-F58)/(1000-60)</f>
        <v>4.6024697755912597E-7</v>
      </c>
      <c r="I60" s="17"/>
      <c r="J60" s="17"/>
      <c r="K60" s="17"/>
      <c r="S60" s="782" t="s">
        <v>939</v>
      </c>
      <c r="T60" s="782" t="s">
        <v>1041</v>
      </c>
      <c r="U60" s="782" t="s">
        <v>1040</v>
      </c>
      <c r="V60" s="782" t="s">
        <v>1039</v>
      </c>
    </row>
    <row r="61" spans="2:22" s="4" customFormat="1">
      <c r="F61" s="4" t="s">
        <v>1181</v>
      </c>
      <c r="G61" s="4">
        <f>G58-G60*1000</f>
        <v>1.7951233170438927E-2</v>
      </c>
      <c r="I61" s="17"/>
      <c r="J61" s="17"/>
      <c r="K61" s="17"/>
      <c r="N61" s="782" t="s">
        <v>1399</v>
      </c>
      <c r="O61" s="146" t="s">
        <v>1402</v>
      </c>
      <c r="P61" s="782" t="s">
        <v>1400</v>
      </c>
      <c r="S61" s="782">
        <f>0.2371</f>
        <v>0.23710000000000001</v>
      </c>
      <c r="T61" s="795">
        <f>(-0.000009)</f>
        <v>-9.0000000000000002E-6</v>
      </c>
      <c r="U61" s="782">
        <f>7*10^(-8)</f>
        <v>7.0000000000000005E-8</v>
      </c>
      <c r="V61" s="795">
        <v>-3E-11</v>
      </c>
    </row>
    <row r="62" spans="2:22" s="4" customFormat="1">
      <c r="I62" s="17"/>
      <c r="J62" s="17"/>
      <c r="K62" s="17"/>
      <c r="T62" s="786"/>
      <c r="U62" s="752"/>
    </row>
    <row r="63" spans="2:22" s="4" customFormat="1">
      <c r="E63" s="4" t="s">
        <v>1232</v>
      </c>
      <c r="I63" s="17"/>
      <c r="J63" s="17"/>
      <c r="K63" s="17"/>
      <c r="O63" s="782" t="s">
        <v>1399</v>
      </c>
      <c r="P63" s="146" t="s">
        <v>1402</v>
      </c>
      <c r="Q63" s="782" t="s">
        <v>1400</v>
      </c>
      <c r="T63" s="786"/>
      <c r="U63" s="752"/>
    </row>
    <row r="64" spans="2:22" s="4" customFormat="1">
      <c r="E64" s="4" t="s">
        <v>1183</v>
      </c>
      <c r="F64" s="4" t="s">
        <v>414</v>
      </c>
      <c r="I64" s="17"/>
      <c r="J64" s="17"/>
      <c r="K64" s="17"/>
      <c r="N64" s="781" t="s">
        <v>1401</v>
      </c>
      <c r="O64" s="781" t="s">
        <v>1403</v>
      </c>
      <c r="P64" s="781" t="s">
        <v>1405</v>
      </c>
      <c r="Q64" s="781" t="s">
        <v>1404</v>
      </c>
      <c r="R64" s="781" t="s">
        <v>1406</v>
      </c>
      <c r="S64" s="752" t="s">
        <v>1407</v>
      </c>
      <c r="T64" s="790" t="s">
        <v>1408</v>
      </c>
      <c r="U64" s="419"/>
    </row>
    <row r="65" spans="5:21" s="4" customFormat="1">
      <c r="E65" s="4">
        <v>60</v>
      </c>
      <c r="F65" s="4">
        <f t="shared" ref="F65:F81" si="0">$G$61+$G$60*E65</f>
        <v>1.7978847989092474E-2</v>
      </c>
      <c r="G65" s="4">
        <f t="shared" ref="G65:G81" si="1">F65*M58</f>
        <v>0.23584363765856378</v>
      </c>
      <c r="I65" s="17"/>
      <c r="J65" s="17"/>
      <c r="K65" s="17"/>
      <c r="N65" s="791">
        <v>0</v>
      </c>
      <c r="O65" s="791">
        <f>N65+460</f>
        <v>460</v>
      </c>
      <c r="P65" s="792">
        <f>0.231*(11.515-172/O65^0.5 +1530/O65)/32</f>
        <v>4.9243032340822328E-2</v>
      </c>
      <c r="Q65" s="792">
        <f>0.769*(9.47-3.47*10^3/O65 +1.07*10^6/O65^2)/28</f>
        <v>0.19178949297866596</v>
      </c>
      <c r="R65" s="792">
        <f>P65+Q65</f>
        <v>0.24103252531948829</v>
      </c>
      <c r="S65" s="793">
        <f>$S$61+$T$61*N65+$U$61*N65^2+$V$61*N65^3</f>
        <v>0.23710000000000001</v>
      </c>
      <c r="T65" s="794">
        <f>(R65-S65)/R65</f>
        <v>1.6315330531743517E-2</v>
      </c>
    </row>
    <row r="66" spans="5:21" s="4" customFormat="1">
      <c r="E66" s="4">
        <v>100</v>
      </c>
      <c r="F66" s="4">
        <f t="shared" si="0"/>
        <v>1.7997257868194842E-2</v>
      </c>
      <c r="G66" s="4">
        <f t="shared" si="1"/>
        <v>0</v>
      </c>
      <c r="I66" s="17"/>
      <c r="J66" s="17"/>
      <c r="K66" s="17"/>
      <c r="N66" s="791">
        <v>100</v>
      </c>
      <c r="O66" s="791">
        <f>N66+460</f>
        <v>560</v>
      </c>
      <c r="P66" s="792">
        <f>0.231*(11.515-172/O66^0.5 +1530/O66)/32</f>
        <v>5.0378329923635286E-2</v>
      </c>
      <c r="Q66" s="792">
        <f>0.769*(9.47-3.47*10^3/O66 +1.07*10^6/O66^2)/28</f>
        <v>0.18361416362973765</v>
      </c>
      <c r="R66" s="792">
        <f>P66+Q66</f>
        <v>0.23399249355337293</v>
      </c>
      <c r="S66" s="793">
        <f t="shared" ref="S66:S85" si="2">$S$61+$T$61*N66+$U$61*N66^2+$V$61*N66^3</f>
        <v>0.23687</v>
      </c>
      <c r="T66" s="794">
        <f t="shared" ref="T66:T85" si="3">(R66-S66)/R66</f>
        <v>-1.2297430583903413E-2</v>
      </c>
      <c r="U66" s="785"/>
    </row>
    <row r="67" spans="5:21" s="4" customFormat="1">
      <c r="E67" s="4">
        <f t="shared" ref="E67:E81" si="4">100+E66</f>
        <v>200</v>
      </c>
      <c r="F67" s="4">
        <f t="shared" si="0"/>
        <v>1.8043282565950752E-2</v>
      </c>
      <c r="G67" s="4">
        <f t="shared" si="1"/>
        <v>0</v>
      </c>
      <c r="I67" s="17"/>
      <c r="J67" s="17"/>
      <c r="K67" s="17"/>
      <c r="N67" s="791">
        <f>100+N66</f>
        <v>200</v>
      </c>
      <c r="O67" s="791">
        <f>N67+460</f>
        <v>660</v>
      </c>
      <c r="P67" s="792">
        <f>0.231*(11.515-172/O67^0.5 +1530/O67)/32</f>
        <v>5.152809367277246E-2</v>
      </c>
      <c r="Q67" s="792">
        <f>0.769*(9.47-3.47*10^3/O67 +1.07*10^6/O67^2)/28</f>
        <v>0.18315400006559099</v>
      </c>
      <c r="R67" s="792">
        <f>P67+Q67</f>
        <v>0.23468209373836346</v>
      </c>
      <c r="S67" s="793">
        <f t="shared" si="2"/>
        <v>0.23786000000000002</v>
      </c>
      <c r="T67" s="794">
        <f t="shared" si="3"/>
        <v>-1.3541323971565803E-2</v>
      </c>
      <c r="U67" s="785"/>
    </row>
    <row r="68" spans="5:21" s="4" customFormat="1">
      <c r="E68" s="4">
        <f t="shared" si="4"/>
        <v>300</v>
      </c>
      <c r="F68" s="4">
        <f t="shared" si="0"/>
        <v>1.8089307263706667E-2</v>
      </c>
      <c r="G68" s="4">
        <f t="shared" si="1"/>
        <v>0</v>
      </c>
      <c r="I68" s="17"/>
      <c r="J68" s="17"/>
      <c r="K68" s="17"/>
      <c r="N68" s="791">
        <f t="shared" ref="N68:N88" si="5">100+N67</f>
        <v>300</v>
      </c>
      <c r="O68" s="791">
        <f t="shared" ref="O68:O88" si="6">N68+460</f>
        <v>760</v>
      </c>
      <c r="P68" s="792">
        <f t="shared" ref="P68:P88" si="7">0.231*(11.515-172/O68^0.5 +1530/O68)/32</f>
        <v>5.2617917350489422E-2</v>
      </c>
      <c r="Q68" s="792">
        <f t="shared" ref="Q68:Q88" si="8">0.769*(9.47-3.47*10^3/O68 +1.07*10^6/O68^2)/28</f>
        <v>0.1855680381875742</v>
      </c>
      <c r="R68" s="792">
        <f t="shared" ref="R68:R88" si="9">P68+Q68</f>
        <v>0.23818595553806363</v>
      </c>
      <c r="S68" s="793">
        <f t="shared" si="2"/>
        <v>0.23988999999999999</v>
      </c>
      <c r="T68" s="794">
        <f t="shared" si="3"/>
        <v>-7.1542608718760028E-3</v>
      </c>
      <c r="U68" s="785"/>
    </row>
    <row r="69" spans="5:21" s="4" customFormat="1">
      <c r="E69" s="4">
        <f t="shared" si="4"/>
        <v>400</v>
      </c>
      <c r="F69" s="4">
        <f t="shared" si="0"/>
        <v>1.8135331961462577E-2</v>
      </c>
      <c r="G69" s="4">
        <f t="shared" si="1"/>
        <v>0</v>
      </c>
      <c r="I69" s="17"/>
      <c r="J69" s="17"/>
      <c r="K69" s="17"/>
      <c r="N69" s="791">
        <f t="shared" si="5"/>
        <v>400</v>
      </c>
      <c r="O69" s="791">
        <f t="shared" si="6"/>
        <v>860</v>
      </c>
      <c r="P69" s="792">
        <f t="shared" si="7"/>
        <v>5.3627505046469605E-2</v>
      </c>
      <c r="Q69" s="792">
        <f t="shared" si="8"/>
        <v>0.18900493645213631</v>
      </c>
      <c r="R69" s="792">
        <f t="shared" si="9"/>
        <v>0.24263244149860591</v>
      </c>
      <c r="S69" s="793">
        <f t="shared" si="2"/>
        <v>0.24278000000000002</v>
      </c>
      <c r="T69" s="794">
        <f t="shared" si="3"/>
        <v>-6.0815652054904852E-4</v>
      </c>
      <c r="U69" s="785"/>
    </row>
    <row r="70" spans="5:21" s="4" customFormat="1">
      <c r="E70" s="4">
        <f t="shared" si="4"/>
        <v>500</v>
      </c>
      <c r="F70" s="4">
        <f t="shared" si="0"/>
        <v>1.8181356659218492E-2</v>
      </c>
      <c r="G70" s="4">
        <f t="shared" si="1"/>
        <v>0</v>
      </c>
      <c r="I70" s="783"/>
      <c r="J70" s="17"/>
      <c r="K70" s="17"/>
      <c r="N70" s="791">
        <f t="shared" si="5"/>
        <v>500</v>
      </c>
      <c r="O70" s="791">
        <f t="shared" si="6"/>
        <v>960</v>
      </c>
      <c r="P70" s="792">
        <f t="shared" si="7"/>
        <v>5.4555514502210141E-2</v>
      </c>
      <c r="Q70" s="792">
        <f t="shared" si="8"/>
        <v>0.19270153955853173</v>
      </c>
      <c r="R70" s="792">
        <f t="shared" si="9"/>
        <v>0.24725705406074186</v>
      </c>
      <c r="S70" s="793">
        <f t="shared" si="2"/>
        <v>0.24634999999999999</v>
      </c>
      <c r="T70" s="794">
        <f t="shared" si="3"/>
        <v>3.6684658570713406E-3</v>
      </c>
      <c r="U70" s="785"/>
    </row>
    <row r="71" spans="5:21" s="4" customFormat="1">
      <c r="E71" s="4">
        <f t="shared" si="4"/>
        <v>600</v>
      </c>
      <c r="F71" s="4">
        <f t="shared" si="0"/>
        <v>1.8227381356974402E-2</v>
      </c>
      <c r="G71" s="4">
        <f t="shared" si="1"/>
        <v>0</v>
      </c>
      <c r="I71" s="17"/>
      <c r="J71" s="17"/>
      <c r="K71" s="17"/>
      <c r="N71" s="791">
        <f t="shared" si="5"/>
        <v>600</v>
      </c>
      <c r="O71" s="791">
        <f t="shared" si="6"/>
        <v>1060</v>
      </c>
      <c r="P71" s="792">
        <f t="shared" si="7"/>
        <v>5.540721403748624E-2</v>
      </c>
      <c r="Q71" s="792">
        <f t="shared" si="8"/>
        <v>0.19633424922443171</v>
      </c>
      <c r="R71" s="792">
        <f t="shared" si="9"/>
        <v>0.25174146326191793</v>
      </c>
      <c r="S71" s="793">
        <f t="shared" si="2"/>
        <v>0.25042000000000003</v>
      </c>
      <c r="T71" s="794">
        <f t="shared" si="3"/>
        <v>5.2492872838473034E-3</v>
      </c>
      <c r="U71" s="785"/>
    </row>
    <row r="72" spans="5:21" s="4" customFormat="1">
      <c r="E72" s="4">
        <f t="shared" si="4"/>
        <v>700</v>
      </c>
      <c r="F72" s="4">
        <f t="shared" si="0"/>
        <v>1.8273406054730316E-2</v>
      </c>
      <c r="G72" s="4">
        <f t="shared" si="1"/>
        <v>0</v>
      </c>
      <c r="I72" s="17"/>
      <c r="J72" s="17"/>
      <c r="K72" s="17"/>
      <c r="N72" s="791">
        <f t="shared" si="5"/>
        <v>700</v>
      </c>
      <c r="O72" s="791">
        <f t="shared" si="6"/>
        <v>1160</v>
      </c>
      <c r="P72" s="792">
        <f t="shared" si="7"/>
        <v>5.6189823324839031E-2</v>
      </c>
      <c r="Q72" s="792">
        <f t="shared" si="8"/>
        <v>0.1997698585867165</v>
      </c>
      <c r="R72" s="792">
        <f t="shared" si="9"/>
        <v>0.25595968191155555</v>
      </c>
      <c r="S72" s="793">
        <f t="shared" si="2"/>
        <v>0.25480999999999998</v>
      </c>
      <c r="T72" s="794">
        <f t="shared" si="3"/>
        <v>4.4916523687227759E-3</v>
      </c>
      <c r="U72" s="785"/>
    </row>
    <row r="73" spans="5:21" s="4" customFormat="1">
      <c r="E73" s="4">
        <f t="shared" si="4"/>
        <v>800</v>
      </c>
      <c r="F73" s="4">
        <f t="shared" si="0"/>
        <v>1.8319430752486227E-2</v>
      </c>
      <c r="G73" s="4">
        <f t="shared" si="1"/>
        <v>0</v>
      </c>
      <c r="I73" s="17"/>
      <c r="J73" s="17"/>
      <c r="K73" s="17"/>
      <c r="N73" s="791">
        <f t="shared" si="5"/>
        <v>800</v>
      </c>
      <c r="O73" s="791">
        <f t="shared" si="6"/>
        <v>1260</v>
      </c>
      <c r="P73" s="792">
        <f t="shared" si="7"/>
        <v>5.6910709532423526E-2</v>
      </c>
      <c r="Q73" s="792">
        <f t="shared" si="8"/>
        <v>0.20296120982255336</v>
      </c>
      <c r="R73" s="792">
        <f t="shared" si="9"/>
        <v>0.25987191935497689</v>
      </c>
      <c r="S73" s="793">
        <f t="shared" si="2"/>
        <v>0.25934000000000001</v>
      </c>
      <c r="T73" s="794">
        <f t="shared" si="3"/>
        <v>2.0468519888456587E-3</v>
      </c>
      <c r="U73" s="785"/>
    </row>
    <row r="74" spans="5:21" s="4" customFormat="1">
      <c r="E74" s="4">
        <f t="shared" si="4"/>
        <v>900</v>
      </c>
      <c r="F74" s="4">
        <f t="shared" si="0"/>
        <v>1.8365455450242141E-2</v>
      </c>
      <c r="G74" s="4">
        <f t="shared" si="1"/>
        <v>0</v>
      </c>
      <c r="I74" s="17"/>
      <c r="J74" s="17"/>
      <c r="K74" s="17"/>
      <c r="N74" s="791">
        <f t="shared" si="5"/>
        <v>900</v>
      </c>
      <c r="O74" s="791">
        <f t="shared" si="6"/>
        <v>1360</v>
      </c>
      <c r="P74" s="792">
        <f t="shared" si="7"/>
        <v>5.7576715038863885E-2</v>
      </c>
      <c r="Q74" s="792">
        <f t="shared" si="8"/>
        <v>0.20590065280523978</v>
      </c>
      <c r="R74" s="792">
        <f t="shared" si="9"/>
        <v>0.26347736784410369</v>
      </c>
      <c r="S74" s="793">
        <f t="shared" si="2"/>
        <v>0.26383000000000001</v>
      </c>
      <c r="T74" s="794">
        <f t="shared" si="3"/>
        <v>-1.3383774051703877E-3</v>
      </c>
      <c r="U74" s="785"/>
    </row>
    <row r="75" spans="5:21" s="4" customFormat="1">
      <c r="E75" s="4">
        <f t="shared" si="4"/>
        <v>1000</v>
      </c>
      <c r="F75" s="4">
        <f t="shared" si="0"/>
        <v>1.8411480147998052E-2</v>
      </c>
      <c r="G75" s="4">
        <f t="shared" si="1"/>
        <v>0</v>
      </c>
      <c r="I75" s="17"/>
      <c r="J75" s="17"/>
      <c r="K75" s="17"/>
      <c r="N75" s="791">
        <f t="shared" si="5"/>
        <v>1000</v>
      </c>
      <c r="O75" s="791">
        <f t="shared" si="6"/>
        <v>1460</v>
      </c>
      <c r="P75" s="792">
        <f t="shared" si="7"/>
        <v>5.819394930775109E-2</v>
      </c>
      <c r="Q75" s="792">
        <f t="shared" si="8"/>
        <v>0.20859833639385575</v>
      </c>
      <c r="R75" s="792">
        <f t="shared" si="9"/>
        <v>0.26679228570160685</v>
      </c>
      <c r="S75" s="793">
        <f t="shared" si="2"/>
        <v>0.2681</v>
      </c>
      <c r="T75" s="794">
        <f t="shared" si="3"/>
        <v>-4.9016196062571637E-3</v>
      </c>
      <c r="U75" s="785"/>
    </row>
    <row r="76" spans="5:21" s="4" customFormat="1">
      <c r="E76" s="4">
        <f t="shared" si="4"/>
        <v>1100</v>
      </c>
      <c r="F76" s="4">
        <f t="shared" si="0"/>
        <v>1.8457504845753966E-2</v>
      </c>
      <c r="G76" s="4">
        <f t="shared" si="1"/>
        <v>0</v>
      </c>
      <c r="I76" s="17"/>
      <c r="J76" s="17"/>
      <c r="K76" s="17"/>
      <c r="N76" s="791">
        <f t="shared" si="5"/>
        <v>1100</v>
      </c>
      <c r="O76" s="791">
        <f t="shared" si="6"/>
        <v>1560</v>
      </c>
      <c r="P76" s="792">
        <f t="shared" si="7"/>
        <v>5.8767771218233948E-2</v>
      </c>
      <c r="Q76" s="792">
        <f t="shared" si="8"/>
        <v>0.2110717932281394</v>
      </c>
      <c r="R76" s="792">
        <f t="shared" si="9"/>
        <v>0.26983956444637336</v>
      </c>
      <c r="S76" s="793">
        <f t="shared" si="2"/>
        <v>0.27196999999999999</v>
      </c>
      <c r="T76" s="794">
        <f t="shared" si="3"/>
        <v>-7.8951934198293709E-3</v>
      </c>
      <c r="U76" s="785"/>
    </row>
    <row r="77" spans="5:21" s="4" customFormat="1">
      <c r="E77" s="4">
        <f t="shared" si="4"/>
        <v>1200</v>
      </c>
      <c r="F77" s="4">
        <f t="shared" si="0"/>
        <v>1.8503529543509877E-2</v>
      </c>
      <c r="G77" s="4">
        <f t="shared" si="1"/>
        <v>0</v>
      </c>
      <c r="I77" s="17"/>
      <c r="J77" s="17"/>
      <c r="K77" s="17"/>
      <c r="N77" s="791">
        <f t="shared" si="5"/>
        <v>1200</v>
      </c>
      <c r="O77" s="791">
        <f t="shared" si="6"/>
        <v>1660</v>
      </c>
      <c r="P77" s="792">
        <f t="shared" si="7"/>
        <v>5.9302845390681695E-2</v>
      </c>
      <c r="Q77" s="792">
        <f t="shared" si="8"/>
        <v>0.21334088904672047</v>
      </c>
      <c r="R77" s="792">
        <f t="shared" si="9"/>
        <v>0.27264373443740214</v>
      </c>
      <c r="S77" s="793">
        <f t="shared" si="2"/>
        <v>0.27526</v>
      </c>
      <c r="T77" s="794">
        <f t="shared" si="3"/>
        <v>-9.5959130254597777E-3</v>
      </c>
      <c r="U77" s="785"/>
    </row>
    <row r="78" spans="5:21" s="4" customFormat="1">
      <c r="E78" s="4">
        <f t="shared" si="4"/>
        <v>1300</v>
      </c>
      <c r="F78" s="4">
        <f t="shared" si="0"/>
        <v>1.8549554241265791E-2</v>
      </c>
      <c r="G78" s="4">
        <f t="shared" si="1"/>
        <v>0</v>
      </c>
      <c r="I78" s="17"/>
      <c r="J78" s="17"/>
      <c r="K78" s="17"/>
      <c r="N78" s="791">
        <f t="shared" si="5"/>
        <v>1300</v>
      </c>
      <c r="O78" s="791">
        <f t="shared" si="6"/>
        <v>1760</v>
      </c>
      <c r="P78" s="792">
        <f t="shared" si="7"/>
        <v>5.9803222190698536E-2</v>
      </c>
      <c r="Q78" s="792">
        <f t="shared" si="8"/>
        <v>0.21542540270808738</v>
      </c>
      <c r="R78" s="792">
        <f t="shared" si="9"/>
        <v>0.27522862489878591</v>
      </c>
      <c r="S78" s="793">
        <f t="shared" si="2"/>
        <v>0.27778999999999998</v>
      </c>
      <c r="T78" s="794">
        <f t="shared" si="3"/>
        <v>-9.3063543160018473E-3</v>
      </c>
      <c r="U78" s="785"/>
    </row>
    <row r="79" spans="5:21" s="4" customFormat="1">
      <c r="E79" s="4">
        <f t="shared" si="4"/>
        <v>1400</v>
      </c>
      <c r="F79" s="4">
        <f t="shared" si="0"/>
        <v>1.8595578939021702E-2</v>
      </c>
      <c r="G79" s="4">
        <f t="shared" si="1"/>
        <v>0</v>
      </c>
      <c r="I79" s="17"/>
      <c r="J79" s="17"/>
      <c r="K79" s="17"/>
      <c r="N79" s="791">
        <f t="shared" si="5"/>
        <v>1400</v>
      </c>
      <c r="O79" s="791">
        <f t="shared" si="6"/>
        <v>1860</v>
      </c>
      <c r="P79" s="792">
        <f t="shared" si="7"/>
        <v>6.0272419959847119E-2</v>
      </c>
      <c r="Q79" s="792">
        <f t="shared" si="8"/>
        <v>0.21734392320334311</v>
      </c>
      <c r="R79" s="792">
        <f t="shared" si="9"/>
        <v>0.27761634316319023</v>
      </c>
      <c r="S79" s="793">
        <f t="shared" si="2"/>
        <v>0.27938000000000002</v>
      </c>
      <c r="T79" s="794">
        <f t="shared" si="3"/>
        <v>-6.352856667999068E-3</v>
      </c>
      <c r="U79" s="785"/>
    </row>
    <row r="80" spans="5:21" s="4" customFormat="1">
      <c r="E80" s="4">
        <f t="shared" si="4"/>
        <v>1500</v>
      </c>
      <c r="F80" s="4">
        <f t="shared" si="0"/>
        <v>1.8641603636777616E-2</v>
      </c>
      <c r="G80" s="4">
        <f t="shared" si="1"/>
        <v>0</v>
      </c>
      <c r="I80" s="17"/>
      <c r="J80" s="17"/>
      <c r="K80" s="17"/>
      <c r="N80" s="791">
        <f t="shared" si="5"/>
        <v>1500</v>
      </c>
      <c r="O80" s="791">
        <f t="shared" si="6"/>
        <v>1960</v>
      </c>
      <c r="P80" s="792">
        <f t="shared" si="7"/>
        <v>6.0713500894238832E-2</v>
      </c>
      <c r="Q80" s="792">
        <f t="shared" si="8"/>
        <v>0.21911341152495986</v>
      </c>
      <c r="R80" s="792">
        <f t="shared" si="9"/>
        <v>0.27982691241919871</v>
      </c>
      <c r="S80" s="793">
        <f t="shared" si="2"/>
        <v>0.27984999999999999</v>
      </c>
      <c r="T80" s="794">
        <f t="shared" si="3"/>
        <v>-8.2506648848294022E-5</v>
      </c>
      <c r="U80" s="785"/>
    </row>
    <row r="81" spans="4:21" s="4" customFormat="1">
      <c r="E81" s="4">
        <f t="shared" si="4"/>
        <v>1600</v>
      </c>
      <c r="F81" s="4">
        <f t="shared" si="0"/>
        <v>1.8687628334533531E-2</v>
      </c>
      <c r="G81" s="4">
        <f t="shared" si="1"/>
        <v>0</v>
      </c>
      <c r="I81" s="17"/>
      <c r="J81" s="17"/>
      <c r="K81" s="17"/>
      <c r="N81" s="791">
        <f t="shared" si="5"/>
        <v>1600</v>
      </c>
      <c r="O81" s="791">
        <f t="shared" si="6"/>
        <v>2060</v>
      </c>
      <c r="P81" s="792">
        <f t="shared" si="7"/>
        <v>6.1129137755824715E-2</v>
      </c>
      <c r="Q81" s="792">
        <f t="shared" si="8"/>
        <v>0.22074909568021761</v>
      </c>
      <c r="R81" s="792">
        <f t="shared" si="9"/>
        <v>0.28187823343604235</v>
      </c>
      <c r="S81" s="793">
        <f t="shared" si="2"/>
        <v>0.27902000000000005</v>
      </c>
      <c r="T81" s="794">
        <f t="shared" si="3"/>
        <v>1.0139957957026253E-2</v>
      </c>
      <c r="U81" s="785"/>
    </row>
    <row r="82" spans="4:21" s="4" customFormat="1">
      <c r="G82" s="776" t="s">
        <v>162</v>
      </c>
      <c r="I82" s="17"/>
      <c r="J82" s="17"/>
      <c r="K82" s="17"/>
      <c r="N82" s="12">
        <f t="shared" si="5"/>
        <v>1700</v>
      </c>
      <c r="O82" s="12">
        <f t="shared" si="6"/>
        <v>2160</v>
      </c>
      <c r="P82" s="784">
        <f t="shared" si="7"/>
        <v>6.1521671126473436E-2</v>
      </c>
      <c r="Q82" s="784">
        <f t="shared" si="8"/>
        <v>0.2222645273613561</v>
      </c>
      <c r="R82" s="784">
        <f t="shared" si="9"/>
        <v>0.28378619848782954</v>
      </c>
      <c r="S82" s="787">
        <f t="shared" si="2"/>
        <v>0.27671000000000001</v>
      </c>
      <c r="T82" s="789">
        <f t="shared" si="3"/>
        <v>2.4934963453245605E-2</v>
      </c>
      <c r="U82" s="785"/>
    </row>
    <row r="83" spans="4:21" s="4" customFormat="1">
      <c r="D83" s="752" t="s">
        <v>255</v>
      </c>
      <c r="E83" s="4">
        <f>'Calculations - vol current'!C53</f>
        <v>0</v>
      </c>
      <c r="F83" s="4">
        <f>$G$61+$G$60*E83</f>
        <v>1.7951233170438927E-2</v>
      </c>
      <c r="G83" s="776">
        <f>F83*M58</f>
        <v>0.23548139090679829</v>
      </c>
      <c r="I83" s="17"/>
      <c r="J83" s="17"/>
      <c r="K83" s="17"/>
      <c r="N83" s="12">
        <f t="shared" si="5"/>
        <v>1800</v>
      </c>
      <c r="O83" s="12">
        <f t="shared" si="6"/>
        <v>2260</v>
      </c>
      <c r="P83" s="784">
        <f t="shared" si="7"/>
        <v>6.1893157946827704E-2</v>
      </c>
      <c r="Q83" s="784">
        <f t="shared" si="8"/>
        <v>0.22367171097971653</v>
      </c>
      <c r="R83" s="784">
        <f t="shared" si="9"/>
        <v>0.2855648689265442</v>
      </c>
      <c r="S83" s="787">
        <f t="shared" si="2"/>
        <v>0.27273999999999998</v>
      </c>
      <c r="T83" s="789">
        <f t="shared" si="3"/>
        <v>4.491052759659718E-2</v>
      </c>
      <c r="U83" s="785"/>
    </row>
    <row r="84" spans="4:21" s="4" customFormat="1">
      <c r="I84" s="17"/>
      <c r="J84" s="17"/>
      <c r="K84" s="17"/>
      <c r="N84" s="12">
        <f t="shared" si="5"/>
        <v>1900</v>
      </c>
      <c r="O84" s="12">
        <f t="shared" si="6"/>
        <v>2360</v>
      </c>
      <c r="P84" s="784">
        <f t="shared" si="7"/>
        <v>6.2245412427497614E-2</v>
      </c>
      <c r="Q84" s="784">
        <f t="shared" si="8"/>
        <v>0.22498125877210984</v>
      </c>
      <c r="R84" s="784">
        <f t="shared" si="9"/>
        <v>0.28722667119960743</v>
      </c>
      <c r="S84" s="787">
        <f t="shared" si="2"/>
        <v>0.26693</v>
      </c>
      <c r="T84" s="789">
        <f t="shared" si="3"/>
        <v>7.0664298391364608E-2</v>
      </c>
      <c r="U84" s="785"/>
    </row>
    <row r="85" spans="4:21" s="4" customFormat="1">
      <c r="I85" s="17"/>
      <c r="J85" s="17"/>
      <c r="K85" s="17"/>
      <c r="N85" s="12">
        <f t="shared" si="5"/>
        <v>2000</v>
      </c>
      <c r="O85" s="12">
        <f t="shared" si="6"/>
        <v>2460</v>
      </c>
      <c r="P85" s="784">
        <f t="shared" si="7"/>
        <v>6.2580040458751887E-2</v>
      </c>
      <c r="Q85" s="784">
        <f t="shared" si="8"/>
        <v>0.22620254848776714</v>
      </c>
      <c r="R85" s="784">
        <f t="shared" si="9"/>
        <v>0.28878258894651904</v>
      </c>
      <c r="S85" s="787">
        <f t="shared" si="2"/>
        <v>0.25910000000000005</v>
      </c>
      <c r="T85" s="789">
        <f t="shared" si="3"/>
        <v>0.102785244272521</v>
      </c>
      <c r="U85" s="785"/>
    </row>
    <row r="86" spans="4:21" s="4" customFormat="1">
      <c r="I86" s="17"/>
      <c r="J86" s="17"/>
      <c r="K86" s="17"/>
      <c r="N86" s="12">
        <f t="shared" si="5"/>
        <v>2100</v>
      </c>
      <c r="O86" s="12">
        <f t="shared" si="6"/>
        <v>2560</v>
      </c>
      <c r="P86" s="784">
        <f t="shared" si="7"/>
        <v>6.2898468555896481E-2</v>
      </c>
      <c r="Q86" s="784">
        <f t="shared" si="8"/>
        <v>0.22734387233189177</v>
      </c>
      <c r="R86" s="784">
        <f t="shared" si="9"/>
        <v>0.29024234088778822</v>
      </c>
      <c r="S86" s="788"/>
      <c r="U86" s="785"/>
    </row>
    <row r="87" spans="4:21" s="4" customFormat="1">
      <c r="I87" s="17"/>
      <c r="J87" s="17"/>
      <c r="K87" s="17"/>
      <c r="N87" s="12">
        <f t="shared" si="5"/>
        <v>2200</v>
      </c>
      <c r="O87" s="12">
        <f t="shared" si="6"/>
        <v>2660</v>
      </c>
      <c r="P87" s="784">
        <f t="shared" si="7"/>
        <v>6.3201968245098689E-2</v>
      </c>
      <c r="Q87" s="784">
        <f t="shared" si="8"/>
        <v>0.22841257232097428</v>
      </c>
      <c r="R87" s="784">
        <f t="shared" si="9"/>
        <v>0.29161454056607294</v>
      </c>
      <c r="S87" s="788"/>
      <c r="U87" s="785"/>
    </row>
    <row r="88" spans="4:21" s="4" customFormat="1">
      <c r="I88" s="17"/>
      <c r="J88" s="17"/>
      <c r="K88" s="17"/>
      <c r="N88" s="12">
        <f t="shared" si="5"/>
        <v>2300</v>
      </c>
      <c r="O88" s="12">
        <f t="shared" si="6"/>
        <v>2760</v>
      </c>
      <c r="P88" s="784">
        <f t="shared" si="7"/>
        <v>6.3491676656759588E-2</v>
      </c>
      <c r="Q88" s="784">
        <f t="shared" si="8"/>
        <v>0.22941516060551509</v>
      </c>
      <c r="R88" s="784">
        <f t="shared" si="9"/>
        <v>0.29290683726227468</v>
      </c>
      <c r="S88" s="788" t="e">
        <f>$T$65-$T$64*N88+$T$63*N88^2-$T$62*N88^3+$T$61*N88^4</f>
        <v>#VALUE!</v>
      </c>
      <c r="U88" s="785"/>
    </row>
    <row r="89" spans="4:21" s="4" customFormat="1">
      <c r="I89" s="17"/>
      <c r="J89" s="17"/>
      <c r="K89" s="17"/>
      <c r="N89" s="12"/>
      <c r="O89" s="12"/>
      <c r="P89" s="12"/>
      <c r="Q89" s="12"/>
      <c r="R89" s="12"/>
    </row>
    <row r="90" spans="4:21" s="4" customFormat="1">
      <c r="I90" s="17"/>
      <c r="J90" s="17"/>
      <c r="K90" s="17"/>
    </row>
    <row r="91" spans="4:21" s="4" customFormat="1">
      <c r="I91" s="17"/>
      <c r="J91" s="17"/>
      <c r="K91" s="17"/>
    </row>
    <row r="92" spans="4:21" s="4" customFormat="1">
      <c r="I92" s="17"/>
      <c r="J92" s="17"/>
      <c r="K92" s="17"/>
    </row>
    <row r="93" spans="4:21" s="4" customFormat="1">
      <c r="I93" s="17"/>
      <c r="J93" s="17"/>
      <c r="K93" s="17"/>
    </row>
  </sheetData>
  <mergeCells count="13">
    <mergeCell ref="L23:L24"/>
    <mergeCell ref="L26:L27"/>
    <mergeCell ref="L29:L30"/>
    <mergeCell ref="N50:R50"/>
    <mergeCell ref="L35:L36"/>
    <mergeCell ref="L38:L39"/>
    <mergeCell ref="L41:L42"/>
    <mergeCell ref="L32:L33"/>
    <mergeCell ref="L20:L21"/>
    <mergeCell ref="L8:L9"/>
    <mergeCell ref="L11:L12"/>
    <mergeCell ref="L14:L15"/>
    <mergeCell ref="L17:L18"/>
  </mergeCells>
  <phoneticPr fontId="5" type="noConversion"/>
  <pageMargins left="0.75" right="0.75" top="1" bottom="1" header="0.5" footer="0.5"/>
  <headerFooter alignWithMargins="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2:L39"/>
  <sheetViews>
    <sheetView workbookViewId="0"/>
  </sheetViews>
  <sheetFormatPr defaultRowHeight="12.75"/>
  <cols>
    <col min="1" max="1" width="45" customWidth="1"/>
    <col min="2" max="2" width="16.140625" customWidth="1"/>
    <col min="3" max="3" width="18.5703125" customWidth="1"/>
    <col min="4" max="4" width="29.7109375" customWidth="1"/>
    <col min="5" max="5" width="11.5703125" bestFit="1" customWidth="1"/>
  </cols>
  <sheetData>
    <row r="2" spans="1:6" ht="13.5" thickBot="1"/>
    <row r="3" spans="1:6" ht="15.75">
      <c r="A3" s="2751" t="s">
        <v>118</v>
      </c>
      <c r="B3" s="2752"/>
      <c r="C3" s="2753"/>
    </row>
    <row r="4" spans="1:6" ht="16.5" thickBot="1">
      <c r="A4" s="2754" t="s">
        <v>119</v>
      </c>
      <c r="B4" s="2755"/>
      <c r="C4" s="2756"/>
    </row>
    <row r="5" spans="1:6">
      <c r="A5" s="179"/>
      <c r="B5" s="179"/>
      <c r="C5" s="179"/>
    </row>
    <row r="6" spans="1:6" s="4" customFormat="1" ht="19.5" customHeight="1">
      <c r="A6" s="467" t="s">
        <v>120</v>
      </c>
      <c r="B6" s="2757" t="str">
        <f>'Flue gases'!C68</f>
        <v>Natural Gas - East Ohio</v>
      </c>
      <c r="C6" s="2758"/>
    </row>
    <row r="7" spans="1:6">
      <c r="A7" s="179"/>
      <c r="B7" s="179"/>
      <c r="C7" s="179"/>
    </row>
    <row r="8" spans="1:6" ht="15">
      <c r="A8" s="468" t="s">
        <v>121</v>
      </c>
      <c r="B8" s="469" t="s">
        <v>122</v>
      </c>
      <c r="C8" s="470"/>
    </row>
    <row r="9" spans="1:6" ht="15">
      <c r="A9" s="471" t="s">
        <v>123</v>
      </c>
      <c r="B9" s="472">
        <f>'Flue gases'!C71</f>
        <v>0.94099999999999995</v>
      </c>
      <c r="C9" s="473"/>
    </row>
    <row r="10" spans="1:6" ht="15">
      <c r="A10" s="474" t="s">
        <v>124</v>
      </c>
      <c r="B10" s="472">
        <f>'Flue gases'!C72</f>
        <v>3.0099999999999998E-2</v>
      </c>
      <c r="C10" s="473"/>
    </row>
    <row r="11" spans="1:6" ht="15">
      <c r="A11" s="474" t="s">
        <v>125</v>
      </c>
      <c r="B11" s="472">
        <f>'Flue gases'!C73</f>
        <v>1.41E-2</v>
      </c>
      <c r="C11" s="475" t="s">
        <v>1296</v>
      </c>
      <c r="F11" s="476"/>
    </row>
    <row r="12" spans="1:6" ht="15">
      <c r="A12" s="477" t="s">
        <v>45</v>
      </c>
      <c r="B12" s="472">
        <f>'Flue gases'!C74</f>
        <v>1E-4</v>
      </c>
      <c r="C12" s="478" t="s">
        <v>126</v>
      </c>
    </row>
    <row r="13" spans="1:6" ht="15">
      <c r="A13" s="477" t="s">
        <v>127</v>
      </c>
      <c r="B13" s="472">
        <f>'Flue gases'!C75</f>
        <v>4.1999999999999997E-3</v>
      </c>
      <c r="C13" s="478" t="s">
        <v>128</v>
      </c>
    </row>
    <row r="14" spans="1:6" ht="15">
      <c r="A14" s="477" t="s">
        <v>129</v>
      </c>
      <c r="B14" s="472">
        <f>'Flue gases'!C76</f>
        <v>2.8E-3</v>
      </c>
      <c r="C14" s="478" t="s">
        <v>130</v>
      </c>
    </row>
    <row r="15" spans="1:6" ht="15">
      <c r="A15" s="477" t="s">
        <v>319</v>
      </c>
      <c r="B15" s="472">
        <f>'Flue gases'!C77</f>
        <v>0</v>
      </c>
      <c r="C15" s="479" t="s">
        <v>131</v>
      </c>
    </row>
    <row r="16" spans="1:6" ht="15">
      <c r="A16" s="477" t="s">
        <v>132</v>
      </c>
      <c r="B16" s="472">
        <f>'Flue gases'!C78</f>
        <v>0</v>
      </c>
      <c r="C16" s="473"/>
    </row>
    <row r="17" spans="1:12" ht="15">
      <c r="A17" s="477" t="s">
        <v>318</v>
      </c>
      <c r="B17" s="472">
        <f>'Flue gases'!C79</f>
        <v>2.0000000000000002E-5</v>
      </c>
      <c r="C17" s="473"/>
    </row>
    <row r="18" spans="1:12" ht="15">
      <c r="A18" s="477" t="s">
        <v>320</v>
      </c>
      <c r="B18" s="472">
        <f>'Flue gases'!C80</f>
        <v>0</v>
      </c>
      <c r="C18" s="473"/>
    </row>
    <row r="19" spans="1:12" ht="15">
      <c r="A19" s="477" t="s">
        <v>48</v>
      </c>
      <c r="B19" s="472">
        <f>'Flue gases'!C81</f>
        <v>1E-4</v>
      </c>
      <c r="C19" s="473"/>
    </row>
    <row r="20" spans="1:12" ht="15">
      <c r="A20" s="480" t="s">
        <v>300</v>
      </c>
      <c r="B20" s="481">
        <f>SUM(B9:B19)</f>
        <v>0.99241999999999997</v>
      </c>
      <c r="C20" s="473"/>
    </row>
    <row r="21" spans="1:12">
      <c r="A21" s="482" t="s">
        <v>133</v>
      </c>
      <c r="B21" s="483">
        <f>1-B20</f>
        <v>7.5800000000000312E-3</v>
      </c>
      <c r="C21" s="484"/>
    </row>
    <row r="22" spans="1:12">
      <c r="A22" s="179"/>
      <c r="B22" s="179"/>
      <c r="C22" s="179"/>
    </row>
    <row r="23" spans="1:12" hidden="1">
      <c r="A23" s="485" t="s">
        <v>134</v>
      </c>
      <c r="B23" s="486" t="s">
        <v>1116</v>
      </c>
      <c r="C23" s="487">
        <v>0</v>
      </c>
    </row>
    <row r="24" spans="1:12" hidden="1">
      <c r="A24" s="488"/>
      <c r="B24" s="489"/>
      <c r="C24" s="488"/>
    </row>
    <row r="25" spans="1:12" ht="18" customHeight="1">
      <c r="A25" s="490" t="s">
        <v>135</v>
      </c>
      <c r="B25" s="491" t="s">
        <v>80</v>
      </c>
      <c r="C25" s="492">
        <f>'Flue gases'!E87</f>
        <v>0</v>
      </c>
    </row>
    <row r="26" spans="1:12" ht="18" customHeight="1">
      <c r="A26" s="493" t="s">
        <v>433</v>
      </c>
      <c r="B26" s="494" t="s">
        <v>80</v>
      </c>
      <c r="C26" s="492">
        <f>'Flue gases'!E88</f>
        <v>0</v>
      </c>
    </row>
    <row r="27" spans="1:12" ht="18" customHeight="1">
      <c r="A27" s="493" t="s">
        <v>434</v>
      </c>
      <c r="B27" s="494" t="s">
        <v>80</v>
      </c>
      <c r="C27" s="492">
        <f>'Flue gases'!E89</f>
        <v>0</v>
      </c>
    </row>
    <row r="28" spans="1:12" ht="18" customHeight="1">
      <c r="A28" s="495" t="s">
        <v>136</v>
      </c>
      <c r="B28" s="496" t="s">
        <v>1116</v>
      </c>
      <c r="C28" s="497">
        <f>'Flue gases'!E90</f>
        <v>0</v>
      </c>
      <c r="D28" s="10"/>
      <c r="E28" s="498"/>
      <c r="F28" s="498"/>
      <c r="G28" s="498"/>
      <c r="H28" s="498"/>
      <c r="I28" s="498"/>
      <c r="J28" s="498"/>
      <c r="K28" s="498"/>
      <c r="L28" s="13"/>
    </row>
    <row r="29" spans="1:12" ht="15" hidden="1">
      <c r="A29" s="499" t="s">
        <v>137</v>
      </c>
      <c r="B29" s="500" t="s">
        <v>1116</v>
      </c>
      <c r="C29" s="501"/>
    </row>
    <row r="30" spans="1:12" ht="13.5" thickBot="1">
      <c r="A30" s="502"/>
      <c r="B30" s="503"/>
      <c r="C30" s="179"/>
    </row>
    <row r="31" spans="1:12" s="4" customFormat="1" ht="18">
      <c r="A31" s="2746" t="s">
        <v>599</v>
      </c>
      <c r="B31" s="2747"/>
      <c r="C31" s="2748"/>
    </row>
    <row r="32" spans="1:12" s="7" customFormat="1" ht="20.100000000000001" customHeight="1">
      <c r="A32" s="504" t="s">
        <v>138</v>
      </c>
      <c r="B32" s="505" t="s">
        <v>1116</v>
      </c>
      <c r="C32" s="506">
        <f>'Calculations vol mod'!H75</f>
        <v>0.90133904135354603</v>
      </c>
    </row>
    <row r="33" spans="1:11" s="1" customFormat="1" ht="41.25" customHeight="1">
      <c r="A33" s="2759" t="s">
        <v>139</v>
      </c>
      <c r="B33" s="507" t="s">
        <v>256</v>
      </c>
      <c r="C33" s="508">
        <f>'Calculations vol mod'!C48*37.3</f>
        <v>38539.004116989592</v>
      </c>
      <c r="D33" s="509"/>
    </row>
    <row r="34" spans="1:11" s="1" customFormat="1" ht="41.25" customHeight="1">
      <c r="A34" s="2760"/>
      <c r="B34" s="510" t="s">
        <v>257</v>
      </c>
      <c r="C34" s="511">
        <f>'Calculations vol mod'!C48*8.9</f>
        <v>9195.6336901127997</v>
      </c>
      <c r="D34" s="509"/>
    </row>
    <row r="35" spans="1:11" s="4" customFormat="1" ht="30.75" customHeight="1">
      <c r="A35" s="504" t="s">
        <v>140</v>
      </c>
      <c r="B35" s="505" t="s">
        <v>1116</v>
      </c>
      <c r="C35" s="512">
        <f>'Calculations vol mod'!I14</f>
        <v>0</v>
      </c>
      <c r="D35" s="509"/>
    </row>
    <row r="36" spans="1:11" s="1" customFormat="1" ht="36.75" customHeight="1">
      <c r="A36" s="513" t="s">
        <v>141</v>
      </c>
      <c r="B36" s="2749" t="s">
        <v>258</v>
      </c>
      <c r="C36" s="514">
        <f>'Calculations vol mod'!C80</f>
        <v>10.227344463652615</v>
      </c>
      <c r="E36" s="284"/>
      <c r="F36" s="284"/>
      <c r="G36" s="284"/>
      <c r="H36" s="284"/>
      <c r="I36" s="284"/>
      <c r="J36" s="284"/>
      <c r="K36" s="284"/>
    </row>
    <row r="37" spans="1:11" s="4" customFormat="1" ht="40.5" customHeight="1" thickBot="1">
      <c r="A37" s="515" t="s">
        <v>142</v>
      </c>
      <c r="B37" s="2750"/>
      <c r="C37" s="516">
        <f>'Calculations vol mod'!C83</f>
        <v>10.227344463652615</v>
      </c>
      <c r="D37" s="509"/>
      <c r="E37" s="284"/>
      <c r="F37" s="284"/>
      <c r="G37" s="284"/>
      <c r="H37" s="284"/>
      <c r="I37" s="284"/>
      <c r="J37" s="284"/>
      <c r="K37" s="284"/>
    </row>
    <row r="38" spans="1:11" ht="20.100000000000001" customHeight="1">
      <c r="D38" s="517"/>
    </row>
    <row r="39" spans="1:11">
      <c r="D39" s="509"/>
    </row>
  </sheetData>
  <mergeCells count="6">
    <mergeCell ref="A31:C31"/>
    <mergeCell ref="B36:B37"/>
    <mergeCell ref="A3:C3"/>
    <mergeCell ref="A4:C4"/>
    <mergeCell ref="B6:C6"/>
    <mergeCell ref="A33:A34"/>
  </mergeCells>
  <phoneticPr fontId="104" type="noConversion"/>
  <pageMargins left="0.7" right="0.7" top="0.75" bottom="0.75" header="0.3" footer="0.3"/>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G104"/>
  <sheetViews>
    <sheetView workbookViewId="0"/>
  </sheetViews>
  <sheetFormatPr defaultRowHeight="12.75"/>
  <cols>
    <col min="1" max="1" width="27.7109375" customWidth="1"/>
    <col min="2" max="2" width="12.42578125" customWidth="1"/>
    <col min="3" max="3" width="19.5703125" customWidth="1"/>
    <col min="4" max="4" width="10.85546875" customWidth="1"/>
    <col min="6" max="6" width="11.85546875" customWidth="1"/>
    <col min="7" max="7" width="12" style="3" customWidth="1"/>
    <col min="8" max="8" width="18.85546875" style="562" customWidth="1"/>
    <col min="9" max="9" width="16.140625" style="562" customWidth="1"/>
    <col min="10" max="10" width="13.140625" style="562" customWidth="1"/>
    <col min="11" max="11" width="14" style="552" customWidth="1"/>
    <col min="12" max="12" width="14.7109375" style="552" customWidth="1"/>
    <col min="13" max="13" width="12.28515625" style="3" customWidth="1"/>
    <col min="14" max="14" width="9.28515625" style="3" customWidth="1"/>
    <col min="15" max="15" width="13.85546875" style="3" customWidth="1"/>
    <col min="16" max="16" width="11.140625" style="3" customWidth="1"/>
    <col min="17" max="17" width="10.42578125" customWidth="1"/>
    <col min="18" max="18" width="10" customWidth="1"/>
    <col min="19" max="23" width="12.7109375" customWidth="1"/>
    <col min="24" max="24" width="25" customWidth="1"/>
    <col min="25" max="25" width="8" customWidth="1"/>
    <col min="26" max="29" width="12.7109375" customWidth="1"/>
    <col min="30" max="30" width="13.140625" customWidth="1"/>
    <col min="31" max="31" width="15.28515625" customWidth="1"/>
  </cols>
  <sheetData>
    <row r="1" spans="1:30" s="96" customFormat="1">
      <c r="A1" s="518"/>
      <c r="B1" s="518"/>
      <c r="C1" s="2761" t="s">
        <v>143</v>
      </c>
      <c r="D1" s="2761"/>
      <c r="E1" s="2761"/>
      <c r="F1" s="2761" t="s">
        <v>144</v>
      </c>
      <c r="G1" s="2761"/>
      <c r="H1" s="2761"/>
      <c r="I1" s="519"/>
      <c r="J1" s="519" t="s">
        <v>321</v>
      </c>
      <c r="K1" s="520" t="s">
        <v>1113</v>
      </c>
      <c r="L1" s="521"/>
      <c r="M1" s="522"/>
      <c r="N1" s="522"/>
      <c r="O1" s="522"/>
      <c r="P1" s="522"/>
    </row>
    <row r="2" spans="1:30" s="96" customFormat="1" ht="25.5">
      <c r="A2" s="518"/>
      <c r="B2" s="518"/>
      <c r="C2" s="523" t="s">
        <v>318</v>
      </c>
      <c r="D2" s="523" t="s">
        <v>319</v>
      </c>
      <c r="E2" s="523" t="s">
        <v>50</v>
      </c>
      <c r="F2" s="524" t="s">
        <v>318</v>
      </c>
      <c r="G2" s="524" t="s">
        <v>319</v>
      </c>
      <c r="H2" s="524" t="s">
        <v>50</v>
      </c>
      <c r="I2" s="519" t="s">
        <v>145</v>
      </c>
      <c r="J2" s="519"/>
      <c r="K2" s="520" t="s">
        <v>320</v>
      </c>
      <c r="L2" s="525" t="s">
        <v>146</v>
      </c>
      <c r="M2" s="526" t="s">
        <v>147</v>
      </c>
      <c r="N2" s="526" t="s">
        <v>148</v>
      </c>
      <c r="O2" s="522"/>
      <c r="P2" s="522"/>
    </row>
    <row r="3" spans="1:30" ht="15">
      <c r="A3" s="527" t="s">
        <v>149</v>
      </c>
      <c r="B3" s="528">
        <f>'Data-Results vol mod '!C23</f>
        <v>0</v>
      </c>
      <c r="C3" s="466">
        <v>3.18</v>
      </c>
      <c r="D3" s="466">
        <v>0.57199999999999995</v>
      </c>
      <c r="E3" s="466">
        <v>9.3000000000000007</v>
      </c>
      <c r="F3" s="529">
        <f>$B$3*C3</f>
        <v>0</v>
      </c>
      <c r="G3" s="529">
        <f>$B$3*D3</f>
        <v>0</v>
      </c>
      <c r="H3" s="530">
        <f>$B$3*E3</f>
        <v>0</v>
      </c>
      <c r="I3" s="531">
        <v>0</v>
      </c>
      <c r="J3" s="532">
        <f>SUM(F3:H3)</f>
        <v>0</v>
      </c>
      <c r="K3" s="533">
        <v>0</v>
      </c>
      <c r="L3" s="534">
        <f>0.231*12.052*B3</f>
        <v>0</v>
      </c>
      <c r="M3" s="535">
        <f>L3/0.231</f>
        <v>0</v>
      </c>
      <c r="N3" s="535">
        <f>M3</f>
        <v>0</v>
      </c>
    </row>
    <row r="4" spans="1:30" ht="15">
      <c r="A4" s="527" t="s">
        <v>150</v>
      </c>
      <c r="B4" s="528">
        <f>C57</f>
        <v>0</v>
      </c>
      <c r="C4" s="466"/>
      <c r="D4" s="466"/>
      <c r="E4" s="466"/>
      <c r="F4" s="529">
        <f>F3</f>
        <v>0</v>
      </c>
      <c r="G4" s="529">
        <f>G3</f>
        <v>0</v>
      </c>
      <c r="H4" s="530">
        <f>H3+I4/(1-0.231)</f>
        <v>0</v>
      </c>
      <c r="I4" s="532">
        <f>B4*L3</f>
        <v>0</v>
      </c>
      <c r="J4" s="532">
        <f>SUM(F4:I4)</f>
        <v>0</v>
      </c>
      <c r="K4" s="533">
        <v>0</v>
      </c>
      <c r="L4" s="534">
        <f>I4</f>
        <v>0</v>
      </c>
      <c r="M4" s="535">
        <f>L4/0.231</f>
        <v>0</v>
      </c>
    </row>
    <row r="5" spans="1:30">
      <c r="A5" s="466"/>
      <c r="B5" s="536"/>
      <c r="C5" s="466"/>
      <c r="D5" s="466"/>
      <c r="E5" s="466"/>
      <c r="F5" s="529"/>
      <c r="G5" s="529"/>
      <c r="H5" s="529"/>
      <c r="I5" s="533"/>
      <c r="J5" s="537"/>
      <c r="K5" s="533"/>
      <c r="L5" s="534"/>
    </row>
    <row r="6" spans="1:30">
      <c r="A6" s="466"/>
      <c r="B6" s="536"/>
      <c r="C6" s="466"/>
      <c r="D6" s="466"/>
      <c r="E6" s="466"/>
      <c r="F6" s="529"/>
      <c r="G6" s="529"/>
      <c r="H6" s="529"/>
      <c r="I6" s="533"/>
      <c r="J6" s="537"/>
      <c r="K6" s="533"/>
      <c r="L6" s="534"/>
    </row>
    <row r="7" spans="1:30" s="1" customFormat="1" ht="25.5">
      <c r="A7" s="538" t="s">
        <v>151</v>
      </c>
      <c r="B7" s="539">
        <f>1-B3</f>
        <v>1</v>
      </c>
      <c r="C7" s="20"/>
      <c r="D7" s="20"/>
      <c r="E7" s="20"/>
      <c r="F7" s="540">
        <f>$B$7*Q40</f>
        <v>2.7095835212488995</v>
      </c>
      <c r="G7" s="540">
        <f>$B$7*R40</f>
        <v>2.1253493533810555</v>
      </c>
      <c r="H7" s="541">
        <f>B7*T40</f>
        <v>12.864032287414576</v>
      </c>
      <c r="I7" s="541">
        <f>B7*U40</f>
        <v>0</v>
      </c>
      <c r="J7" s="541">
        <f>SUM(F7:I7)+K7</f>
        <v>17.69896516204453</v>
      </c>
      <c r="K7" s="542">
        <f>B7*S40</f>
        <v>0</v>
      </c>
      <c r="L7" s="543">
        <f>I7+B7*U36</f>
        <v>3.8574609524322874</v>
      </c>
      <c r="M7" s="544">
        <f>L7/0.231</f>
        <v>16.698965162044534</v>
      </c>
      <c r="N7" s="544">
        <f>M7-I7/0.231</f>
        <v>16.698965162044534</v>
      </c>
      <c r="O7" s="2"/>
      <c r="P7" s="2"/>
    </row>
    <row r="8" spans="1:30">
      <c r="A8" s="466"/>
      <c r="B8" s="466"/>
      <c r="C8" s="466"/>
      <c r="D8" s="466"/>
      <c r="E8" s="466"/>
      <c r="F8" s="529"/>
      <c r="G8" s="545"/>
      <c r="H8" s="537"/>
      <c r="I8" s="537"/>
      <c r="J8" s="537"/>
      <c r="K8" s="533"/>
      <c r="L8" s="534"/>
    </row>
    <row r="9" spans="1:30" s="1" customFormat="1" ht="30">
      <c r="A9" s="546" t="s">
        <v>152</v>
      </c>
      <c r="B9" s="546"/>
      <c r="C9" s="546"/>
      <c r="D9" s="546"/>
      <c r="E9" s="546"/>
      <c r="F9" s="547">
        <f t="shared" ref="F9:K9" si="0">F4+F7</f>
        <v>2.7095835212488995</v>
      </c>
      <c r="G9" s="547">
        <f t="shared" si="0"/>
        <v>2.1253493533810555</v>
      </c>
      <c r="H9" s="547">
        <f t="shared" si="0"/>
        <v>12.864032287414576</v>
      </c>
      <c r="I9" s="547">
        <f t="shared" si="0"/>
        <v>0</v>
      </c>
      <c r="J9" s="547">
        <f t="shared" si="0"/>
        <v>17.69896516204453</v>
      </c>
      <c r="K9" s="547">
        <f t="shared" si="0"/>
        <v>0</v>
      </c>
      <c r="L9" s="543">
        <f>SUM(L3:L7)</f>
        <v>3.8574609524322874</v>
      </c>
      <c r="M9" s="544">
        <f>SUM(M3:M7)</f>
        <v>16.698965162044534</v>
      </c>
      <c r="N9" s="544">
        <f>M9/(1+B4)</f>
        <v>16.698965162044534</v>
      </c>
      <c r="O9" s="544"/>
      <c r="P9" s="2"/>
    </row>
    <row r="10" spans="1:30">
      <c r="A10" s="548" t="s">
        <v>153</v>
      </c>
      <c r="B10" s="549"/>
      <c r="C10" s="549"/>
      <c r="D10" s="549"/>
      <c r="E10" s="549"/>
      <c r="F10" s="550">
        <f t="shared" ref="F10:K10" si="1">F9/$J$9</f>
        <v>0.15309276539283817</v>
      </c>
      <c r="G10" s="550">
        <f t="shared" si="1"/>
        <v>0.1200832553724029</v>
      </c>
      <c r="H10" s="550">
        <f t="shared" si="1"/>
        <v>0.72682397923475894</v>
      </c>
      <c r="I10" s="550">
        <f t="shared" si="1"/>
        <v>0</v>
      </c>
      <c r="J10" s="551">
        <f t="shared" si="1"/>
        <v>1</v>
      </c>
      <c r="K10" s="550">
        <f t="shared" si="1"/>
        <v>0</v>
      </c>
    </row>
    <row r="11" spans="1:30">
      <c r="A11" s="548" t="s">
        <v>154</v>
      </c>
      <c r="B11" s="549"/>
      <c r="C11" s="549"/>
      <c r="D11" s="549"/>
      <c r="E11" s="549"/>
      <c r="F11" s="550">
        <f>F9/($J$9-$G$9)</f>
        <v>0.17398551206981622</v>
      </c>
      <c r="G11" s="537">
        <v>0</v>
      </c>
      <c r="H11" s="550">
        <f>H9/($J$9-$G$9)</f>
        <v>0.82601448793018384</v>
      </c>
      <c r="I11" s="550">
        <f>I9/($J$9-$G$9)</f>
        <v>0</v>
      </c>
      <c r="J11" s="551">
        <f>SUM(F11:I11)</f>
        <v>1</v>
      </c>
      <c r="K11" s="550">
        <f>K9/($J$9-$G$9)</f>
        <v>0</v>
      </c>
    </row>
    <row r="12" spans="1:30">
      <c r="A12" s="553" t="s">
        <v>155</v>
      </c>
      <c r="B12" s="466"/>
      <c r="C12" s="466"/>
      <c r="D12" s="466"/>
      <c r="E12" s="466"/>
      <c r="F12" s="554">
        <f>F9*'Cp calculations  (3)'!H23</f>
        <v>23.290101994007586</v>
      </c>
      <c r="G12" s="555">
        <f>G9*'Cp calculations  (3)'!H20</f>
        <v>44.655951413817505</v>
      </c>
      <c r="H12" s="533">
        <f>H9*'Cp calculations  (3)'!H11</f>
        <v>173.75632182500686</v>
      </c>
      <c r="I12" s="533">
        <f>I9*'Cp calculations  (3)'!H8</f>
        <v>0</v>
      </c>
      <c r="J12" s="556">
        <f>SUM(F12:I12)+K12</f>
        <v>241.70237523283197</v>
      </c>
      <c r="K12" s="533">
        <f>K9*'Cp calculations  (3)'!H41</f>
        <v>0</v>
      </c>
    </row>
    <row r="13" spans="1:30" ht="15">
      <c r="A13" s="557" t="s">
        <v>156</v>
      </c>
      <c r="B13" s="557"/>
      <c r="C13" s="557"/>
      <c r="D13" s="557"/>
      <c r="E13" s="557"/>
      <c r="F13" s="558">
        <f t="shared" ref="F13:K13" si="2">F12/$J$12</f>
        <v>9.6358597930914919E-2</v>
      </c>
      <c r="G13" s="558">
        <f t="shared" si="2"/>
        <v>0.18475594776758156</v>
      </c>
      <c r="H13" s="558">
        <f t="shared" si="2"/>
        <v>0.71888545430150341</v>
      </c>
      <c r="I13" s="558">
        <f t="shared" si="2"/>
        <v>0</v>
      </c>
      <c r="J13" s="558">
        <f t="shared" si="2"/>
        <v>1</v>
      </c>
      <c r="K13" s="558">
        <f t="shared" si="2"/>
        <v>0</v>
      </c>
      <c r="N13" s="559" t="s">
        <v>1113</v>
      </c>
    </row>
    <row r="14" spans="1:30" ht="15">
      <c r="A14" s="557" t="s">
        <v>157</v>
      </c>
      <c r="B14" s="557"/>
      <c r="C14" s="557"/>
      <c r="D14" s="557"/>
      <c r="E14" s="557"/>
      <c r="F14" s="560">
        <f>F12/($J$12-$G$12)</f>
        <v>0.11819601463764373</v>
      </c>
      <c r="G14" s="561">
        <v>0</v>
      </c>
      <c r="H14" s="560">
        <f>H12/($J$12-$G$12)</f>
        <v>0.88180398536235616</v>
      </c>
      <c r="I14" s="560">
        <f>I12/($J$12-$G$12)</f>
        <v>0</v>
      </c>
      <c r="J14" s="561">
        <f>SUM(F14:I14)</f>
        <v>0.99999999999999989</v>
      </c>
      <c r="K14" s="558">
        <f>K12/($J$12-$G$12)</f>
        <v>0</v>
      </c>
    </row>
    <row r="15" spans="1:30">
      <c r="AC15" s="563">
        <f>T39*'Cp calculations  (3)'!H11</f>
        <v>0</v>
      </c>
      <c r="AD15" s="563">
        <f>U39*'Cp calculations  (3)'!H8</f>
        <v>0</v>
      </c>
    </row>
    <row r="16" spans="1:30" ht="15">
      <c r="A16" s="564" t="s">
        <v>158</v>
      </c>
      <c r="B16" s="564"/>
      <c r="C16" s="564"/>
      <c r="I16" s="565" t="s">
        <v>159</v>
      </c>
      <c r="J16" s="566">
        <f>J9/J12</f>
        <v>7.3226277337966217E-2</v>
      </c>
      <c r="K16" s="567" t="s">
        <v>160</v>
      </c>
      <c r="AC16" s="563"/>
      <c r="AD16" s="563"/>
    </row>
    <row r="17" spans="1:33" ht="15">
      <c r="A17" s="568" t="s">
        <v>161</v>
      </c>
      <c r="B17" s="564" t="s">
        <v>162</v>
      </c>
      <c r="C17" s="569">
        <v>15720</v>
      </c>
      <c r="I17" s="565" t="s">
        <v>163</v>
      </c>
      <c r="J17" s="567">
        <f>1/J16</f>
        <v>13.656299846906487</v>
      </c>
      <c r="K17" s="567" t="s">
        <v>164</v>
      </c>
      <c r="AC17" s="563"/>
      <c r="AD17" s="563"/>
    </row>
    <row r="18" spans="1:33" ht="15">
      <c r="A18" s="568" t="s">
        <v>165</v>
      </c>
      <c r="B18" s="564" t="s">
        <v>162</v>
      </c>
      <c r="C18" s="570">
        <f>C47</f>
        <v>23081.065532346693</v>
      </c>
      <c r="AC18" s="563"/>
      <c r="AD18" s="563"/>
    </row>
    <row r="19" spans="1:33" s="1" customFormat="1" ht="30">
      <c r="A19" s="571" t="s">
        <v>166</v>
      </c>
      <c r="B19" s="572" t="s">
        <v>162</v>
      </c>
      <c r="C19" s="573">
        <f>C17*B3+C18*B7</f>
        <v>23081.065532346693</v>
      </c>
      <c r="G19" s="2"/>
      <c r="H19" s="574"/>
      <c r="I19" s="574"/>
      <c r="J19" s="574"/>
      <c r="K19" s="575"/>
      <c r="L19" s="575"/>
      <c r="M19" s="2"/>
      <c r="N19" s="2"/>
      <c r="O19" s="2"/>
      <c r="P19" s="2"/>
    </row>
    <row r="20" spans="1:33">
      <c r="A20" s="576"/>
      <c r="B20" s="476"/>
      <c r="C20" s="563"/>
    </row>
    <row r="21" spans="1:33">
      <c r="A21" s="576"/>
      <c r="B21" s="476"/>
      <c r="C21" s="563"/>
    </row>
    <row r="22" spans="1:33" ht="13.5" thickBot="1"/>
    <row r="23" spans="1:33" s="7" customFormat="1" ht="24" customHeight="1">
      <c r="A23" s="2794" t="s">
        <v>259</v>
      </c>
      <c r="B23" s="2795"/>
      <c r="C23" s="2795"/>
      <c r="D23" s="2795"/>
      <c r="E23" s="2795"/>
      <c r="F23" s="2795"/>
      <c r="G23" s="2796"/>
      <c r="H23" s="2796"/>
      <c r="I23" s="366"/>
      <c r="J23" s="366"/>
      <c r="K23" s="577" t="s">
        <v>287</v>
      </c>
      <c r="L23" s="577"/>
      <c r="M23" s="2782" t="s">
        <v>167</v>
      </c>
      <c r="N23" s="2783"/>
      <c r="O23" s="2792" t="s">
        <v>168</v>
      </c>
      <c r="P23" s="2793"/>
      <c r="Q23" s="2804" t="s">
        <v>169</v>
      </c>
      <c r="R23" s="2805"/>
      <c r="S23" s="2805"/>
      <c r="T23" s="2805"/>
      <c r="U23" s="579" t="s">
        <v>170</v>
      </c>
      <c r="V23" s="580"/>
      <c r="W23" s="578" t="s">
        <v>1172</v>
      </c>
      <c r="X23" s="581"/>
      <c r="Y23" s="581"/>
      <c r="Z23" s="2806" t="s">
        <v>171</v>
      </c>
      <c r="AA23" s="2807"/>
      <c r="AB23" s="2807"/>
      <c r="AC23" s="2807"/>
      <c r="AD23" s="582"/>
      <c r="AE23" s="582"/>
      <c r="AF23" s="582"/>
      <c r="AG23" s="582"/>
    </row>
    <row r="24" spans="1:33" s="147" customFormat="1" ht="30">
      <c r="A24" s="583" t="s">
        <v>121</v>
      </c>
      <c r="B24" s="584" t="s">
        <v>1202</v>
      </c>
      <c r="C24" s="584" t="s">
        <v>172</v>
      </c>
      <c r="D24" s="584" t="s">
        <v>318</v>
      </c>
      <c r="E24" s="584" t="s">
        <v>319</v>
      </c>
      <c r="F24" s="584" t="s">
        <v>320</v>
      </c>
      <c r="G24" s="585" t="s">
        <v>122</v>
      </c>
      <c r="H24" s="586" t="s">
        <v>173</v>
      </c>
      <c r="I24" s="586" t="s">
        <v>174</v>
      </c>
      <c r="J24" s="586" t="s">
        <v>175</v>
      </c>
      <c r="K24" s="587"/>
      <c r="L24" s="587" t="s">
        <v>176</v>
      </c>
      <c r="M24" s="2782"/>
      <c r="N24" s="2783"/>
      <c r="O24" s="588" t="s">
        <v>177</v>
      </c>
      <c r="P24" s="589" t="s">
        <v>1116</v>
      </c>
      <c r="Q24" s="590" t="s">
        <v>318</v>
      </c>
      <c r="R24" s="590" t="s">
        <v>319</v>
      </c>
      <c r="S24" s="590" t="s">
        <v>320</v>
      </c>
      <c r="T24" s="590" t="s">
        <v>50</v>
      </c>
      <c r="U24" s="590" t="s">
        <v>48</v>
      </c>
      <c r="V24" s="590" t="s">
        <v>1113</v>
      </c>
      <c r="W24" s="591"/>
      <c r="X24" s="592"/>
      <c r="Y24" s="592"/>
      <c r="Z24" s="593" t="s">
        <v>318</v>
      </c>
      <c r="AA24" s="593" t="s">
        <v>319</v>
      </c>
      <c r="AB24" s="593" t="s">
        <v>320</v>
      </c>
      <c r="AC24" s="593" t="s">
        <v>50</v>
      </c>
      <c r="AD24" s="593" t="s">
        <v>48</v>
      </c>
      <c r="AE24" s="594" t="s">
        <v>1172</v>
      </c>
      <c r="AF24" s="592"/>
      <c r="AG24" s="592"/>
    </row>
    <row r="25" spans="1:33" ht="15">
      <c r="A25" s="595" t="s">
        <v>123</v>
      </c>
      <c r="B25" s="596">
        <f>16.042</f>
        <v>16.042000000000002</v>
      </c>
      <c r="C25" s="596">
        <v>64</v>
      </c>
      <c r="D25" s="596">
        <f>B33</f>
        <v>44.01</v>
      </c>
      <c r="E25" s="596">
        <f>2*B31</f>
        <v>36.031999999999996</v>
      </c>
      <c r="F25" s="596"/>
      <c r="G25" s="597">
        <f>'Data-Results vol mod '!B9</f>
        <v>0.94099999999999995</v>
      </c>
      <c r="H25" s="598">
        <f t="shared" ref="H25:H35" si="3">G25*(1+$G$37)</f>
        <v>0.9481327799999999</v>
      </c>
      <c r="I25" s="599">
        <v>1012</v>
      </c>
      <c r="J25" s="599">
        <f t="shared" ref="J25:J35" si="4">I25*H25</f>
        <v>959.5103733599999</v>
      </c>
      <c r="K25" s="599">
        <v>23875</v>
      </c>
      <c r="L25" s="599">
        <f t="shared" ref="L25:L35" si="5">K25*P25</f>
        <v>20511.620828220701</v>
      </c>
      <c r="M25" s="2782"/>
      <c r="N25" s="2783"/>
      <c r="O25" s="600">
        <f>H25*'Cp calculations  (3)'!I26</f>
        <v>4.0111381491274453E-2</v>
      </c>
      <c r="P25" s="601">
        <f t="shared" ref="P25:P36" si="6">O25/$O$36</f>
        <v>0.85912547971605036</v>
      </c>
      <c r="Q25" s="602">
        <f>P25*D25/B25</f>
        <v>2.3569450419089497</v>
      </c>
      <c r="R25" s="602">
        <f>P25*E25/B25</f>
        <v>1.929685156783987</v>
      </c>
      <c r="S25" s="602"/>
      <c r="T25" s="602">
        <f>U25*(1-0.231)/0.231</f>
        <v>11.410178047156821</v>
      </c>
      <c r="U25" s="602">
        <f>P25*C25/B25</f>
        <v>3.4275047189768868</v>
      </c>
      <c r="V25" s="602">
        <f>T25/U25</f>
        <v>3.3290043290043285</v>
      </c>
      <c r="W25" s="602"/>
      <c r="X25" s="603"/>
      <c r="Y25" s="603"/>
      <c r="Z25" s="603">
        <f>Q25*'Cp calculations  (3)'!$H$23</f>
        <v>20.259013973862835</v>
      </c>
      <c r="AA25" s="603">
        <f>R25*'Cp calculations  (3)'!$H$20</f>
        <v>40.544829238650209</v>
      </c>
      <c r="AB25" s="603">
        <f>S25*'Cp calculations  (3)'!H41</f>
        <v>0</v>
      </c>
      <c r="AC25" s="603">
        <f>T25*'Cp calculations  (3)'!$H$11</f>
        <v>154.11890490838249</v>
      </c>
      <c r="AD25" s="603">
        <f>U25*'Cp calculations  (3)'!$H$8</f>
        <v>40.508821397408077</v>
      </c>
      <c r="AE25" s="603"/>
      <c r="AF25" s="603"/>
      <c r="AG25" s="603"/>
    </row>
    <row r="26" spans="1:33" ht="15">
      <c r="A26" s="595" t="s">
        <v>124</v>
      </c>
      <c r="B26" s="596">
        <v>30.068000000000001</v>
      </c>
      <c r="C26" s="596">
        <v>112</v>
      </c>
      <c r="D26" s="596">
        <f>2*B33</f>
        <v>88.02</v>
      </c>
      <c r="E26" s="596">
        <f>3*B31</f>
        <v>54.047999999999995</v>
      </c>
      <c r="F26" s="596"/>
      <c r="G26" s="597">
        <f>'Data-Results vol mod '!B10</f>
        <v>3.0099999999999998E-2</v>
      </c>
      <c r="H26" s="598">
        <f t="shared" si="3"/>
        <v>3.0328157999999997E-2</v>
      </c>
      <c r="I26" s="599">
        <v>1773</v>
      </c>
      <c r="J26" s="599">
        <f t="shared" si="4"/>
        <v>53.771824133999992</v>
      </c>
      <c r="K26" s="599">
        <v>22323</v>
      </c>
      <c r="L26" s="599">
        <f t="shared" si="5"/>
        <v>1073.5544575546983</v>
      </c>
      <c r="M26" s="2782"/>
      <c r="N26" s="2783"/>
      <c r="O26" s="600">
        <f>H26*'Cp calculations  (3)'!I29</f>
        <v>2.2453422104706505E-3</v>
      </c>
      <c r="P26" s="601">
        <f t="shared" si="6"/>
        <v>4.8091854031926631E-2</v>
      </c>
      <c r="Q26" s="602">
        <f>P26*D26/B26</f>
        <v>0.14078239297226891</v>
      </c>
      <c r="R26" s="602">
        <f>P26*E26/B26</f>
        <v>8.6446339188425245E-2</v>
      </c>
      <c r="S26" s="602"/>
      <c r="T26" s="602">
        <f>U26*(1-0.231)/0.231</f>
        <v>0.59634744277498808</v>
      </c>
      <c r="U26" s="602">
        <f>P26*C26/B26</f>
        <v>0.17913687812876755</v>
      </c>
      <c r="V26" s="602"/>
      <c r="W26" s="602"/>
      <c r="X26" s="603"/>
      <c r="Y26" s="603"/>
      <c r="Z26" s="603">
        <f>Q26*'Cp calculations  (3)'!$H$23</f>
        <v>1.2100886595934568</v>
      </c>
      <c r="AA26" s="603">
        <f>R26*'Cp calculations  (3)'!$H$20</f>
        <v>1.8163336378368014</v>
      </c>
      <c r="AB26" s="603">
        <f>S26*'Cp calculations  (3)'!H42</f>
        <v>0</v>
      </c>
      <c r="AC26" s="603">
        <f>T26*'Cp calculations  (3)'!$H$11</f>
        <v>8.0549501020535885</v>
      </c>
      <c r="AD26" s="603">
        <f>U26*'Cp calculations  (3)'!$H$8</f>
        <v>2.1171739783843715</v>
      </c>
      <c r="AE26" s="603"/>
      <c r="AF26" s="603"/>
      <c r="AG26" s="603"/>
    </row>
    <row r="27" spans="1:33" ht="15">
      <c r="A27" s="595" t="s">
        <v>125</v>
      </c>
      <c r="B27" s="596">
        <v>28.015999999999998</v>
      </c>
      <c r="C27" s="596">
        <v>0</v>
      </c>
      <c r="D27" s="596">
        <v>0</v>
      </c>
      <c r="E27" s="596">
        <v>0</v>
      </c>
      <c r="F27" s="596"/>
      <c r="G27" s="597">
        <f>'Data-Results vol mod '!B11</f>
        <v>1.41E-2</v>
      </c>
      <c r="H27" s="598">
        <f t="shared" si="3"/>
        <v>1.4206877999999999E-2</v>
      </c>
      <c r="I27" s="599">
        <v>0</v>
      </c>
      <c r="J27" s="599">
        <f t="shared" si="4"/>
        <v>0</v>
      </c>
      <c r="K27" s="599">
        <v>0</v>
      </c>
      <c r="L27" s="599">
        <f t="shared" si="5"/>
        <v>0</v>
      </c>
      <c r="M27" s="2782"/>
      <c r="N27" s="2783"/>
      <c r="O27" s="600">
        <f>H27*'Cp calculations  (3)'!I11</f>
        <v>1.0518048228450555E-3</v>
      </c>
      <c r="P27" s="601">
        <f t="shared" si="6"/>
        <v>2.2528077802331077E-2</v>
      </c>
      <c r="Q27" s="602"/>
      <c r="R27" s="602"/>
      <c r="S27" s="602"/>
      <c r="T27" s="604">
        <f>P27</f>
        <v>2.2528077802331077E-2</v>
      </c>
      <c r="U27" s="602"/>
      <c r="V27" s="602"/>
      <c r="W27" s="602"/>
      <c r="X27" s="603"/>
      <c r="Y27" s="603"/>
      <c r="Z27" s="603">
        <f>Q27*'Cp calculations  (3)'!$H$23</f>
        <v>0</v>
      </c>
      <c r="AA27" s="603">
        <f>R27*'Cp calculations  (3)'!$H$20</f>
        <v>0</v>
      </c>
      <c r="AB27" s="603">
        <f>S27*'Cp calculations  (3)'!H43</f>
        <v>0</v>
      </c>
      <c r="AC27" s="603">
        <f>T27*'Cp calculations  (3)'!$H$11</f>
        <v>0.30428996517291473</v>
      </c>
      <c r="AD27" s="603">
        <f>U27*'Cp calculations  (3)'!$H$8</f>
        <v>0</v>
      </c>
      <c r="AE27" s="603"/>
      <c r="AF27" s="603"/>
      <c r="AG27" s="603"/>
    </row>
    <row r="28" spans="1:33" ht="15">
      <c r="A28" s="605" t="s">
        <v>45</v>
      </c>
      <c r="B28" s="606">
        <v>2.016</v>
      </c>
      <c r="C28" s="606">
        <v>16</v>
      </c>
      <c r="D28" s="606">
        <v>0</v>
      </c>
      <c r="E28" s="606">
        <f>B31</f>
        <v>18.015999999999998</v>
      </c>
      <c r="F28" s="606"/>
      <c r="G28" s="597">
        <f>'Data-Results vol mod '!B12</f>
        <v>1E-4</v>
      </c>
      <c r="H28" s="598">
        <f t="shared" si="3"/>
        <v>1.00758E-4</v>
      </c>
      <c r="I28" s="599">
        <v>325</v>
      </c>
      <c r="J28" s="599">
        <f t="shared" si="4"/>
        <v>3.274635E-2</v>
      </c>
      <c r="K28" s="599">
        <v>61095</v>
      </c>
      <c r="L28" s="599">
        <f t="shared" si="5"/>
        <v>0.69724058426211621</v>
      </c>
      <c r="M28" s="2782"/>
      <c r="N28" s="2783"/>
      <c r="O28" s="600">
        <f>H28*'Cp calculations  (3)'!I17</f>
        <v>5.3282919090428349E-7</v>
      </c>
      <c r="P28" s="601">
        <f t="shared" si="6"/>
        <v>1.1412400102498015E-5</v>
      </c>
      <c r="Q28" s="602"/>
      <c r="R28" s="602">
        <f>P28*E28/B28</f>
        <v>1.0198700409057748E-4</v>
      </c>
      <c r="S28" s="602"/>
      <c r="T28" s="602">
        <f>U28*(1-0.231)/0.231</f>
        <v>3.0152324877416933E-4</v>
      </c>
      <c r="U28" s="602">
        <f>P28*C28/B28</f>
        <v>9.0574603988079485E-5</v>
      </c>
      <c r="V28" s="602"/>
      <c r="W28" s="602"/>
      <c r="X28" s="603"/>
      <c r="Y28" s="603"/>
      <c r="Z28" s="603">
        <f>Q28*'Cp calculations  (3)'!$H$23</f>
        <v>0</v>
      </c>
      <c r="AA28" s="603">
        <f>R28*'Cp calculations  (3)'!$H$20</f>
        <v>2.1428602748364669E-3</v>
      </c>
      <c r="AB28" s="603">
        <f>S28*'Cp calculations  (3)'!H44</f>
        <v>0</v>
      </c>
      <c r="AC28" s="603">
        <f>T28*'Cp calculations  (3)'!$H$11</f>
        <v>4.0727175959425297E-3</v>
      </c>
      <c r="AD28" s="603">
        <f>U28*'Cp calculations  (3)'!$H$8</f>
        <v>1.0704786008841143E-3</v>
      </c>
      <c r="AE28" s="603"/>
      <c r="AF28" s="603"/>
      <c r="AG28" s="603"/>
    </row>
    <row r="29" spans="1:33" ht="15">
      <c r="A29" s="605" t="s">
        <v>127</v>
      </c>
      <c r="B29" s="606">
        <v>44.094000000000001</v>
      </c>
      <c r="C29" s="606">
        <v>160</v>
      </c>
      <c r="D29" s="606">
        <f>3*B33</f>
        <v>132.03</v>
      </c>
      <c r="E29" s="606">
        <f>4*B31</f>
        <v>72.063999999999993</v>
      </c>
      <c r="F29" s="606"/>
      <c r="G29" s="597">
        <f>'Data-Results vol mod '!B13</f>
        <v>4.1999999999999997E-3</v>
      </c>
      <c r="H29" s="598">
        <f t="shared" si="3"/>
        <v>4.2318359999999992E-3</v>
      </c>
      <c r="I29" s="599">
        <v>2523</v>
      </c>
      <c r="J29" s="599">
        <f t="shared" si="4"/>
        <v>10.676922227999999</v>
      </c>
      <c r="K29" s="599">
        <v>21669</v>
      </c>
      <c r="L29" s="599">
        <f t="shared" si="5"/>
        <v>155.79603762724855</v>
      </c>
      <c r="M29" s="2782"/>
      <c r="N29" s="2783"/>
      <c r="O29" s="600">
        <f>H29*'Cp calculations  (3)'!I32</f>
        <v>3.3568239026969852E-4</v>
      </c>
      <c r="P29" s="601">
        <f t="shared" si="6"/>
        <v>7.1898120645737477E-3</v>
      </c>
      <c r="Q29" s="602">
        <f>P29*D29/B29</f>
        <v>2.1528345962844649E-2</v>
      </c>
      <c r="R29" s="602">
        <f>P29*E29/B29</f>
        <v>1.1750501578932338E-2</v>
      </c>
      <c r="S29" s="602"/>
      <c r="T29" s="602">
        <f>U29*(1-0.231)/0.231</f>
        <v>8.6850512043157108E-2</v>
      </c>
      <c r="U29" s="602">
        <f>P29*C29/B29</f>
        <v>2.6089035477203239E-2</v>
      </c>
      <c r="V29" s="602"/>
      <c r="W29" s="602"/>
      <c r="X29" s="603"/>
      <c r="Y29" s="603"/>
      <c r="Z29" s="603">
        <f>Q29*'Cp calculations  (3)'!$H$23</f>
        <v>0.18504591916245106</v>
      </c>
      <c r="AA29" s="603">
        <f>R29*'Cp calculations  (3)'!$H$20</f>
        <v>0.24689109428623388</v>
      </c>
      <c r="AB29" s="603">
        <f>S29*'Cp calculations  (3)'!H47</f>
        <v>0</v>
      </c>
      <c r="AC29" s="603">
        <f>T29*'Cp calculations  (3)'!$H$11</f>
        <v>1.1731022733829291</v>
      </c>
      <c r="AD29" s="603">
        <f>U29*'Cp calculations  (3)'!$H$8</f>
        <v>0.30833978804619577</v>
      </c>
      <c r="AE29" s="603"/>
      <c r="AF29" s="603"/>
      <c r="AG29" s="603"/>
    </row>
    <row r="30" spans="1:33" ht="15">
      <c r="A30" s="605" t="s">
        <v>129</v>
      </c>
      <c r="B30" s="606">
        <v>58.12</v>
      </c>
      <c r="C30" s="606">
        <v>208</v>
      </c>
      <c r="D30" s="606">
        <f>4*B33</f>
        <v>176.04</v>
      </c>
      <c r="E30" s="606">
        <f>5*B31</f>
        <v>90.079999999999984</v>
      </c>
      <c r="F30" s="606"/>
      <c r="G30" s="597">
        <f>'Data-Results vol mod '!B14</f>
        <v>2.8E-3</v>
      </c>
      <c r="H30" s="598">
        <f t="shared" si="3"/>
        <v>2.8212239999999998E-3</v>
      </c>
      <c r="I30" s="599">
        <v>3270</v>
      </c>
      <c r="J30" s="599">
        <f t="shared" si="4"/>
        <v>9.2254024799999996</v>
      </c>
      <c r="K30" s="599">
        <v>21321</v>
      </c>
      <c r="L30" s="599">
        <f t="shared" si="5"/>
        <v>1339.3969683597807</v>
      </c>
      <c r="M30" s="2782"/>
      <c r="N30" s="2783"/>
      <c r="O30" s="600">
        <f>H30*'Cp calculations  (3)'!J32</f>
        <v>2.933004720574037E-3</v>
      </c>
      <c r="P30" s="601">
        <f t="shared" si="6"/>
        <v>6.2820551022924845E-2</v>
      </c>
      <c r="Q30" s="602">
        <f>P30*D30/B30</f>
        <v>0.19027752584438556</v>
      </c>
      <c r="R30" s="602">
        <f>P30*E30/B30</f>
        <v>9.7365368825620593E-2</v>
      </c>
      <c r="S30" s="602"/>
      <c r="T30" s="602">
        <f>U30*(1-0.231)/0.231</f>
        <v>0.74843455525803271</v>
      </c>
      <c r="U30" s="602">
        <f>P30*C30/B30</f>
        <v>0.22482234364708137</v>
      </c>
      <c r="V30" s="602"/>
      <c r="W30" s="602"/>
      <c r="X30" s="603"/>
      <c r="Y30" s="603"/>
      <c r="Z30" s="603">
        <f>Q30*'Cp calculations  (3)'!$H$23</f>
        <v>1.6355218244169687</v>
      </c>
      <c r="AA30" s="603">
        <f>R30*'Cp calculations  (3)'!$H$20</f>
        <v>2.0457545827694279</v>
      </c>
      <c r="AB30" s="603">
        <f>S30*'Cp calculations  (3)'!H48</f>
        <v>0</v>
      </c>
      <c r="AC30" s="603">
        <f>T30*'Cp calculations  (3)'!$H$11</f>
        <v>10.109212457092427</v>
      </c>
      <c r="AD30" s="603">
        <f>U30*'Cp calculations  (3)'!$H$8</f>
        <v>2.6571190739789428</v>
      </c>
      <c r="AE30" s="603"/>
      <c r="AF30" s="603"/>
      <c r="AG30" s="603"/>
    </row>
    <row r="31" spans="1:33" ht="15">
      <c r="A31" s="605" t="s">
        <v>319</v>
      </c>
      <c r="B31" s="606">
        <v>18.015999999999998</v>
      </c>
      <c r="C31" s="606"/>
      <c r="D31" s="606"/>
      <c r="E31" s="606">
        <f>B31</f>
        <v>18.015999999999998</v>
      </c>
      <c r="F31" s="606"/>
      <c r="G31" s="597">
        <f>'Data-Results vol mod '!B15</f>
        <v>0</v>
      </c>
      <c r="H31" s="598">
        <f t="shared" si="3"/>
        <v>0</v>
      </c>
      <c r="I31" s="599">
        <v>0</v>
      </c>
      <c r="J31" s="599">
        <f t="shared" si="4"/>
        <v>0</v>
      </c>
      <c r="K31" s="599">
        <v>0</v>
      </c>
      <c r="L31" s="599">
        <f t="shared" si="5"/>
        <v>0</v>
      </c>
      <c r="M31" s="2782"/>
      <c r="N31" s="2783"/>
      <c r="O31" s="600">
        <f>H31*'Cp calculations  (3)'!I20</f>
        <v>0</v>
      </c>
      <c r="P31" s="601">
        <f t="shared" si="6"/>
        <v>0</v>
      </c>
      <c r="Q31" s="602"/>
      <c r="R31" s="602">
        <f>O31</f>
        <v>0</v>
      </c>
      <c r="S31" s="602"/>
      <c r="T31" s="602"/>
      <c r="U31" s="602"/>
      <c r="V31" s="602"/>
      <c r="W31" s="602"/>
      <c r="X31" s="603"/>
      <c r="Y31" s="603"/>
      <c r="Z31" s="603">
        <f>Q31*'Cp calculations  (3)'!$H$23</f>
        <v>0</v>
      </c>
      <c r="AA31" s="603">
        <f>R31*'Cp calculations  (3)'!$H$20</f>
        <v>0</v>
      </c>
      <c r="AB31" s="603">
        <f>S31*'Cp calculations  (3)'!H49</f>
        <v>0</v>
      </c>
      <c r="AC31" s="603">
        <f>T31*'Cp calculations  (3)'!$H$11</f>
        <v>0</v>
      </c>
      <c r="AD31" s="603">
        <f>U31*'Cp calculations  (3)'!$H$8</f>
        <v>0</v>
      </c>
      <c r="AE31" s="603"/>
      <c r="AF31" s="603"/>
      <c r="AG31" s="603"/>
    </row>
    <row r="32" spans="1:33" ht="15">
      <c r="A32" s="605" t="s">
        <v>132</v>
      </c>
      <c r="B32" s="606">
        <v>28.01</v>
      </c>
      <c r="C32" s="606">
        <v>16</v>
      </c>
      <c r="D32" s="606">
        <f>B33</f>
        <v>44.01</v>
      </c>
      <c r="E32" s="606"/>
      <c r="F32" s="606"/>
      <c r="G32" s="597">
        <f>'Data-Results vol mod '!B16</f>
        <v>0</v>
      </c>
      <c r="H32" s="598">
        <f t="shared" si="3"/>
        <v>0</v>
      </c>
      <c r="I32" s="599">
        <v>321</v>
      </c>
      <c r="J32" s="599">
        <f t="shared" si="4"/>
        <v>0</v>
      </c>
      <c r="K32" s="599">
        <v>4347</v>
      </c>
      <c r="L32" s="599">
        <f t="shared" si="5"/>
        <v>0</v>
      </c>
      <c r="M32" s="2782"/>
      <c r="N32" s="2783"/>
      <c r="O32" s="600">
        <f>H32*'Cp calculations  (3)'!I14</f>
        <v>0</v>
      </c>
      <c r="P32" s="601">
        <f t="shared" si="6"/>
        <v>0</v>
      </c>
      <c r="Q32" s="602">
        <f>P32*D32/B32</f>
        <v>0</v>
      </c>
      <c r="R32" s="602"/>
      <c r="S32" s="602"/>
      <c r="T32" s="602">
        <f>U32*(1-0.231)/0.231</f>
        <v>0</v>
      </c>
      <c r="U32" s="602">
        <f>P32*C32/B32</f>
        <v>0</v>
      </c>
      <c r="V32" s="602"/>
      <c r="W32" s="602"/>
      <c r="X32" s="603"/>
      <c r="Y32" s="603"/>
      <c r="Z32" s="603">
        <f>Q32*'Cp calculations  (3)'!$H$23</f>
        <v>0</v>
      </c>
      <c r="AA32" s="603">
        <f>R32*'Cp calculations  (3)'!$H$20</f>
        <v>0</v>
      </c>
      <c r="AB32" s="603">
        <f>S32*'Cp calculations  (3)'!H50</f>
        <v>0</v>
      </c>
      <c r="AC32" s="603">
        <f>T32*'Cp calculations  (3)'!$H$11</f>
        <v>0</v>
      </c>
      <c r="AD32" s="603">
        <f>U32*'Cp calculations  (3)'!$H$8</f>
        <v>0</v>
      </c>
      <c r="AE32" s="603"/>
      <c r="AF32" s="603"/>
      <c r="AG32" s="603"/>
    </row>
    <row r="33" spans="1:33" ht="15">
      <c r="A33" s="605" t="s">
        <v>318</v>
      </c>
      <c r="B33" s="606">
        <v>44.01</v>
      </c>
      <c r="C33" s="606"/>
      <c r="D33" s="606">
        <f>B33</f>
        <v>44.01</v>
      </c>
      <c r="E33" s="606"/>
      <c r="F33" s="606"/>
      <c r="G33" s="597">
        <f>'Data-Results vol mod '!B17</f>
        <v>2.0000000000000002E-5</v>
      </c>
      <c r="H33" s="598">
        <f t="shared" si="3"/>
        <v>2.0151599999999999E-5</v>
      </c>
      <c r="I33" s="599">
        <v>0</v>
      </c>
      <c r="J33" s="599">
        <f t="shared" si="4"/>
        <v>0</v>
      </c>
      <c r="K33" s="599">
        <v>0</v>
      </c>
      <c r="L33" s="599">
        <f t="shared" si="5"/>
        <v>0</v>
      </c>
      <c r="M33" s="2782"/>
      <c r="N33" s="2783"/>
      <c r="O33" s="600">
        <f>H33*'Cp calculations  (3)'!I23</f>
        <v>2.344448439978847E-6</v>
      </c>
      <c r="P33" s="601">
        <f t="shared" si="6"/>
        <v>5.0214560450991257E-5</v>
      </c>
      <c r="Q33" s="602">
        <f>P33*D33/B33</f>
        <v>5.0214560450991257E-5</v>
      </c>
      <c r="R33" s="602"/>
      <c r="S33" s="602"/>
      <c r="T33" s="602"/>
      <c r="U33" s="602"/>
      <c r="V33" s="602"/>
      <c r="W33" s="602"/>
      <c r="X33" s="603"/>
      <c r="Y33" s="603"/>
      <c r="Z33" s="603">
        <f>Q33*'Cp calculations  (3)'!$H$23</f>
        <v>4.3161697187647487E-4</v>
      </c>
      <c r="AA33" s="603">
        <f>R33*'Cp calculations  (3)'!$H$20</f>
        <v>0</v>
      </c>
      <c r="AB33" s="603">
        <f>S33*'Cp calculations  (3)'!H51</f>
        <v>0</v>
      </c>
      <c r="AC33" s="603">
        <f>T33*'Cp calculations  (3)'!$H$11</f>
        <v>0</v>
      </c>
      <c r="AD33" s="603">
        <f>U33*'Cp calculations  (3)'!$H$8</f>
        <v>0</v>
      </c>
      <c r="AE33" s="603"/>
      <c r="AF33" s="603"/>
      <c r="AG33" s="603"/>
    </row>
    <row r="34" spans="1:33" ht="15">
      <c r="A34" s="605" t="s">
        <v>320</v>
      </c>
      <c r="B34" s="606">
        <v>64.06</v>
      </c>
      <c r="C34" s="606"/>
      <c r="D34" s="606"/>
      <c r="E34" s="606"/>
      <c r="F34" s="606">
        <v>64</v>
      </c>
      <c r="G34" s="597">
        <f>'Data-Results vol mod '!B18</f>
        <v>0</v>
      </c>
      <c r="H34" s="598">
        <f t="shared" si="3"/>
        <v>0</v>
      </c>
      <c r="I34" s="599">
        <v>0</v>
      </c>
      <c r="J34" s="599">
        <f t="shared" si="4"/>
        <v>0</v>
      </c>
      <c r="K34" s="599">
        <v>0</v>
      </c>
      <c r="L34" s="599">
        <f t="shared" si="5"/>
        <v>0</v>
      </c>
      <c r="M34" s="2782"/>
      <c r="N34" s="2783"/>
      <c r="O34" s="600">
        <f>H34*'Cp calculations  (3)'!I14</f>
        <v>0</v>
      </c>
      <c r="P34" s="601">
        <f t="shared" si="6"/>
        <v>0</v>
      </c>
      <c r="Q34" s="602"/>
      <c r="R34" s="602"/>
      <c r="S34" s="607">
        <f>P34</f>
        <v>0</v>
      </c>
      <c r="T34" s="602"/>
      <c r="U34" s="602"/>
      <c r="V34" s="602"/>
      <c r="W34" s="602"/>
      <c r="X34" s="603"/>
      <c r="Y34" s="603"/>
      <c r="Z34" s="603">
        <f>Q34*'Cp calculations  (3)'!$H$23</f>
        <v>0</v>
      </c>
      <c r="AA34" s="603">
        <f>R34*'Cp calculations  (3)'!$H$20</f>
        <v>0</v>
      </c>
      <c r="AB34" s="603">
        <f>S34*'Cp calculations  (3)'!H52</f>
        <v>0</v>
      </c>
      <c r="AC34" s="603">
        <f>T34*'Cp calculations  (3)'!$H$11</f>
        <v>0</v>
      </c>
      <c r="AD34" s="603">
        <f>U34*'Cp calculations  (3)'!$H$8</f>
        <v>0</v>
      </c>
      <c r="AE34" s="603"/>
      <c r="AF34" s="603"/>
      <c r="AG34" s="603"/>
    </row>
    <row r="35" spans="1:33" ht="15">
      <c r="A35" s="605" t="s">
        <v>48</v>
      </c>
      <c r="B35" s="606">
        <v>32</v>
      </c>
      <c r="C35" s="606">
        <v>-32</v>
      </c>
      <c r="D35" s="606"/>
      <c r="E35" s="606"/>
      <c r="F35" s="606"/>
      <c r="G35" s="597">
        <f>'Data-Results vol mod '!B19</f>
        <v>1E-4</v>
      </c>
      <c r="H35" s="598">
        <f t="shared" si="3"/>
        <v>1.00758E-4</v>
      </c>
      <c r="I35" s="599">
        <v>0</v>
      </c>
      <c r="J35" s="599">
        <f t="shared" si="4"/>
        <v>0</v>
      </c>
      <c r="K35" s="599">
        <v>0</v>
      </c>
      <c r="L35" s="599">
        <f t="shared" si="5"/>
        <v>0</v>
      </c>
      <c r="M35" s="2782"/>
      <c r="N35" s="2783"/>
      <c r="O35" s="600">
        <f>H35*'Cp calculations  (3)'!I8</f>
        <v>8.5252670544685359E-6</v>
      </c>
      <c r="P35" s="601">
        <f t="shared" si="6"/>
        <v>1.8259840163996823E-4</v>
      </c>
      <c r="Q35" s="602"/>
      <c r="R35" s="602"/>
      <c r="S35" s="602"/>
      <c r="T35" s="602">
        <f>U35*(1-0.231)/0.231</f>
        <v>-6.0787086952872544E-4</v>
      </c>
      <c r="U35" s="602">
        <f>P35*C35/B35</f>
        <v>-1.8259840163996823E-4</v>
      </c>
      <c r="V35" s="602"/>
      <c r="W35" s="602"/>
      <c r="X35" s="603"/>
      <c r="Y35" s="603"/>
      <c r="Z35" s="603">
        <f>Q35*'Cp calculations  (3)'!$H$23</f>
        <v>0</v>
      </c>
      <c r="AA35" s="603">
        <f>R35*'Cp calculations  (3)'!$H$20</f>
        <v>0</v>
      </c>
      <c r="AB35" s="603">
        <f>S35*'Cp calculations  (3)'!H53</f>
        <v>0</v>
      </c>
      <c r="AC35" s="603">
        <f>T35*'Cp calculations  (3)'!$H$11</f>
        <v>-8.2105986734201403E-3</v>
      </c>
      <c r="AD35" s="603">
        <f>U35*'Cp calculations  (3)'!$H$8</f>
        <v>-2.1580848593823745E-3</v>
      </c>
      <c r="AE35" s="603"/>
      <c r="AF35" s="603"/>
      <c r="AG35" s="603"/>
    </row>
    <row r="36" spans="1:33" s="4" customFormat="1" ht="15">
      <c r="A36" s="608" t="s">
        <v>300</v>
      </c>
      <c r="B36" s="609"/>
      <c r="C36" s="609"/>
      <c r="D36" s="609"/>
      <c r="E36" s="609"/>
      <c r="F36" s="609"/>
      <c r="G36" s="610">
        <f>SUM(G25:G35)</f>
        <v>0.99241999999999997</v>
      </c>
      <c r="H36" s="611">
        <f>SUM(H25:H35)</f>
        <v>0.99994254359999979</v>
      </c>
      <c r="I36" s="612" t="s">
        <v>1113</v>
      </c>
      <c r="J36" s="612">
        <f>SUM(J25:J35)</f>
        <v>1033.217268552</v>
      </c>
      <c r="K36" s="612"/>
      <c r="L36" s="612">
        <f>SUM(L25:L35)</f>
        <v>23081.065532346693</v>
      </c>
      <c r="M36" s="2782"/>
      <c r="N36" s="2800"/>
      <c r="O36" s="614">
        <f>SUM(O25:O35)</f>
        <v>4.668861818011924E-2</v>
      </c>
      <c r="P36" s="615">
        <f t="shared" si="6"/>
        <v>1</v>
      </c>
      <c r="Q36" s="616">
        <f>SUM(Q25:Q35)</f>
        <v>2.7095835212488995</v>
      </c>
      <c r="R36" s="616">
        <f>SUM(R25:R35)</f>
        <v>2.1253493533810555</v>
      </c>
      <c r="S36" s="616">
        <f>SUM(S25:S35)</f>
        <v>0</v>
      </c>
      <c r="T36" s="616">
        <f>SUM(T25:T35)</f>
        <v>12.864032287414576</v>
      </c>
      <c r="U36" s="616">
        <f>SUM(U25:U35)</f>
        <v>3.8574609524322874</v>
      </c>
      <c r="V36" s="580"/>
      <c r="W36" s="617">
        <f>SUM(Q36:T36)</f>
        <v>17.69896516204453</v>
      </c>
      <c r="X36" s="618"/>
      <c r="Y36" s="618"/>
      <c r="Z36" s="619">
        <f>Q36*'Cp calculations  (3)'!$H$23</f>
        <v>23.290101994007586</v>
      </c>
      <c r="AA36" s="619">
        <f>R36*'Cp calculations  (3)'!$H$20</f>
        <v>44.655951413817505</v>
      </c>
      <c r="AB36" s="619">
        <f>S36*'Cp calculations  (3)'!H54</f>
        <v>0</v>
      </c>
      <c r="AC36" s="619">
        <f>T36*'Cp calculations  (3)'!$H$11</f>
        <v>173.75632182500686</v>
      </c>
      <c r="AD36" s="619">
        <f>U36*'Cp calculations  (3)'!$H$8</f>
        <v>45.590366631559093</v>
      </c>
      <c r="AE36" s="619">
        <f>SUM(Z36:AC36)</f>
        <v>241.70237523283197</v>
      </c>
      <c r="AF36" s="619"/>
      <c r="AG36" s="619"/>
    </row>
    <row r="37" spans="1:33">
      <c r="A37" s="620" t="s">
        <v>133</v>
      </c>
      <c r="B37" s="621"/>
      <c r="C37" s="621"/>
      <c r="D37" s="621"/>
      <c r="E37" s="621"/>
      <c r="F37" s="621"/>
      <c r="G37" s="622">
        <f>1-G36</f>
        <v>7.5800000000000312E-3</v>
      </c>
      <c r="H37" s="622">
        <f>1-H36</f>
        <v>5.7456400000210905E-5</v>
      </c>
      <c r="I37" s="623"/>
      <c r="J37" s="623"/>
      <c r="K37" s="623"/>
      <c r="L37" s="623"/>
      <c r="M37" s="2797"/>
      <c r="N37" s="2798"/>
      <c r="O37" s="626"/>
      <c r="P37" s="627">
        <f>SUM(P25:P35)</f>
        <v>1</v>
      </c>
      <c r="Q37" s="628">
        <f>Q36/$W$36</f>
        <v>0.15309276539283817</v>
      </c>
      <c r="R37" s="628">
        <f>R36/$W$36</f>
        <v>0.1200832553724029</v>
      </c>
      <c r="S37" s="628">
        <f>S36/$W$36</f>
        <v>0</v>
      </c>
      <c r="T37" s="628">
        <f>T36/$W$36</f>
        <v>0.72682397923475894</v>
      </c>
      <c r="U37" s="602"/>
      <c r="V37" s="602"/>
      <c r="W37" s="629">
        <f>SUM(Q37:T37)</f>
        <v>1</v>
      </c>
      <c r="X37" s="630"/>
      <c r="Y37" s="630"/>
      <c r="Z37" s="631">
        <f>Z36/$AE$36</f>
        <v>9.6358597930914919E-2</v>
      </c>
      <c r="AA37" s="631">
        <f>AA36/$AE$36</f>
        <v>0.18475594776758156</v>
      </c>
      <c r="AB37" s="631">
        <f>AB36/$AE$36</f>
        <v>0</v>
      </c>
      <c r="AC37" s="631">
        <f>AC36/$AE$36</f>
        <v>0.71888545430150341</v>
      </c>
      <c r="AD37" s="603"/>
      <c r="AE37" s="632">
        <f>SUM(Z37:AC37)</f>
        <v>0.99999999999999989</v>
      </c>
      <c r="AF37" s="603"/>
      <c r="AG37" s="603"/>
    </row>
    <row r="38" spans="1:33">
      <c r="A38" s="621"/>
      <c r="B38" s="621"/>
      <c r="C38" s="621"/>
      <c r="D38" s="621"/>
      <c r="E38" s="621"/>
      <c r="F38" s="621"/>
      <c r="G38" s="622"/>
      <c r="H38" s="622"/>
      <c r="I38" s="622"/>
      <c r="J38" s="622"/>
      <c r="K38" s="623"/>
      <c r="L38" s="623"/>
      <c r="M38" s="624"/>
      <c r="N38" s="625"/>
      <c r="O38" s="14"/>
      <c r="P38" s="633"/>
      <c r="Q38" s="628"/>
      <c r="R38" s="628"/>
      <c r="S38" s="628"/>
      <c r="T38" s="628"/>
      <c r="U38" s="602"/>
      <c r="V38" s="602"/>
      <c r="W38" s="629"/>
      <c r="X38" s="630"/>
      <c r="Y38" s="630"/>
      <c r="Z38" s="603"/>
      <c r="AA38" s="603"/>
      <c r="AB38" s="603"/>
      <c r="AC38" s="603"/>
      <c r="AD38" s="603"/>
      <c r="AE38" s="603"/>
      <c r="AF38" s="603"/>
      <c r="AG38" s="603"/>
    </row>
    <row r="39" spans="1:33" ht="15">
      <c r="A39" s="621" t="s">
        <v>178</v>
      </c>
      <c r="B39" s="621"/>
      <c r="C39" s="621"/>
      <c r="D39" s="621"/>
      <c r="E39" s="621"/>
      <c r="F39" s="621"/>
      <c r="G39" s="622"/>
      <c r="H39" s="622"/>
      <c r="I39" s="622"/>
      <c r="J39" s="622"/>
      <c r="K39" s="623"/>
      <c r="L39" s="623"/>
      <c r="M39" s="634" t="s">
        <v>178</v>
      </c>
      <c r="N39" s="148" t="s">
        <v>1116</v>
      </c>
      <c r="O39" s="635">
        <f>C57</f>
        <v>0</v>
      </c>
      <c r="P39" s="636"/>
      <c r="Q39" s="637"/>
      <c r="R39" s="637"/>
      <c r="S39" s="637"/>
      <c r="T39" s="638">
        <f>U39*(1-0.231)/0.231</f>
        <v>0</v>
      </c>
      <c r="U39" s="639">
        <f>U36*O39</f>
        <v>0</v>
      </c>
      <c r="V39" s="602"/>
      <c r="W39" s="629"/>
      <c r="X39" s="640" t="s">
        <v>301</v>
      </c>
      <c r="Y39" s="641">
        <f>O39</f>
        <v>0</v>
      </c>
      <c r="Z39" s="642">
        <v>0</v>
      </c>
      <c r="AA39" s="642">
        <v>0</v>
      </c>
      <c r="AB39" s="642">
        <v>0</v>
      </c>
      <c r="AC39" s="603">
        <f>T39*'Cp calculations  (3)'!H11</f>
        <v>0</v>
      </c>
      <c r="AD39" s="603">
        <f>Y39*AD36</f>
        <v>0</v>
      </c>
      <c r="AE39" s="603"/>
      <c r="AF39" s="603"/>
      <c r="AG39" s="603"/>
    </row>
    <row r="40" spans="1:33">
      <c r="A40" s="621"/>
      <c r="B40" s="621"/>
      <c r="C40" s="621"/>
      <c r="D40" s="621"/>
      <c r="E40" s="621"/>
      <c r="F40" s="621"/>
      <c r="G40" s="622"/>
      <c r="H40" s="622"/>
      <c r="I40" s="622"/>
      <c r="J40" s="622"/>
      <c r="K40" s="623"/>
      <c r="L40" s="623"/>
      <c r="M40" s="624" t="s">
        <v>179</v>
      </c>
      <c r="N40" s="625"/>
      <c r="O40" s="643"/>
      <c r="P40" s="644"/>
      <c r="Q40" s="645">
        <f>Q36</f>
        <v>2.7095835212488995</v>
      </c>
      <c r="R40" s="645">
        <f>R36</f>
        <v>2.1253493533810555</v>
      </c>
      <c r="S40" s="645">
        <f>S36</f>
        <v>0</v>
      </c>
      <c r="T40" s="646">
        <f>T36+T39</f>
        <v>12.864032287414576</v>
      </c>
      <c r="U40" s="646">
        <f>U39</f>
        <v>0</v>
      </c>
      <c r="V40" s="602"/>
      <c r="W40" s="647">
        <f>SUM(Q40:U40)</f>
        <v>17.69896516204453</v>
      </c>
      <c r="X40" s="640" t="s">
        <v>180</v>
      </c>
      <c r="Y40" s="640"/>
      <c r="Z40" s="648">
        <f>Z36 +Z39</f>
        <v>23.290101994007586</v>
      </c>
      <c r="AA40" s="648">
        <f>AA36 +AA39</f>
        <v>44.655951413817505</v>
      </c>
      <c r="AB40" s="648">
        <f>AB36 +AB39</f>
        <v>0</v>
      </c>
      <c r="AC40" s="648">
        <f>AC36 +AC39</f>
        <v>173.75632182500686</v>
      </c>
      <c r="AD40" s="648">
        <f>AD39</f>
        <v>0</v>
      </c>
      <c r="AE40" s="649">
        <f>SUM(Z40:AD40)</f>
        <v>241.70237523283197</v>
      </c>
      <c r="AF40" s="603"/>
      <c r="AG40" s="603"/>
    </row>
    <row r="41" spans="1:33">
      <c r="A41" s="621"/>
      <c r="B41" s="621"/>
      <c r="C41" s="621"/>
      <c r="D41" s="621"/>
      <c r="E41" s="621"/>
      <c r="F41" s="621"/>
      <c r="G41" s="622"/>
      <c r="H41" s="622"/>
      <c r="I41" s="622"/>
      <c r="J41" s="622"/>
      <c r="K41" s="623"/>
      <c r="L41" s="623"/>
      <c r="M41" s="624" t="s">
        <v>181</v>
      </c>
      <c r="N41" s="625" t="s">
        <v>1116</v>
      </c>
      <c r="O41" s="643"/>
      <c r="P41" s="644"/>
      <c r="Q41" s="628">
        <f>Q40/$W$40</f>
        <v>0.15309276539283817</v>
      </c>
      <c r="R41" s="628">
        <f>R40/$W$40</f>
        <v>0.1200832553724029</v>
      </c>
      <c r="S41" s="628">
        <f>S40/$W$40</f>
        <v>0</v>
      </c>
      <c r="T41" s="628">
        <f>T40/$W$40</f>
        <v>0.72682397923475894</v>
      </c>
      <c r="U41" s="628">
        <f>U40/$W$40</f>
        <v>0</v>
      </c>
      <c r="V41" s="602"/>
      <c r="W41" s="629"/>
      <c r="X41" s="640" t="s">
        <v>182</v>
      </c>
      <c r="Y41" s="640"/>
      <c r="Z41" s="650">
        <f>Z40/$AE$40</f>
        <v>9.6358597930914919E-2</v>
      </c>
      <c r="AA41" s="650">
        <f>AA40/$AE$40</f>
        <v>0.18475594776758156</v>
      </c>
      <c r="AB41" s="650">
        <f>AB40/$AE$40</f>
        <v>0</v>
      </c>
      <c r="AC41" s="650">
        <f>AC40/$AE$40</f>
        <v>0.71888545430150341</v>
      </c>
      <c r="AD41" s="650">
        <f>AD40/$AE$40</f>
        <v>0</v>
      </c>
      <c r="AE41" s="603"/>
      <c r="AF41" s="603"/>
      <c r="AG41" s="603"/>
    </row>
    <row r="42" spans="1:33">
      <c r="A42" s="621"/>
      <c r="B42" s="621"/>
      <c r="C42" s="621"/>
      <c r="D42" s="621"/>
      <c r="E42" s="621"/>
      <c r="F42" s="621"/>
      <c r="G42" s="622"/>
      <c r="H42" s="622"/>
      <c r="I42" s="622"/>
      <c r="J42" s="622"/>
      <c r="K42" s="623"/>
      <c r="L42" s="623"/>
      <c r="M42" s="624" t="s">
        <v>183</v>
      </c>
      <c r="N42" s="625"/>
      <c r="O42" s="643"/>
      <c r="P42" s="644"/>
      <c r="Q42" s="645">
        <f>Q40</f>
        <v>2.7095835212488995</v>
      </c>
      <c r="R42" s="628">
        <v>0</v>
      </c>
      <c r="S42" s="645">
        <f>S40</f>
        <v>0</v>
      </c>
      <c r="T42" s="645">
        <f>T40</f>
        <v>12.864032287414576</v>
      </c>
      <c r="U42" s="645">
        <f>U40</f>
        <v>0</v>
      </c>
      <c r="V42" s="602"/>
      <c r="W42" s="647">
        <f>SUM(Q42:U42)</f>
        <v>15.573615808663476</v>
      </c>
      <c r="X42" s="640" t="s">
        <v>184</v>
      </c>
      <c r="Y42" s="640"/>
      <c r="Z42" s="648">
        <f>Z40</f>
        <v>23.290101994007586</v>
      </c>
      <c r="AA42" s="651">
        <v>0</v>
      </c>
      <c r="AB42" s="649">
        <f>AB40</f>
        <v>0</v>
      </c>
      <c r="AC42" s="649">
        <f>AC40</f>
        <v>173.75632182500686</v>
      </c>
      <c r="AD42" s="649">
        <f>AD40</f>
        <v>0</v>
      </c>
      <c r="AE42" s="649">
        <f>SUM(Z42:AD42)</f>
        <v>197.04642381901445</v>
      </c>
      <c r="AF42" s="603"/>
      <c r="AG42" s="603"/>
    </row>
    <row r="43" spans="1:33">
      <c r="A43" s="621"/>
      <c r="B43" s="621"/>
      <c r="C43" s="621"/>
      <c r="D43" s="621"/>
      <c r="E43" s="621"/>
      <c r="F43" s="621"/>
      <c r="G43" s="622"/>
      <c r="H43" s="622"/>
      <c r="I43" s="622"/>
      <c r="J43" s="622"/>
      <c r="K43" s="623"/>
      <c r="L43" s="623"/>
      <c r="M43" s="624" t="s">
        <v>185</v>
      </c>
      <c r="N43" s="625" t="s">
        <v>1116</v>
      </c>
      <c r="O43" s="643"/>
      <c r="P43" s="644"/>
      <c r="Q43" s="628">
        <f>Q42/$W$42</f>
        <v>0.17398551206981619</v>
      </c>
      <c r="R43" s="628">
        <f>R42/$W$42</f>
        <v>0</v>
      </c>
      <c r="S43" s="628">
        <f>S42/$W$42</f>
        <v>0</v>
      </c>
      <c r="T43" s="628">
        <f>T42/$W$42</f>
        <v>0.82601448793018373</v>
      </c>
      <c r="U43" s="628">
        <f>U42/$W$42</f>
        <v>0</v>
      </c>
      <c r="V43" s="602"/>
      <c r="W43" s="629"/>
      <c r="X43" s="640" t="s">
        <v>186</v>
      </c>
      <c r="Y43" s="640"/>
      <c r="Z43" s="650">
        <f>Z42/$AE$42</f>
        <v>0.11819601463764375</v>
      </c>
      <c r="AA43" s="650">
        <f>AA42/$AE$42</f>
        <v>0</v>
      </c>
      <c r="AB43" s="650">
        <f>AB42/$AE$42</f>
        <v>0</v>
      </c>
      <c r="AC43" s="650">
        <f>AC42/$AE$42</f>
        <v>0.88180398536235627</v>
      </c>
      <c r="AD43" s="650">
        <f>AD42/$AE$42</f>
        <v>0</v>
      </c>
      <c r="AE43" s="603"/>
      <c r="AF43" s="603"/>
      <c r="AG43" s="603"/>
    </row>
    <row r="44" spans="1:33">
      <c r="A44" s="652"/>
      <c r="B44" s="652"/>
      <c r="C44" s="652"/>
      <c r="D44" s="652"/>
      <c r="E44" s="652"/>
      <c r="F44" s="652"/>
      <c r="G44" s="653"/>
      <c r="H44" s="653"/>
      <c r="I44" s="653"/>
      <c r="J44" s="653"/>
      <c r="K44" s="654"/>
      <c r="L44" s="654"/>
      <c r="M44" s="655"/>
      <c r="N44" s="656"/>
      <c r="O44" s="643"/>
      <c r="P44" s="644"/>
      <c r="Q44" s="657"/>
      <c r="R44" s="657"/>
      <c r="S44" s="657"/>
      <c r="T44" s="657"/>
      <c r="U44" s="657"/>
      <c r="V44" s="658"/>
      <c r="W44" s="659"/>
      <c r="X44" s="630"/>
      <c r="Y44" s="630"/>
      <c r="Z44" s="603"/>
      <c r="AA44" s="603"/>
      <c r="AB44" s="603"/>
      <c r="AC44" s="603"/>
      <c r="AD44" s="603"/>
      <c r="AE44" s="603"/>
      <c r="AF44" s="603"/>
      <c r="AG44" s="603"/>
    </row>
    <row r="45" spans="1:33">
      <c r="A45" s="660"/>
      <c r="B45" s="660"/>
      <c r="C45" s="660"/>
      <c r="D45" s="660"/>
      <c r="E45" s="660"/>
      <c r="F45" s="660"/>
      <c r="G45" s="661"/>
      <c r="H45" s="661"/>
      <c r="I45" s="661"/>
      <c r="J45" s="661"/>
      <c r="K45" s="662"/>
      <c r="L45" s="662"/>
      <c r="M45" s="95"/>
      <c r="N45" s="643"/>
      <c r="O45" s="643"/>
      <c r="P45" s="644"/>
      <c r="Q45" s="663"/>
      <c r="R45" s="663"/>
      <c r="S45" s="663"/>
      <c r="T45" s="663"/>
      <c r="U45" s="663"/>
      <c r="V45" s="664"/>
      <c r="W45" s="665"/>
      <c r="X45" s="666"/>
      <c r="Y45" s="630"/>
      <c r="Z45" s="603"/>
      <c r="AA45" s="603"/>
      <c r="AB45" s="603"/>
      <c r="AC45" s="603"/>
      <c r="AD45" s="603"/>
      <c r="AE45" s="603"/>
      <c r="AF45" s="603"/>
      <c r="AG45" s="603"/>
    </row>
    <row r="46" spans="1:33">
      <c r="A46" s="660"/>
      <c r="B46" s="660"/>
      <c r="C46" s="660"/>
      <c r="D46" s="660"/>
      <c r="E46" s="660"/>
      <c r="F46" s="660"/>
      <c r="G46" s="661"/>
      <c r="H46" s="661"/>
      <c r="I46" s="661"/>
      <c r="J46" s="661"/>
      <c r="K46" s="662"/>
      <c r="L46" s="667"/>
      <c r="M46" s="668" t="s">
        <v>187</v>
      </c>
      <c r="N46" s="669"/>
      <c r="O46" s="669">
        <f>1/O36</f>
        <v>21.418496391178611</v>
      </c>
      <c r="P46" s="670" t="s">
        <v>188</v>
      </c>
      <c r="Q46" s="663"/>
      <c r="R46" s="663"/>
      <c r="S46" s="663"/>
      <c r="T46" s="671" t="s">
        <v>189</v>
      </c>
      <c r="U46" s="663"/>
      <c r="V46" s="664">
        <f>U36*(1+O39)/0.231</f>
        <v>16.698965162044534</v>
      </c>
      <c r="W46" s="665"/>
      <c r="X46" s="666"/>
      <c r="Y46" s="630"/>
      <c r="Z46" s="603"/>
      <c r="AA46" s="603"/>
      <c r="AB46" s="603"/>
      <c r="AC46" s="603"/>
      <c r="AD46" s="603"/>
      <c r="AE46" s="603"/>
      <c r="AF46" s="603"/>
      <c r="AG46" s="603"/>
    </row>
    <row r="47" spans="1:33" ht="25.5">
      <c r="A47" s="660" t="s">
        <v>190</v>
      </c>
      <c r="B47" s="660" t="s">
        <v>162</v>
      </c>
      <c r="C47" s="672">
        <f>L36</f>
        <v>23081.065532346693</v>
      </c>
      <c r="D47" s="660"/>
      <c r="E47" s="660"/>
      <c r="F47" s="660"/>
      <c r="G47" s="661"/>
      <c r="H47" s="661"/>
      <c r="I47" s="661"/>
      <c r="J47" s="661"/>
      <c r="K47" s="662"/>
      <c r="L47" s="662"/>
      <c r="M47" s="95"/>
      <c r="N47" s="643"/>
      <c r="O47" s="643"/>
      <c r="P47" s="644"/>
      <c r="Q47" s="663"/>
      <c r="R47" s="663"/>
      <c r="S47" s="663"/>
      <c r="T47" s="663"/>
      <c r="U47" s="663"/>
      <c r="V47" s="664"/>
      <c r="W47" s="665"/>
      <c r="X47" s="666"/>
      <c r="Y47" s="630"/>
      <c r="Z47" s="603"/>
      <c r="AA47" s="603"/>
      <c r="AB47" s="603"/>
      <c r="AC47" s="603"/>
      <c r="AD47" s="603"/>
      <c r="AE47" s="603"/>
      <c r="AF47" s="603"/>
      <c r="AG47" s="603"/>
    </row>
    <row r="48" spans="1:33">
      <c r="A48" s="660"/>
      <c r="B48" s="660" t="s">
        <v>1064</v>
      </c>
      <c r="C48" s="672">
        <f>J36</f>
        <v>1033.217268552</v>
      </c>
      <c r="D48" s="660"/>
      <c r="E48" s="672" t="s">
        <v>1113</v>
      </c>
      <c r="F48" s="660"/>
      <c r="G48" s="661"/>
      <c r="H48" s="661"/>
      <c r="I48" s="661"/>
      <c r="J48" s="661"/>
      <c r="K48" s="662"/>
      <c r="L48" s="662"/>
      <c r="M48" s="95"/>
      <c r="N48" s="643"/>
      <c r="O48" s="14"/>
      <c r="P48" s="633"/>
      <c r="Q48" s="673"/>
      <c r="R48" s="673"/>
      <c r="S48" s="673"/>
      <c r="T48" s="673"/>
      <c r="W48" s="138"/>
      <c r="X48" s="138"/>
      <c r="Y48" s="138"/>
      <c r="AC48" s="563">
        <f>AC40*O36</f>
        <v>8.1124425660696655</v>
      </c>
    </row>
    <row r="49" spans="1:29" ht="25.5">
      <c r="A49" s="660" t="s">
        <v>191</v>
      </c>
      <c r="B49" s="660" t="s">
        <v>162</v>
      </c>
      <c r="C49" s="672">
        <f>C19</f>
        <v>23081.065532346693</v>
      </c>
      <c r="D49" s="660"/>
      <c r="E49" s="672"/>
      <c r="F49" s="660"/>
      <c r="G49" s="661"/>
      <c r="H49" s="661"/>
      <c r="I49" s="661"/>
      <c r="J49" s="661"/>
      <c r="K49" s="662"/>
      <c r="L49" s="662"/>
      <c r="M49" s="95"/>
      <c r="N49" s="643"/>
      <c r="O49" s="14"/>
      <c r="P49" s="633"/>
      <c r="Q49" s="673"/>
      <c r="R49" s="673"/>
      <c r="S49" s="673"/>
      <c r="T49" s="673"/>
      <c r="U49" s="563"/>
      <c r="W49" s="138"/>
      <c r="X49" s="138"/>
      <c r="Y49" s="138"/>
      <c r="AC49" s="563"/>
    </row>
    <row r="50" spans="1:29">
      <c r="A50" s="660"/>
      <c r="B50" s="660"/>
      <c r="C50" s="672"/>
      <c r="D50" s="660"/>
      <c r="E50" s="672"/>
      <c r="F50" s="660"/>
      <c r="G50" s="661"/>
      <c r="H50" s="661"/>
      <c r="I50" s="661"/>
      <c r="J50" s="661"/>
      <c r="K50" s="662"/>
      <c r="L50" s="662"/>
      <c r="M50" s="95"/>
      <c r="N50" s="643"/>
      <c r="O50" s="14"/>
      <c r="P50" s="633"/>
      <c r="Q50" s="673"/>
      <c r="R50" s="673"/>
      <c r="S50" s="673"/>
      <c r="T50" s="673"/>
      <c r="W50" s="138"/>
      <c r="X50" s="138"/>
      <c r="Y50" s="138"/>
      <c r="AC50" s="563"/>
    </row>
    <row r="51" spans="1:29">
      <c r="A51" s="2778"/>
      <c r="B51" s="2778"/>
      <c r="C51" s="2778"/>
      <c r="D51" s="2778"/>
      <c r="E51" s="2778"/>
      <c r="F51" s="2778"/>
      <c r="G51" s="2778"/>
      <c r="H51" s="2778"/>
      <c r="I51" s="2778"/>
      <c r="J51" s="2778"/>
      <c r="K51" s="2778"/>
      <c r="L51" s="2778"/>
      <c r="M51" s="2778"/>
      <c r="N51" s="2778"/>
      <c r="O51" s="9"/>
      <c r="P51" s="9"/>
      <c r="Z51" t="s">
        <v>1113</v>
      </c>
    </row>
    <row r="52" spans="1:29">
      <c r="A52" s="674" t="s">
        <v>192</v>
      </c>
      <c r="B52" s="674" t="s">
        <v>1176</v>
      </c>
      <c r="C52" s="9">
        <f>'Data-Results vol mod '!C25</f>
        <v>0</v>
      </c>
      <c r="D52" s="9"/>
      <c r="E52" s="9"/>
      <c r="F52" s="9"/>
      <c r="G52" s="9"/>
      <c r="H52" s="9"/>
      <c r="I52" s="9"/>
      <c r="J52" s="9"/>
      <c r="K52" s="9"/>
      <c r="L52" s="9"/>
      <c r="M52" s="674" t="s">
        <v>193</v>
      </c>
      <c r="N52" s="9"/>
      <c r="O52" s="9"/>
      <c r="P52" s="9"/>
      <c r="Q52" s="675">
        <f t="shared" ref="Q52:W52" si="7">Q40*$O$36</f>
        <v>0.12650671045073286</v>
      </c>
      <c r="R52" s="675">
        <f t="shared" si="7"/>
        <v>9.9229624459371418E-2</v>
      </c>
      <c r="S52" s="675">
        <f t="shared" si="7"/>
        <v>0</v>
      </c>
      <c r="T52" s="675">
        <f t="shared" si="7"/>
        <v>0.600603891723825</v>
      </c>
      <c r="U52" s="675">
        <f t="shared" si="7"/>
        <v>0</v>
      </c>
      <c r="V52" s="675">
        <f t="shared" si="7"/>
        <v>0</v>
      </c>
      <c r="W52" s="675">
        <f t="shared" si="7"/>
        <v>0.82634022663392936</v>
      </c>
    </row>
    <row r="53" spans="1:29">
      <c r="A53" s="674" t="s">
        <v>433</v>
      </c>
      <c r="B53" s="9" t="str">
        <f>B52</f>
        <v>Deg. F</v>
      </c>
      <c r="C53" s="9">
        <f>'Data-Results vol mod '!C26</f>
        <v>0</v>
      </c>
      <c r="D53" s="9"/>
      <c r="E53" s="9"/>
      <c r="F53" s="9"/>
      <c r="G53" s="9"/>
      <c r="H53" s="9"/>
      <c r="I53" s="9"/>
      <c r="J53" s="9"/>
      <c r="K53" s="9"/>
      <c r="L53" s="9"/>
      <c r="M53" s="674" t="s">
        <v>194</v>
      </c>
      <c r="N53" s="9"/>
      <c r="O53" s="9"/>
      <c r="P53" s="9"/>
    </row>
    <row r="54" spans="1:29">
      <c r="A54" s="9"/>
      <c r="B54" s="9"/>
      <c r="C54" s="9"/>
      <c r="D54" s="9"/>
      <c r="E54" s="9"/>
      <c r="F54" s="9"/>
      <c r="G54" s="9"/>
      <c r="H54" s="9"/>
      <c r="I54" s="9"/>
      <c r="J54" s="9"/>
      <c r="K54" s="9"/>
      <c r="L54" s="9"/>
      <c r="M54" s="9"/>
      <c r="N54" s="9"/>
      <c r="O54" s="9"/>
      <c r="P54" s="9"/>
      <c r="U54" s="476" t="s">
        <v>1113</v>
      </c>
    </row>
    <row r="55" spans="1:29">
      <c r="A55" s="674" t="s">
        <v>434</v>
      </c>
      <c r="B55" s="9" t="str">
        <f>B52</f>
        <v>Deg. F</v>
      </c>
      <c r="C55" s="9">
        <f>'Data-Results vol mod '!C27</f>
        <v>0</v>
      </c>
      <c r="D55" s="9"/>
      <c r="E55" s="9"/>
      <c r="F55" s="9"/>
      <c r="G55" s="9"/>
      <c r="H55" s="9"/>
      <c r="I55" s="9"/>
      <c r="J55" s="9"/>
      <c r="K55" s="9"/>
      <c r="L55" s="9"/>
      <c r="M55" s="9"/>
      <c r="N55" s="9"/>
      <c r="O55" s="9"/>
      <c r="P55" s="9"/>
    </row>
    <row r="56" spans="1:29">
      <c r="A56" s="9"/>
      <c r="B56" s="9"/>
      <c r="C56" s="9"/>
      <c r="D56" s="9"/>
      <c r="E56" s="9"/>
      <c r="F56" s="9"/>
      <c r="G56" s="9"/>
      <c r="H56" s="9"/>
      <c r="I56" s="9"/>
      <c r="J56" s="9"/>
      <c r="K56" s="9"/>
      <c r="L56" s="9"/>
      <c r="M56" s="9"/>
      <c r="N56" s="9"/>
      <c r="O56" s="9"/>
      <c r="P56" s="9"/>
    </row>
    <row r="57" spans="1:29">
      <c r="A57" s="674" t="s">
        <v>195</v>
      </c>
      <c r="B57" s="674" t="s">
        <v>1116</v>
      </c>
      <c r="C57" s="676">
        <f>'Data-Results vol mod '!C28</f>
        <v>0</v>
      </c>
      <c r="D57" s="9"/>
      <c r="E57" s="9"/>
      <c r="F57" s="9"/>
      <c r="G57" s="9"/>
      <c r="H57" s="9"/>
      <c r="I57" s="9"/>
      <c r="J57" s="9"/>
      <c r="K57" s="9"/>
      <c r="L57" s="9"/>
      <c r="M57" s="9"/>
      <c r="N57" s="9"/>
      <c r="O57" s="9"/>
      <c r="P57" s="9"/>
    </row>
    <row r="58" spans="1:29">
      <c r="A58" s="9"/>
      <c r="B58" s="9"/>
      <c r="C58" s="9"/>
      <c r="D58" s="9"/>
      <c r="E58" s="9"/>
      <c r="F58" s="9"/>
      <c r="G58" s="9"/>
      <c r="H58" s="9"/>
      <c r="I58" s="9"/>
      <c r="J58" s="9"/>
      <c r="K58" s="9"/>
      <c r="L58" s="9"/>
      <c r="M58" s="9"/>
      <c r="N58" s="9"/>
      <c r="O58" s="9"/>
      <c r="P58" s="9"/>
    </row>
    <row r="59" spans="1:29">
      <c r="A59" s="674" t="s">
        <v>196</v>
      </c>
      <c r="B59" s="674" t="s">
        <v>197</v>
      </c>
      <c r="C59" s="9">
        <v>1</v>
      </c>
      <c r="D59" s="9"/>
      <c r="E59" s="9"/>
      <c r="F59" s="9"/>
      <c r="G59" s="9"/>
      <c r="H59" s="9"/>
      <c r="I59" s="9"/>
      <c r="J59" s="9"/>
      <c r="K59" s="9"/>
      <c r="L59" s="9"/>
      <c r="M59" s="9"/>
      <c r="N59" s="9"/>
      <c r="O59" s="9"/>
      <c r="P59" s="9"/>
    </row>
    <row r="60" spans="1:29">
      <c r="A60" s="674" t="s">
        <v>198</v>
      </c>
      <c r="B60" s="674" t="s">
        <v>197</v>
      </c>
      <c r="C60" s="677">
        <f>C78*(1+C57)</f>
        <v>16.698965162044534</v>
      </c>
      <c r="D60" s="9"/>
      <c r="E60" s="9"/>
      <c r="F60" s="674" t="s">
        <v>199</v>
      </c>
      <c r="G60" s="9"/>
      <c r="H60" s="9"/>
      <c r="I60" s="9"/>
      <c r="J60" s="9"/>
      <c r="K60" s="9"/>
      <c r="L60" s="9"/>
      <c r="M60" s="9"/>
      <c r="N60" s="9"/>
      <c r="O60" s="9"/>
      <c r="P60" s="9"/>
    </row>
    <row r="61" spans="1:29">
      <c r="A61" s="674" t="s">
        <v>200</v>
      </c>
      <c r="B61" s="674" t="s">
        <v>201</v>
      </c>
      <c r="C61" s="678">
        <f>(P25*'Cp calculations  (3)'!G26+'Calculations vol mod'!P26*'Cp calculations  (3)'!G32+'Calculations vol mod'!P27*'Cp calculations  (3)'!G11+'Calculations vol mod'!P28*'Cp calculations  (3)'!G17+'Calculations vol mod'!P29*'Cp calculations  (3)'!G35+'Calculations vol mod'!P30*'Cp calculations  (3)'!G38+'Calculations vol mod'!P31*'Cp calculations  (3)'!G20+'Calculations vol mod'!P32*'Cp calculations  (3)'!G14+'Calculations vol mod'!P33*'Cp calculations  (3)'!G23+'Calculations vol mod'!P34*'Cp calculations  (3)'!G41+'Calculations vol mod'!P35*'Cp calculations  (3)'!G8)</f>
        <v>0.66085062346213552</v>
      </c>
      <c r="D61" s="9"/>
      <c r="E61" s="9"/>
      <c r="F61" s="9"/>
      <c r="G61" s="9"/>
      <c r="H61" s="9"/>
      <c r="I61" s="9"/>
      <c r="J61" s="9"/>
      <c r="K61" s="9"/>
      <c r="L61" s="9"/>
      <c r="M61" s="9"/>
      <c r="N61" s="9"/>
      <c r="O61" s="9"/>
      <c r="P61" s="9"/>
    </row>
    <row r="62" spans="1:29">
      <c r="A62" s="679" t="s">
        <v>202</v>
      </c>
      <c r="B62" s="679" t="s">
        <v>1173</v>
      </c>
      <c r="C62" s="680">
        <f>C61*(C52-32)*C59</f>
        <v>-21.147219950788337</v>
      </c>
      <c r="D62" s="9"/>
      <c r="E62" s="9"/>
      <c r="F62" s="678">
        <f>C62</f>
        <v>-21.147219950788337</v>
      </c>
      <c r="G62" s="299">
        <f>F62/F64</f>
        <v>-9.1621506473138384E-4</v>
      </c>
      <c r="H62" s="9"/>
      <c r="I62" s="9"/>
      <c r="J62" s="9"/>
      <c r="K62" s="9"/>
      <c r="L62" s="9"/>
      <c r="M62" s="9"/>
      <c r="N62" s="9"/>
      <c r="O62" s="9"/>
      <c r="P62" s="9"/>
    </row>
    <row r="63" spans="1:29">
      <c r="A63" s="679" t="s">
        <v>203</v>
      </c>
      <c r="B63" s="679" t="s">
        <v>1173</v>
      </c>
      <c r="C63" s="680">
        <f>'Cp calculations  (3)'!Q55*('Calculations vol mod'!C53-32)*C60</f>
        <v>-128.79979978335206</v>
      </c>
      <c r="D63" s="9"/>
      <c r="E63" s="9"/>
      <c r="F63" s="678">
        <f>C63</f>
        <v>-128.79979978335206</v>
      </c>
      <c r="G63" s="299">
        <f>F63/F64</f>
        <v>-5.5803229535849232E-3</v>
      </c>
      <c r="H63" s="9"/>
      <c r="I63" s="9"/>
      <c r="J63" s="9"/>
      <c r="K63" s="9"/>
      <c r="L63" s="9"/>
      <c r="M63" s="9"/>
      <c r="N63" s="9"/>
      <c r="O63" s="9"/>
      <c r="P63" s="9"/>
    </row>
    <row r="64" spans="1:29">
      <c r="A64" s="679" t="s">
        <v>204</v>
      </c>
      <c r="B64" s="679" t="s">
        <v>1173</v>
      </c>
      <c r="C64" s="680">
        <f>C19</f>
        <v>23081.065532346693</v>
      </c>
      <c r="D64" s="9"/>
      <c r="E64" s="9"/>
      <c r="F64" s="299">
        <f>C19</f>
        <v>23081.065532346693</v>
      </c>
      <c r="G64" s="9"/>
      <c r="H64" s="9"/>
      <c r="I64" s="9"/>
      <c r="J64" s="9"/>
      <c r="K64" s="9"/>
      <c r="L64" s="9"/>
      <c r="M64" s="9"/>
      <c r="N64" s="9"/>
      <c r="O64" s="9"/>
      <c r="P64" s="9"/>
    </row>
    <row r="65" spans="1:16">
      <c r="A65" s="679" t="s">
        <v>205</v>
      </c>
      <c r="B65" s="679" t="s">
        <v>1173</v>
      </c>
      <c r="C65" s="680">
        <f>SUM(C62:C64)</f>
        <v>22931.118512612553</v>
      </c>
      <c r="D65" s="9"/>
      <c r="E65" s="9"/>
      <c r="F65" s="680">
        <f>SUM(F62:F64)</f>
        <v>22931.118512612553</v>
      </c>
      <c r="G65" s="9"/>
      <c r="H65" s="9"/>
      <c r="I65" s="9"/>
      <c r="J65" s="9"/>
      <c r="K65" s="9"/>
      <c r="L65" s="9"/>
      <c r="M65" s="9"/>
      <c r="N65" s="9"/>
      <c r="O65" s="9"/>
      <c r="P65" s="9"/>
    </row>
    <row r="66" spans="1:16">
      <c r="A66" s="674"/>
      <c r="B66" s="674"/>
      <c r="C66" s="678"/>
      <c r="D66" s="9"/>
      <c r="E66" s="9"/>
      <c r="F66" s="9"/>
      <c r="G66" s="9"/>
      <c r="H66" s="9"/>
      <c r="I66" s="9"/>
      <c r="J66" s="9"/>
      <c r="K66" s="9"/>
      <c r="L66" s="9"/>
      <c r="M66" s="9"/>
      <c r="N66" s="9"/>
      <c r="O66" s="9"/>
      <c r="P66" s="9"/>
    </row>
    <row r="67" spans="1:16" ht="15.75" thickBot="1">
      <c r="A67" s="674" t="s">
        <v>206</v>
      </c>
      <c r="B67" s="674"/>
      <c r="C67" s="678"/>
      <c r="D67" s="9"/>
      <c r="E67" s="674" t="s">
        <v>207</v>
      </c>
      <c r="F67" s="9"/>
      <c r="G67" s="9"/>
      <c r="H67" s="681" t="s">
        <v>208</v>
      </c>
      <c r="I67" s="9"/>
      <c r="J67" s="9"/>
      <c r="K67" s="9"/>
      <c r="L67" s="9"/>
      <c r="M67" s="9"/>
      <c r="N67" s="9"/>
      <c r="O67" s="9"/>
      <c r="P67" s="9"/>
    </row>
    <row r="68" spans="1:16" ht="15">
      <c r="A68" s="674" t="s">
        <v>209</v>
      </c>
      <c r="B68" s="674" t="s">
        <v>1173</v>
      </c>
      <c r="C68" s="682">
        <f>G9*(K73+(('Cp calculations  (3)'!G21+'Cp calculations  (3)'!G20)/2)*('Calculations vol mod'!C55-212))</f>
        <v>2179.0479672972228</v>
      </c>
      <c r="D68" s="683">
        <f>G9*(970+'Cp calculations  (3)'!G20*('Calculations vol mod'!C55-212))</f>
        <v>1861.6447034200116</v>
      </c>
      <c r="E68" s="683"/>
      <c r="F68" s="684">
        <f t="shared" ref="F68:F73" si="8">C68</f>
        <v>2179.0479672972228</v>
      </c>
      <c r="G68" s="9"/>
      <c r="H68" s="685">
        <f>G9*(K73+(('Cp calculations  (3)'!G21+'Cp calculations  (3)'!G20)/2)*('Calculations vol mod'!C55-K74))</f>
        <v>2245.8719985527573</v>
      </c>
      <c r="I68" s="686" t="s">
        <v>339</v>
      </c>
      <c r="J68" s="687"/>
      <c r="K68" s="687"/>
      <c r="L68" s="687" t="s">
        <v>210</v>
      </c>
      <c r="M68" s="688" t="s">
        <v>211</v>
      </c>
      <c r="N68" s="9"/>
      <c r="O68" s="9"/>
      <c r="P68" s="9"/>
    </row>
    <row r="69" spans="1:16" ht="15">
      <c r="A69" s="674" t="s">
        <v>212</v>
      </c>
      <c r="B69" s="674" t="s">
        <v>1173</v>
      </c>
      <c r="C69" s="682">
        <f>F9*(('Cp calculations  (3)'!G23+'Cp calculations  (3)'!G24)/2)*('Calculations vol mod'!C55-32)</f>
        <v>-17.638105097522882</v>
      </c>
      <c r="D69" s="682">
        <f>C69</f>
        <v>-17.638105097522882</v>
      </c>
      <c r="E69" s="683"/>
      <c r="F69" s="684">
        <f t="shared" si="8"/>
        <v>-17.638105097522882</v>
      </c>
      <c r="G69" s="9"/>
      <c r="H69" s="689">
        <f>F69</f>
        <v>-17.638105097522882</v>
      </c>
      <c r="I69" s="690" t="s">
        <v>213</v>
      </c>
      <c r="J69" s="691"/>
      <c r="K69" s="691" t="s">
        <v>342</v>
      </c>
      <c r="L69" s="691">
        <v>1096.7</v>
      </c>
      <c r="M69" s="692">
        <v>1.2999999999999999E-2</v>
      </c>
      <c r="N69" s="9"/>
      <c r="O69" s="9"/>
      <c r="P69" s="9"/>
    </row>
    <row r="70" spans="1:16" ht="15">
      <c r="A70" s="674" t="s">
        <v>214</v>
      </c>
      <c r="B70" s="674" t="s">
        <v>1173</v>
      </c>
      <c r="C70" s="682">
        <f>H9*(('Cp calculations  (3)'!G12 + 'Cp calculations  (3)'!G11)/2)*('Calculations vol mod'!C55-32)</f>
        <v>-100.98086118642294</v>
      </c>
      <c r="D70" s="682">
        <f>C70</f>
        <v>-100.98086118642294</v>
      </c>
      <c r="E70" s="683"/>
      <c r="F70" s="684">
        <f t="shared" si="8"/>
        <v>-100.98086118642294</v>
      </c>
      <c r="G70" s="9"/>
      <c r="H70" s="689">
        <f>F70</f>
        <v>-100.98086118642294</v>
      </c>
      <c r="I70" s="690"/>
      <c r="J70" s="691"/>
      <c r="K70" s="691"/>
      <c r="L70" s="691"/>
      <c r="M70" s="692"/>
      <c r="N70" s="9"/>
      <c r="O70" s="9"/>
      <c r="P70" s="9"/>
    </row>
    <row r="71" spans="1:16" ht="15">
      <c r="A71" s="674" t="s">
        <v>215</v>
      </c>
      <c r="B71" s="674" t="s">
        <v>1173</v>
      </c>
      <c r="C71" s="682">
        <f>I9*(('Cp calculations  (3)'!G9+'Cp calculations  (3)'!G8)/2)*('Calculations vol mod'!C55-32)</f>
        <v>0</v>
      </c>
      <c r="D71" s="682">
        <f>C71</f>
        <v>0</v>
      </c>
      <c r="E71" s="683"/>
      <c r="F71" s="684">
        <f t="shared" si="8"/>
        <v>0</v>
      </c>
      <c r="G71" s="9"/>
      <c r="H71" s="689">
        <f>F71</f>
        <v>0</v>
      </c>
      <c r="I71" s="690" t="s">
        <v>346</v>
      </c>
      <c r="J71" s="691"/>
      <c r="K71" s="693">
        <f>G13</f>
        <v>0.18475594776758156</v>
      </c>
      <c r="L71" s="691" t="s">
        <v>216</v>
      </c>
      <c r="M71" s="692"/>
      <c r="N71" s="9"/>
      <c r="O71" s="9"/>
      <c r="P71" s="9"/>
    </row>
    <row r="72" spans="1:16" ht="15">
      <c r="A72" s="674" t="s">
        <v>217</v>
      </c>
      <c r="B72" s="674" t="s">
        <v>1173</v>
      </c>
      <c r="C72" s="682">
        <f>K9*'Cp calculations  (3)'!G41*('Calculations vol mod'!C55-32)</f>
        <v>0</v>
      </c>
      <c r="D72" s="682">
        <f>C72</f>
        <v>0</v>
      </c>
      <c r="E72" s="683"/>
      <c r="F72" s="684">
        <f t="shared" si="8"/>
        <v>0</v>
      </c>
      <c r="G72" s="9"/>
      <c r="H72" s="689">
        <f>F72</f>
        <v>0</v>
      </c>
      <c r="I72" s="690" t="s">
        <v>101</v>
      </c>
      <c r="J72" s="691"/>
      <c r="K72" s="694">
        <f>K71*29.926</f>
        <v>5.5290064928926457</v>
      </c>
      <c r="L72" s="691" t="s">
        <v>350</v>
      </c>
      <c r="M72" s="692"/>
      <c r="N72" s="9"/>
      <c r="O72" s="9"/>
      <c r="P72" s="9"/>
    </row>
    <row r="73" spans="1:16" ht="15.75">
      <c r="A73" s="674" t="s">
        <v>218</v>
      </c>
      <c r="B73" s="674" t="s">
        <v>1173</v>
      </c>
      <c r="C73" s="682">
        <f>SUM(C68:C72)</f>
        <v>2060.4290010132772</v>
      </c>
      <c r="D73" s="682">
        <f>SUM(D68:D72)</f>
        <v>1743.0257371360658</v>
      </c>
      <c r="E73" s="683"/>
      <c r="F73" s="684">
        <f t="shared" si="8"/>
        <v>2060.4290010132772</v>
      </c>
      <c r="G73" s="299"/>
      <c r="H73" s="695">
        <f>SUM(H68:H72)</f>
        <v>2127.2530322688117</v>
      </c>
      <c r="I73" s="690" t="s">
        <v>353</v>
      </c>
      <c r="J73" s="691"/>
      <c r="K73" s="696">
        <f>L69*K72^M69</f>
        <v>1121.3527585645638</v>
      </c>
      <c r="L73" s="691" t="s">
        <v>354</v>
      </c>
      <c r="M73" s="692"/>
      <c r="N73" s="9"/>
      <c r="O73" s="9"/>
      <c r="P73" s="9"/>
    </row>
    <row r="74" spans="1:16" ht="15.75">
      <c r="A74" s="674"/>
      <c r="B74" s="674"/>
      <c r="C74" s="682"/>
      <c r="D74" s="683"/>
      <c r="E74" s="683"/>
      <c r="F74" s="697"/>
      <c r="G74" s="9"/>
      <c r="H74" s="698"/>
      <c r="I74" s="690" t="s">
        <v>362</v>
      </c>
      <c r="J74" s="691"/>
      <c r="K74" s="699">
        <f>K75*LN(K72) +L76</f>
        <v>142.62968317408277</v>
      </c>
      <c r="L74" s="691" t="s">
        <v>1175</v>
      </c>
      <c r="M74" s="692"/>
      <c r="N74" s="9"/>
      <c r="O74" s="9"/>
      <c r="P74" s="9"/>
    </row>
    <row r="75" spans="1:16" ht="15">
      <c r="A75" s="674" t="s">
        <v>219</v>
      </c>
      <c r="B75" s="674" t="s">
        <v>1116</v>
      </c>
      <c r="C75" s="700">
        <f>(C65-C73)/C64</f>
        <v>0.90423422966978229</v>
      </c>
      <c r="D75" s="700">
        <f>(C65-D73)/C64</f>
        <v>0.9179859025911381</v>
      </c>
      <c r="E75" s="700">
        <f>AVERAGE(C75:D75)</f>
        <v>0.91111006613046019</v>
      </c>
      <c r="F75" s="701">
        <f>(F65-F73)/F64</f>
        <v>0.90423422966978229</v>
      </c>
      <c r="G75" s="9"/>
      <c r="H75" s="698">
        <f>(F65-H73)/F64</f>
        <v>0.90133904135354603</v>
      </c>
      <c r="I75" s="690"/>
      <c r="J75" s="691" t="s">
        <v>220</v>
      </c>
      <c r="K75" s="702">
        <v>36.009</v>
      </c>
      <c r="L75" s="691"/>
      <c r="M75" s="692"/>
      <c r="N75" s="9"/>
      <c r="O75" s="9"/>
      <c r="P75" s="9"/>
    </row>
    <row r="76" spans="1:16" ht="15">
      <c r="A76" s="674"/>
      <c r="B76" s="674"/>
      <c r="C76" s="678"/>
      <c r="D76" s="9"/>
      <c r="E76" s="9"/>
      <c r="F76" s="9"/>
      <c r="G76" s="9"/>
      <c r="H76" s="9"/>
      <c r="I76" s="690"/>
      <c r="J76" s="691"/>
      <c r="K76" s="703"/>
      <c r="L76" s="691">
        <f>81.054</f>
        <v>81.054000000000002</v>
      </c>
      <c r="M76" s="692"/>
      <c r="N76" s="9"/>
      <c r="O76" s="9"/>
      <c r="P76" s="9"/>
    </row>
    <row r="77" spans="1:16" ht="15.75" thickBot="1">
      <c r="A77" s="674" t="s">
        <v>221</v>
      </c>
      <c r="B77" s="674" t="s">
        <v>222</v>
      </c>
      <c r="C77" s="678">
        <f>U36</f>
        <v>3.8574609524322874</v>
      </c>
      <c r="D77" s="9"/>
      <c r="E77" s="9"/>
      <c r="F77" s="9"/>
      <c r="G77" s="9"/>
      <c r="H77" s="9"/>
      <c r="I77" s="704"/>
      <c r="J77" s="705"/>
      <c r="K77" s="706"/>
      <c r="L77" s="705"/>
      <c r="M77" s="707"/>
      <c r="N77" s="9"/>
      <c r="O77" s="9"/>
      <c r="P77" s="9"/>
    </row>
    <row r="78" spans="1:16" ht="16.5" thickBot="1">
      <c r="A78" s="674" t="s">
        <v>223</v>
      </c>
      <c r="B78" s="674" t="s">
        <v>222</v>
      </c>
      <c r="C78" s="678">
        <f>C77/0.231</f>
        <v>16.698965162044534</v>
      </c>
      <c r="D78" s="9"/>
      <c r="E78" s="9"/>
      <c r="F78" s="9"/>
      <c r="G78" s="9"/>
      <c r="H78" s="9"/>
      <c r="I78" s="708" t="s">
        <v>224</v>
      </c>
      <c r="J78" s="709"/>
      <c r="K78" s="710" t="s">
        <v>225</v>
      </c>
      <c r="L78" s="711"/>
      <c r="M78" s="712"/>
      <c r="N78" s="9"/>
      <c r="O78" s="9"/>
      <c r="P78" s="9"/>
    </row>
    <row r="79" spans="1:16" ht="15.75" thickBot="1">
      <c r="A79" s="713" t="s">
        <v>223</v>
      </c>
      <c r="B79" s="674" t="s">
        <v>226</v>
      </c>
      <c r="C79" s="682">
        <f>C78*'Cp calculations  (3)'!M58</f>
        <v>219.05434048608407</v>
      </c>
      <c r="D79" s="9"/>
      <c r="E79" s="9"/>
      <c r="F79" s="9"/>
      <c r="G79" s="9"/>
      <c r="H79" s="299"/>
      <c r="I79" s="714" t="s">
        <v>227</v>
      </c>
      <c r="J79" s="709"/>
      <c r="K79" s="715" t="s">
        <v>228</v>
      </c>
      <c r="L79" s="715"/>
      <c r="M79" s="716"/>
      <c r="N79" s="9"/>
      <c r="O79" s="9"/>
      <c r="P79" s="9"/>
    </row>
    <row r="80" spans="1:16" ht="15">
      <c r="A80" s="674"/>
      <c r="B80" s="713" t="s">
        <v>229</v>
      </c>
      <c r="C80" s="717">
        <f>C79*O36</f>
        <v>10.227344463652615</v>
      </c>
      <c r="D80" s="718"/>
      <c r="E80" s="9"/>
      <c r="F80" s="718"/>
      <c r="G80" s="299"/>
      <c r="H80" s="9"/>
      <c r="I80" s="690"/>
      <c r="J80" s="691"/>
      <c r="K80" s="719"/>
      <c r="L80" s="691"/>
      <c r="M80" s="692"/>
      <c r="N80" s="9"/>
      <c r="O80" s="9"/>
      <c r="P80" s="9"/>
    </row>
    <row r="81" spans="1:27" ht="15">
      <c r="A81" s="674"/>
      <c r="B81" s="674"/>
      <c r="C81" s="678"/>
      <c r="D81" s="678"/>
      <c r="E81" s="9"/>
      <c r="F81" s="9"/>
      <c r="G81" s="9"/>
      <c r="H81" s="299"/>
      <c r="I81" s="690"/>
      <c r="J81" s="691" t="s">
        <v>230</v>
      </c>
      <c r="K81" s="691"/>
      <c r="L81" s="691"/>
      <c r="M81" s="692"/>
      <c r="N81" s="9"/>
      <c r="O81" s="9"/>
      <c r="P81" s="9"/>
    </row>
    <row r="82" spans="1:27" ht="15.75" thickBot="1">
      <c r="A82" s="674" t="s">
        <v>142</v>
      </c>
      <c r="B82" s="674" t="s">
        <v>226</v>
      </c>
      <c r="C82" s="678">
        <f>C79*(1+$C$57)</f>
        <v>219.05434048608407</v>
      </c>
      <c r="D82" s="678"/>
      <c r="E82" s="9"/>
      <c r="F82" s="9"/>
      <c r="G82" s="9"/>
      <c r="H82" s="9"/>
      <c r="I82" s="720"/>
      <c r="J82" s="705"/>
      <c r="K82" s="705"/>
      <c r="L82" s="705"/>
      <c r="M82" s="707"/>
      <c r="N82" s="9"/>
      <c r="O82" s="9"/>
      <c r="P82" s="9"/>
    </row>
    <row r="83" spans="1:27">
      <c r="A83" s="674"/>
      <c r="B83" s="713" t="s">
        <v>229</v>
      </c>
      <c r="C83" s="717">
        <f>C80*(1+$C$57)</f>
        <v>10.227344463652615</v>
      </c>
      <c r="D83" s="718"/>
      <c r="E83" s="9"/>
      <c r="F83" s="9"/>
      <c r="G83" s="9"/>
      <c r="H83" s="9"/>
      <c r="I83" s="9"/>
      <c r="J83" s="9"/>
      <c r="K83" s="9"/>
      <c r="L83" s="9"/>
      <c r="M83" s="9"/>
      <c r="N83" s="9"/>
      <c r="O83" s="9"/>
      <c r="P83" s="9"/>
      <c r="R83" s="563"/>
    </row>
    <row r="84" spans="1:27">
      <c r="A84" s="674"/>
      <c r="B84" s="674"/>
      <c r="C84" s="678"/>
      <c r="D84" s="678"/>
      <c r="E84" s="9"/>
      <c r="F84" s="9"/>
      <c r="G84" s="9"/>
      <c r="H84" s="9"/>
      <c r="I84" s="9"/>
      <c r="J84" s="9"/>
      <c r="K84" s="9"/>
      <c r="L84" s="9"/>
      <c r="M84" s="9"/>
      <c r="N84" s="9"/>
      <c r="O84" s="9"/>
      <c r="P84" s="9"/>
    </row>
    <row r="85" spans="1:27">
      <c r="A85" s="674"/>
      <c r="B85" s="674"/>
      <c r="C85" s="678"/>
      <c r="D85" s="9"/>
      <c r="E85" s="9"/>
      <c r="F85" s="9"/>
      <c r="G85" s="9"/>
      <c r="H85" s="9"/>
      <c r="I85" s="9"/>
      <c r="J85" s="9"/>
      <c r="K85" s="9"/>
      <c r="L85" s="9"/>
      <c r="M85" s="9"/>
      <c r="N85" s="9"/>
      <c r="O85" s="9"/>
      <c r="P85" s="9"/>
    </row>
    <row r="86" spans="1:27">
      <c r="A86" s="674" t="s">
        <v>231</v>
      </c>
      <c r="B86" s="674" t="s">
        <v>226</v>
      </c>
      <c r="C86" s="678">
        <f>J12</f>
        <v>241.70237523283197</v>
      </c>
      <c r="D86" s="9"/>
      <c r="E86" s="9"/>
      <c r="F86" s="9"/>
      <c r="G86" s="9"/>
      <c r="H86" s="9"/>
      <c r="I86" s="9"/>
      <c r="J86" s="9"/>
      <c r="K86" s="9"/>
      <c r="L86" s="9"/>
      <c r="M86" s="9"/>
      <c r="N86" s="9"/>
      <c r="O86" s="9"/>
      <c r="P86" s="9"/>
    </row>
    <row r="87" spans="1:27">
      <c r="A87" s="674"/>
      <c r="B87" s="674"/>
      <c r="C87" s="678"/>
      <c r="D87" s="299"/>
      <c r="E87" s="9"/>
      <c r="F87" s="9"/>
      <c r="G87" s="9"/>
      <c r="H87" s="9"/>
      <c r="I87" s="9"/>
      <c r="J87" s="9"/>
      <c r="K87" s="9"/>
      <c r="L87" s="9"/>
      <c r="M87" s="9"/>
      <c r="N87" s="9"/>
      <c r="O87" s="9"/>
      <c r="P87" s="9"/>
    </row>
    <row r="88" spans="1:27">
      <c r="A88" s="674" t="s">
        <v>232</v>
      </c>
      <c r="B88" s="674" t="s">
        <v>233</v>
      </c>
      <c r="C88" s="678">
        <f>J9</f>
        <v>17.69896516204453</v>
      </c>
      <c r="D88" s="9"/>
      <c r="E88" s="9"/>
      <c r="F88" s="9"/>
      <c r="G88" s="9"/>
      <c r="H88" s="9"/>
      <c r="I88" s="9"/>
      <c r="J88" s="9"/>
      <c r="K88" s="9"/>
      <c r="L88" s="9"/>
      <c r="M88" s="9"/>
      <c r="N88" s="9"/>
      <c r="O88" s="9"/>
      <c r="P88" s="9"/>
    </row>
    <row r="89" spans="1:27" s="1" customFormat="1" ht="25.5">
      <c r="A89" s="5"/>
      <c r="B89" s="721" t="s">
        <v>234</v>
      </c>
      <c r="C89" s="722">
        <f>C86*O36</f>
        <v>11.2847499104736</v>
      </c>
      <c r="D89" s="5"/>
      <c r="E89" s="5"/>
      <c r="F89" s="5"/>
      <c r="G89" s="5"/>
      <c r="H89" s="5"/>
      <c r="I89" s="5"/>
      <c r="J89" s="5"/>
      <c r="K89" s="5"/>
      <c r="L89" s="5"/>
      <c r="M89" s="5"/>
      <c r="N89" s="5"/>
      <c r="O89" s="5"/>
      <c r="P89" s="5"/>
    </row>
    <row r="90" spans="1:27" ht="47.25" hidden="1" customHeight="1">
      <c r="A90" s="2775" t="s">
        <v>235</v>
      </c>
      <c r="B90" s="2775"/>
      <c r="C90" s="2775"/>
      <c r="D90" s="2775"/>
      <c r="E90" s="2775"/>
      <c r="F90" s="2775"/>
      <c r="G90" s="2776"/>
      <c r="H90" s="2776"/>
      <c r="I90" s="2776"/>
      <c r="J90" s="2776"/>
      <c r="K90" s="2776"/>
      <c r="L90" s="2776"/>
      <c r="M90" s="2777"/>
      <c r="N90" s="2777"/>
      <c r="O90" s="723"/>
      <c r="P90" s="723"/>
      <c r="AA90">
        <f>12*14*0.6</f>
        <v>100.8</v>
      </c>
    </row>
    <row r="91" spans="1:27" s="7" customFormat="1" ht="9" hidden="1" customHeight="1">
      <c r="A91" s="2784"/>
      <c r="B91" s="2784"/>
      <c r="C91" s="2784"/>
      <c r="D91" s="2784"/>
      <c r="E91" s="2784"/>
      <c r="F91" s="2784"/>
      <c r="G91" s="2784"/>
      <c r="H91" s="2784"/>
      <c r="I91" s="2784"/>
      <c r="J91" s="2784"/>
      <c r="K91" s="2784"/>
      <c r="L91" s="2784"/>
      <c r="M91" s="2784"/>
      <c r="N91" s="2784"/>
      <c r="O91" s="9"/>
      <c r="P91" s="9"/>
    </row>
    <row r="92" spans="1:27" hidden="1">
      <c r="A92" s="2786"/>
      <c r="B92" s="2787"/>
      <c r="C92" s="2787"/>
      <c r="D92" s="2787"/>
      <c r="E92" s="2787"/>
      <c r="F92" s="2787"/>
      <c r="G92" s="2787"/>
      <c r="H92" s="2787"/>
      <c r="I92" s="2787"/>
      <c r="J92" s="2787"/>
      <c r="K92" s="2787"/>
      <c r="L92" s="2787"/>
      <c r="M92" s="2787"/>
      <c r="N92" s="2787"/>
      <c r="O92" s="9"/>
      <c r="P92" s="9"/>
    </row>
    <row r="93" spans="1:27" s="1" customFormat="1" ht="15" hidden="1">
      <c r="A93" s="2781" t="s">
        <v>236</v>
      </c>
      <c r="B93" s="2781"/>
      <c r="C93" s="2781"/>
      <c r="D93" s="2781"/>
      <c r="E93" s="2781"/>
      <c r="F93" s="2781"/>
      <c r="G93" s="2781"/>
      <c r="H93" s="2781"/>
      <c r="I93" s="724"/>
      <c r="J93" s="724"/>
      <c r="K93" s="725"/>
      <c r="L93" s="725"/>
      <c r="M93" s="585">
        <v>60</v>
      </c>
      <c r="N93" s="726" t="s">
        <v>237</v>
      </c>
      <c r="O93" s="727"/>
      <c r="P93" s="727"/>
    </row>
    <row r="94" spans="1:27" s="1" customFormat="1" ht="15.75" hidden="1" thickBot="1">
      <c r="A94" s="2781" t="s">
        <v>260</v>
      </c>
      <c r="B94" s="2781"/>
      <c r="C94" s="2781"/>
      <c r="D94" s="2781"/>
      <c r="E94" s="2781"/>
      <c r="F94" s="2781"/>
      <c r="G94" s="2781"/>
      <c r="H94" s="2781"/>
      <c r="I94" s="724"/>
      <c r="J94" s="724"/>
      <c r="K94" s="725"/>
      <c r="L94" s="725"/>
      <c r="M94" s="585">
        <v>20.9</v>
      </c>
      <c r="N94" s="726" t="s">
        <v>238</v>
      </c>
      <c r="O94" s="727"/>
      <c r="P94" s="727"/>
    </row>
    <row r="95" spans="1:27" s="1" customFormat="1" ht="30.75" hidden="1" customHeight="1" thickTop="1">
      <c r="A95" s="2779" t="s">
        <v>261</v>
      </c>
      <c r="B95" s="2779"/>
      <c r="C95" s="2779"/>
      <c r="D95" s="2779"/>
      <c r="E95" s="2779"/>
      <c r="F95" s="2779"/>
      <c r="G95" s="2779"/>
      <c r="H95" s="2779"/>
      <c r="I95" s="728"/>
      <c r="J95" s="728"/>
      <c r="K95" s="729"/>
      <c r="L95" s="729"/>
      <c r="M95" s="730" t="s">
        <v>1113</v>
      </c>
      <c r="N95" s="731" t="s">
        <v>1116</v>
      </c>
      <c r="O95" s="732"/>
      <c r="P95" s="732"/>
      <c r="Q95" s="2766"/>
      <c r="R95" s="2767"/>
      <c r="S95" s="2767"/>
      <c r="T95" s="2767"/>
      <c r="U95" s="2768"/>
    </row>
    <row r="96" spans="1:27" s="1" customFormat="1" ht="30.75" hidden="1" customHeight="1">
      <c r="A96" s="2780" t="s">
        <v>262</v>
      </c>
      <c r="B96" s="2780"/>
      <c r="C96" s="2780"/>
      <c r="D96" s="2780"/>
      <c r="E96" s="2780"/>
      <c r="F96" s="2780"/>
      <c r="G96" s="2780"/>
      <c r="H96" s="2780"/>
      <c r="I96" s="733"/>
      <c r="J96" s="733"/>
      <c r="K96" s="734"/>
      <c r="L96" s="734"/>
      <c r="M96" s="735">
        <f>O39</f>
        <v>0</v>
      </c>
      <c r="N96" s="736" t="s">
        <v>1116</v>
      </c>
      <c r="O96" s="737"/>
      <c r="P96" s="737"/>
      <c r="Q96" s="2769"/>
      <c r="R96" s="2770"/>
      <c r="S96" s="2770"/>
      <c r="T96" s="2770"/>
      <c r="U96" s="2771"/>
    </row>
    <row r="97" spans="1:21" s="1" customFormat="1" ht="47.25" hidden="1" customHeight="1" thickBot="1">
      <c r="A97" s="2788" t="s">
        <v>263</v>
      </c>
      <c r="B97" s="2788"/>
      <c r="C97" s="2788"/>
      <c r="D97" s="2788"/>
      <c r="E97" s="2788"/>
      <c r="F97" s="2788"/>
      <c r="G97" s="2788"/>
      <c r="H97" s="2788"/>
      <c r="I97" s="738"/>
      <c r="J97" s="738"/>
      <c r="K97" s="739"/>
      <c r="L97" s="739"/>
      <c r="M97" s="740">
        <v>0</v>
      </c>
      <c r="N97" s="741" t="s">
        <v>238</v>
      </c>
      <c r="O97" s="742"/>
      <c r="P97" s="742"/>
      <c r="Q97" s="2772"/>
      <c r="R97" s="2773"/>
      <c r="S97" s="2773"/>
      <c r="T97" s="2773"/>
      <c r="U97" s="2774"/>
    </row>
    <row r="98" spans="1:21" s="1" customFormat="1" ht="21" hidden="1" customHeight="1" thickTop="1">
      <c r="A98" s="2781" t="s">
        <v>239</v>
      </c>
      <c r="B98" s="2781"/>
      <c r="C98" s="2781"/>
      <c r="D98" s="2781"/>
      <c r="E98" s="2781"/>
      <c r="F98" s="2781"/>
      <c r="G98" s="2781"/>
      <c r="H98" s="2781"/>
      <c r="I98" s="724"/>
      <c r="J98" s="724"/>
      <c r="K98" s="725"/>
      <c r="L98" s="725"/>
      <c r="M98" s="585">
        <v>1400</v>
      </c>
      <c r="N98" s="726" t="s">
        <v>237</v>
      </c>
      <c r="O98" s="727"/>
      <c r="P98" s="727"/>
    </row>
    <row r="99" spans="1:21" s="1" customFormat="1" ht="15" hidden="1">
      <c r="A99" s="2799" t="s">
        <v>240</v>
      </c>
      <c r="B99" s="2799"/>
      <c r="C99" s="2799"/>
      <c r="D99" s="2799"/>
      <c r="E99" s="2799"/>
      <c r="F99" s="2799"/>
      <c r="G99" s="2799"/>
      <c r="H99" s="2799"/>
      <c r="I99" s="743"/>
      <c r="J99" s="743"/>
      <c r="K99" s="744"/>
      <c r="L99" s="744"/>
      <c r="M99" s="745">
        <f>IF(M94&gt;21.1,M97,M96)</f>
        <v>0</v>
      </c>
      <c r="N99" s="726" t="s">
        <v>237</v>
      </c>
      <c r="O99" s="727"/>
      <c r="P99" s="727"/>
    </row>
    <row r="100" spans="1:21" s="1" customFormat="1" ht="15" hidden="1">
      <c r="A100" s="746"/>
      <c r="B100" s="746"/>
      <c r="C100" s="746"/>
      <c r="D100" s="746"/>
      <c r="E100" s="746"/>
      <c r="F100" s="746"/>
      <c r="G100" s="746"/>
      <c r="H100" s="746"/>
      <c r="I100" s="746"/>
      <c r="J100" s="746"/>
      <c r="K100" s="747"/>
      <c r="L100" s="747"/>
      <c r="M100" s="748"/>
      <c r="N100" s="727"/>
      <c r="O100" s="727"/>
      <c r="P100" s="727"/>
    </row>
    <row r="101" spans="1:21" s="1" customFormat="1">
      <c r="A101" s="2785"/>
      <c r="B101" s="2785"/>
      <c r="C101" s="2785"/>
      <c r="D101" s="2785"/>
      <c r="E101" s="2785"/>
      <c r="F101" s="2785"/>
      <c r="G101" s="2731"/>
      <c r="H101" s="2731"/>
      <c r="K101" s="749"/>
      <c r="L101" s="749"/>
      <c r="M101" s="750"/>
      <c r="N101" s="2"/>
      <c r="O101" s="2"/>
      <c r="P101" s="2"/>
    </row>
    <row r="102" spans="1:21" ht="19.5" customHeight="1">
      <c r="A102" s="2791" t="s">
        <v>264</v>
      </c>
      <c r="B102" s="2791"/>
      <c r="C102" s="2791"/>
      <c r="D102" s="2791"/>
      <c r="E102" s="2791"/>
      <c r="F102" s="2791"/>
      <c r="G102" s="2791"/>
      <c r="H102" s="2791"/>
      <c r="I102" s="2791"/>
      <c r="J102" s="2791"/>
      <c r="K102" s="2791"/>
      <c r="L102" s="2791"/>
      <c r="M102" s="2791"/>
      <c r="N102" s="2791"/>
      <c r="O102" s="751"/>
      <c r="P102" s="751"/>
    </row>
    <row r="103" spans="1:21">
      <c r="A103" s="2789"/>
      <c r="B103" s="2789"/>
      <c r="C103" s="2789"/>
      <c r="D103" s="2789"/>
      <c r="E103" s="2789"/>
      <c r="F103" s="2789"/>
      <c r="G103" s="2790"/>
      <c r="H103" s="2790"/>
      <c r="I103" s="4"/>
      <c r="J103" s="4"/>
      <c r="K103" s="753"/>
      <c r="L103" s="753"/>
      <c r="M103" s="559"/>
    </row>
    <row r="104" spans="1:21">
      <c r="A104" s="2789"/>
      <c r="B104" s="2789"/>
      <c r="C104" s="2789"/>
      <c r="D104" s="2789"/>
      <c r="E104" s="2789"/>
      <c r="F104" s="2789"/>
      <c r="G104" s="2790"/>
      <c r="H104" s="2790"/>
      <c r="I104" s="4"/>
      <c r="J104" s="4"/>
      <c r="K104" s="753"/>
      <c r="L104" s="753"/>
      <c r="M104" s="559"/>
    </row>
  </sheetData>
  <mergeCells count="37">
    <mergeCell ref="A104:H104"/>
    <mergeCell ref="A102:N102"/>
    <mergeCell ref="O23:P23"/>
    <mergeCell ref="M28:N28"/>
    <mergeCell ref="M29:N29"/>
    <mergeCell ref="A23:H23"/>
    <mergeCell ref="M23:N23"/>
    <mergeCell ref="M24:N24"/>
    <mergeCell ref="M25:N25"/>
    <mergeCell ref="M37:N37"/>
    <mergeCell ref="M33:N33"/>
    <mergeCell ref="A98:H98"/>
    <mergeCell ref="A99:H99"/>
    <mergeCell ref="M36:N36"/>
    <mergeCell ref="M26:N26"/>
    <mergeCell ref="M27:N27"/>
    <mergeCell ref="A101:H101"/>
    <mergeCell ref="A94:H94"/>
    <mergeCell ref="A92:N92"/>
    <mergeCell ref="A97:H97"/>
    <mergeCell ref="A103:H103"/>
    <mergeCell ref="C1:E1"/>
    <mergeCell ref="F1:H1"/>
    <mergeCell ref="Q23:T23"/>
    <mergeCell ref="Z23:AC23"/>
    <mergeCell ref="Q95:U97"/>
    <mergeCell ref="A90:N90"/>
    <mergeCell ref="A51:N51"/>
    <mergeCell ref="A95:H95"/>
    <mergeCell ref="A96:H96"/>
    <mergeCell ref="A93:H93"/>
    <mergeCell ref="M30:N30"/>
    <mergeCell ref="M31:N31"/>
    <mergeCell ref="A91:N91"/>
    <mergeCell ref="M34:N34"/>
    <mergeCell ref="M35:N35"/>
    <mergeCell ref="M32:N32"/>
  </mergeCells>
  <phoneticPr fontId="5" type="noConversion"/>
  <pageMargins left="0.7" right="0.7" top="0.75" bottom="0.75" header="0.3" footer="0.3"/>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1:R93"/>
  <sheetViews>
    <sheetView workbookViewId="0"/>
  </sheetViews>
  <sheetFormatPr defaultRowHeight="12.75"/>
  <cols>
    <col min="2" max="2" width="24.85546875" customWidth="1"/>
    <col min="5" max="5" width="16.85546875" customWidth="1"/>
    <col min="7" max="7" width="12.42578125" bestFit="1" customWidth="1"/>
    <col min="9" max="9" width="8.85546875" style="21" customWidth="1"/>
    <col min="10" max="10" width="10.7109375" style="21" customWidth="1"/>
    <col min="11" max="11" width="8.85546875" style="21" customWidth="1"/>
    <col min="14" max="14" width="16.5703125" customWidth="1"/>
    <col min="15" max="15" width="14" customWidth="1"/>
    <col min="17" max="17" width="13" customWidth="1"/>
  </cols>
  <sheetData>
    <row r="1" spans="2:14" ht="13.5" thickBot="1"/>
    <row r="2" spans="2:14">
      <c r="B2" s="22" t="s">
        <v>1191</v>
      </c>
      <c r="C2" s="23">
        <v>60</v>
      </c>
    </row>
    <row r="3" spans="2:14" ht="13.5" thickBot="1">
      <c r="B3" s="24" t="s">
        <v>1192</v>
      </c>
      <c r="C3" s="25">
        <f>'Calculations vol mod'!C55</f>
        <v>0</v>
      </c>
    </row>
    <row r="4" spans="2:14" s="4" customFormat="1">
      <c r="I4" s="17"/>
      <c r="J4" s="17"/>
      <c r="K4" s="17"/>
    </row>
    <row r="5" spans="2:14" s="4" customFormat="1" ht="13.5" thickBot="1">
      <c r="I5" s="17"/>
      <c r="J5" s="17"/>
      <c r="K5" s="17"/>
    </row>
    <row r="6" spans="2:14" s="4" customFormat="1">
      <c r="B6" s="26"/>
      <c r="C6" s="27"/>
      <c r="D6" s="27"/>
      <c r="E6" s="27" t="s">
        <v>1193</v>
      </c>
      <c r="F6" s="27"/>
      <c r="G6" s="27" t="s">
        <v>1193</v>
      </c>
      <c r="H6" s="27" t="s">
        <v>1194</v>
      </c>
      <c r="I6" s="28" t="s">
        <v>1195</v>
      </c>
      <c r="J6" s="29" t="s">
        <v>1196</v>
      </c>
      <c r="K6" s="28" t="s">
        <v>1193</v>
      </c>
      <c r="L6" s="30" t="s">
        <v>1197</v>
      </c>
    </row>
    <row r="7" spans="2:14" s="4" customFormat="1">
      <c r="B7" s="31" t="s">
        <v>1198</v>
      </c>
      <c r="C7" s="32" t="s">
        <v>1199</v>
      </c>
      <c r="D7" s="32" t="s">
        <v>1200</v>
      </c>
      <c r="E7" s="32" t="s">
        <v>1201</v>
      </c>
      <c r="F7" s="32" t="s">
        <v>1202</v>
      </c>
      <c r="G7" s="32" t="s">
        <v>1203</v>
      </c>
      <c r="H7" s="32" t="s">
        <v>1204</v>
      </c>
      <c r="I7" s="33" t="s">
        <v>1205</v>
      </c>
      <c r="J7" s="34" t="s">
        <v>1206</v>
      </c>
      <c r="K7" s="33" t="s">
        <v>1207</v>
      </c>
      <c r="L7" s="35" t="s">
        <v>1207</v>
      </c>
    </row>
    <row r="8" spans="2:14" s="4" customFormat="1">
      <c r="B8" s="36" t="s">
        <v>1208</v>
      </c>
      <c r="C8" s="37">
        <f>C2</f>
        <v>60</v>
      </c>
      <c r="D8" s="37">
        <f>460+C8</f>
        <v>520</v>
      </c>
      <c r="E8" s="38">
        <f>11.515-172/D8^0.5 +1530/D8</f>
        <v>6.9146087262672413</v>
      </c>
      <c r="F8" s="37">
        <v>32</v>
      </c>
      <c r="G8" s="39">
        <f>E8/F8</f>
        <v>0.21608152269585129</v>
      </c>
      <c r="H8" s="39">
        <f>378.2/F8</f>
        <v>11.81875</v>
      </c>
      <c r="I8" s="40">
        <f>1/H8</f>
        <v>8.4611316763617134E-2</v>
      </c>
      <c r="J8" s="40">
        <f>I8/0.0763</f>
        <v>1.1089294464432127</v>
      </c>
      <c r="K8" s="40">
        <f>G8/H8</f>
        <v>1.82829421635834E-2</v>
      </c>
      <c r="L8" s="2599">
        <f>(K8+K9)/2</f>
        <v>1.8159907895190751E-2</v>
      </c>
    </row>
    <row r="9" spans="2:14" s="4" customFormat="1">
      <c r="B9" s="41" t="s">
        <v>1208</v>
      </c>
      <c r="C9" s="42">
        <f>C3</f>
        <v>0</v>
      </c>
      <c r="D9" s="42">
        <f>460+C9</f>
        <v>460</v>
      </c>
      <c r="E9" s="43">
        <f>11.515-172/D9^0.5 +1530/D9</f>
        <v>6.8215456056550403</v>
      </c>
      <c r="F9" s="42">
        <v>32</v>
      </c>
      <c r="G9" s="44">
        <f>E9/F9</f>
        <v>0.21317330017672001</v>
      </c>
      <c r="H9" s="44">
        <f>378.2/F9</f>
        <v>11.81875</v>
      </c>
      <c r="I9" s="45">
        <f>1/H9</f>
        <v>8.4611316763617134E-2</v>
      </c>
      <c r="J9" s="40">
        <f>I9/0.0763</f>
        <v>1.1089294464432127</v>
      </c>
      <c r="K9" s="45">
        <f>G9/H9</f>
        <v>1.8036873626798098E-2</v>
      </c>
      <c r="L9" s="2600"/>
      <c r="N9" s="4">
        <f>G9/G8</f>
        <v>0.98654108651749561</v>
      </c>
    </row>
    <row r="10" spans="2:14" s="4" customFormat="1">
      <c r="B10" s="46"/>
      <c r="C10" s="47"/>
      <c r="D10" s="47"/>
      <c r="E10" s="48"/>
      <c r="F10" s="47"/>
      <c r="G10" s="49"/>
      <c r="H10" s="49"/>
      <c r="I10" s="50"/>
      <c r="J10" s="50"/>
      <c r="K10" s="50"/>
      <c r="L10" s="51"/>
    </row>
    <row r="11" spans="2:14" s="4" customFormat="1">
      <c r="B11" s="36" t="s">
        <v>1209</v>
      </c>
      <c r="C11" s="37">
        <f>C8</f>
        <v>60</v>
      </c>
      <c r="D11" s="37">
        <f>460+C11</f>
        <v>520</v>
      </c>
      <c r="E11" s="38">
        <f>9.47-3.47*10^3/D11 +1.07*10^6/D11^2</f>
        <v>6.7540236686390536</v>
      </c>
      <c r="F11" s="37">
        <v>28</v>
      </c>
      <c r="G11" s="39">
        <f>E11/F11</f>
        <v>0.24121513102282335</v>
      </c>
      <c r="H11" s="39">
        <f>378.2/F11</f>
        <v>13.507142857142856</v>
      </c>
      <c r="I11" s="40">
        <f>1/H11</f>
        <v>7.4034902168164995E-2</v>
      </c>
      <c r="J11" s="40">
        <f>I11/0.0763</f>
        <v>0.97031326563781117</v>
      </c>
      <c r="K11" s="40">
        <f>G11/H11</f>
        <v>1.7858338626755829E-2</v>
      </c>
      <c r="L11" s="2599">
        <f>(K11+K12)/2</f>
        <v>1.8161364599176031E-2</v>
      </c>
    </row>
    <row r="12" spans="2:14" s="4" customFormat="1">
      <c r="B12" s="41" t="s">
        <v>1209</v>
      </c>
      <c r="C12" s="42">
        <f>C9</f>
        <v>0</v>
      </c>
      <c r="D12" s="42">
        <f>460+C12</f>
        <v>460</v>
      </c>
      <c r="E12" s="43">
        <f>9.47-3.47*10^3/D12 +1.07*10^6/D12^2</f>
        <v>6.9832325141776943</v>
      </c>
      <c r="F12" s="42">
        <v>28</v>
      </c>
      <c r="G12" s="44">
        <f>E12/F12</f>
        <v>0.24940116122063194</v>
      </c>
      <c r="H12" s="44">
        <f>378.2/F12</f>
        <v>13.507142857142856</v>
      </c>
      <c r="I12" s="45">
        <f>1/H12</f>
        <v>7.4034902168164995E-2</v>
      </c>
      <c r="J12" s="40">
        <f>I12/0.0763</f>
        <v>0.97031326563781117</v>
      </c>
      <c r="K12" s="45">
        <f>G12/H12</f>
        <v>1.8464390571596233E-2</v>
      </c>
      <c r="L12" s="2600"/>
      <c r="N12" s="4">
        <f>G12/G11</f>
        <v>1.0339366364087419</v>
      </c>
    </row>
    <row r="13" spans="2:14" s="4" customFormat="1">
      <c r="B13" s="46"/>
      <c r="C13" s="47"/>
      <c r="D13" s="47"/>
      <c r="E13" s="48"/>
      <c r="F13" s="47"/>
      <c r="G13" s="49"/>
      <c r="H13" s="49"/>
      <c r="I13" s="50"/>
      <c r="J13" s="50"/>
      <c r="K13" s="50"/>
      <c r="L13" s="51"/>
    </row>
    <row r="14" spans="2:14" s="4" customFormat="1">
      <c r="B14" s="36" t="s">
        <v>1210</v>
      </c>
      <c r="C14" s="37">
        <f>C11</f>
        <v>60</v>
      </c>
      <c r="D14" s="37">
        <f>460+C14</f>
        <v>520</v>
      </c>
      <c r="E14" s="38">
        <f>9.46-3.29*10^3/D14+1.07*10^6/D14^2</f>
        <v>7.0901775147929005</v>
      </c>
      <c r="F14" s="37">
        <v>28</v>
      </c>
      <c r="G14" s="39">
        <f>E14/F14</f>
        <v>0.25322062552831787</v>
      </c>
      <c r="H14" s="39">
        <f>378.2/F14</f>
        <v>13.507142857142856</v>
      </c>
      <c r="I14" s="40">
        <f>1/H14</f>
        <v>7.4034902168164995E-2</v>
      </c>
      <c r="J14" s="40">
        <f>I14/0.0763</f>
        <v>0.97031326563781117</v>
      </c>
      <c r="K14" s="40">
        <f>G14/H14</f>
        <v>1.8747164237950559E-2</v>
      </c>
      <c r="L14" s="2599">
        <f>(K14+K15)/2</f>
        <v>1.9109881513480545E-2</v>
      </c>
    </row>
    <row r="15" spans="2:14" s="4" customFormat="1">
      <c r="B15" s="41" t="s">
        <v>1210</v>
      </c>
      <c r="C15" s="42">
        <f>C12</f>
        <v>0</v>
      </c>
      <c r="D15" s="42">
        <f>460+C15</f>
        <v>460</v>
      </c>
      <c r="E15" s="43">
        <f>9.46-3.29*10^3/D15+1.07*10^6/D15^2</f>
        <v>7.3645368620037814</v>
      </c>
      <c r="F15" s="42">
        <v>28</v>
      </c>
      <c r="G15" s="44">
        <f>E15/F15</f>
        <v>0.26301917364299221</v>
      </c>
      <c r="H15" s="44">
        <f>378.2/F15</f>
        <v>13.507142857142856</v>
      </c>
      <c r="I15" s="45">
        <f>1/H15</f>
        <v>7.4034902168164995E-2</v>
      </c>
      <c r="J15" s="40">
        <f>I15/0.0763</f>
        <v>0.97031326563781117</v>
      </c>
      <c r="K15" s="45">
        <f>G15/H15</f>
        <v>1.9472598789010531E-2</v>
      </c>
      <c r="L15" s="2600"/>
      <c r="N15" s="4">
        <f>G15/G14</f>
        <v>1.0386956950849904</v>
      </c>
    </row>
    <row r="16" spans="2:14" s="4" customFormat="1">
      <c r="B16" s="46"/>
      <c r="C16" s="47"/>
      <c r="D16" s="47"/>
      <c r="E16" s="48"/>
      <c r="F16" s="47"/>
      <c r="G16" s="49"/>
      <c r="H16" s="49"/>
      <c r="I16" s="50"/>
      <c r="J16" s="50"/>
      <c r="K16" s="50"/>
      <c r="L16" s="51"/>
    </row>
    <row r="17" spans="2:14" s="4" customFormat="1">
      <c r="B17" s="36" t="s">
        <v>1211</v>
      </c>
      <c r="C17" s="37">
        <f>C14</f>
        <v>60</v>
      </c>
      <c r="D17" s="37">
        <f>460+C17</f>
        <v>520</v>
      </c>
      <c r="E17" s="38">
        <f>5.76+0.578*D17/10^3+20/D17^0.5</f>
        <v>6.9376180193070294</v>
      </c>
      <c r="F17" s="37">
        <v>2</v>
      </c>
      <c r="G17" s="39">
        <f>E17/F17</f>
        <v>3.4688090096535147</v>
      </c>
      <c r="H17" s="39">
        <f>378.2/F17</f>
        <v>189.1</v>
      </c>
      <c r="I17" s="40">
        <f>1/H17</f>
        <v>5.2882072977260709E-3</v>
      </c>
      <c r="J17" s="40">
        <f>I17/0.0763</f>
        <v>6.9308090402700792E-2</v>
      </c>
      <c r="K17" s="40">
        <f>G17/H17</f>
        <v>1.8343781119267662E-2</v>
      </c>
      <c r="L17" s="2599">
        <f>(K17+K18)/2</f>
        <v>1.8371235890464493E-2</v>
      </c>
    </row>
    <row r="18" spans="2:14" s="4" customFormat="1">
      <c r="B18" s="41" t="s">
        <v>1211</v>
      </c>
      <c r="C18" s="42">
        <f>C15</f>
        <v>0</v>
      </c>
      <c r="D18" s="42">
        <f>460+C18</f>
        <v>460</v>
      </c>
      <c r="E18" s="43">
        <f>5.76+0.578*D18/10^3+20/D18^0.5</f>
        <v>6.9583848082403135</v>
      </c>
      <c r="F18" s="42">
        <v>2</v>
      </c>
      <c r="G18" s="44">
        <f>E18/F18</f>
        <v>3.4791924041201567</v>
      </c>
      <c r="H18" s="44">
        <f>378.2/F18</f>
        <v>189.1</v>
      </c>
      <c r="I18" s="45">
        <f>1/H18</f>
        <v>5.2882072977260709E-3</v>
      </c>
      <c r="J18" s="40">
        <f>I18/0.0763</f>
        <v>6.9308090402700792E-2</v>
      </c>
      <c r="K18" s="45">
        <f>G18/H18</f>
        <v>1.8398690661661325E-2</v>
      </c>
      <c r="L18" s="2600"/>
      <c r="N18" s="4">
        <f>G18/G17</f>
        <v>1.002993360094991</v>
      </c>
    </row>
    <row r="19" spans="2:14" s="4" customFormat="1">
      <c r="B19" s="46"/>
      <c r="C19" s="47"/>
      <c r="D19" s="47"/>
      <c r="E19" s="48"/>
      <c r="F19" s="47"/>
      <c r="G19" s="49"/>
      <c r="H19" s="49"/>
      <c r="I19" s="50"/>
      <c r="J19" s="50"/>
      <c r="K19" s="50"/>
      <c r="L19" s="51"/>
    </row>
    <row r="20" spans="2:14" s="4" customFormat="1" ht="15">
      <c r="B20" s="36" t="s">
        <v>1212</v>
      </c>
      <c r="C20" s="37">
        <f>140</f>
        <v>140</v>
      </c>
      <c r="D20" s="37">
        <f>460+C20</f>
        <v>600</v>
      </c>
      <c r="E20" s="38">
        <f>19.86-597/D20^0.5+7500/D20</f>
        <v>7.9875770593073767</v>
      </c>
      <c r="F20" s="37">
        <v>18</v>
      </c>
      <c r="G20" s="39">
        <f>E20/F20</f>
        <v>0.44375428107263204</v>
      </c>
      <c r="H20" s="39">
        <f>378.2/F20</f>
        <v>21.011111111111109</v>
      </c>
      <c r="I20" s="40">
        <f>1/H20</f>
        <v>4.7593865679534643E-2</v>
      </c>
      <c r="J20" s="40">
        <f>I20/0.0763</f>
        <v>0.62377281362430714</v>
      </c>
      <c r="K20" s="40">
        <f>G20/H20</f>
        <v>2.1119981648089311E-2</v>
      </c>
      <c r="L20" s="2599">
        <f>(K20+K21)/2</f>
        <v>2.1571465308594613E-2</v>
      </c>
      <c r="N20" s="605" t="s">
        <v>1113</v>
      </c>
    </row>
    <row r="21" spans="2:14" s="4" customFormat="1">
      <c r="B21" s="41" t="s">
        <v>1212</v>
      </c>
      <c r="C21" s="42">
        <f>C18</f>
        <v>0</v>
      </c>
      <c r="D21" s="42">
        <f>460+C21</f>
        <v>460</v>
      </c>
      <c r="E21" s="43">
        <f>19.86-597/D21^0.5+7500/D21</f>
        <v>8.3290793001135874</v>
      </c>
      <c r="F21" s="42">
        <v>18</v>
      </c>
      <c r="G21" s="44">
        <f>E21/F21</f>
        <v>0.46272662778408818</v>
      </c>
      <c r="H21" s="44">
        <f>378.2/F21</f>
        <v>21.011111111111109</v>
      </c>
      <c r="I21" s="45">
        <f>1/H21</f>
        <v>4.7593865679534643E-2</v>
      </c>
      <c r="J21" s="40">
        <f>I21/0.0763</f>
        <v>0.62377281362430714</v>
      </c>
      <c r="K21" s="45">
        <f>G21/H21</f>
        <v>2.2022948969099915E-2</v>
      </c>
      <c r="L21" s="2600"/>
      <c r="N21" s="4">
        <f>G21/G20</f>
        <v>1.0427541716681508</v>
      </c>
    </row>
    <row r="22" spans="2:14" s="4" customFormat="1">
      <c r="B22" s="46"/>
      <c r="C22" s="47"/>
      <c r="D22" s="47"/>
      <c r="E22" s="48"/>
      <c r="F22" s="47"/>
      <c r="G22" s="49"/>
      <c r="H22" s="49"/>
      <c r="I22" s="50"/>
      <c r="J22" s="50"/>
      <c r="K22" s="50"/>
      <c r="L22" s="51"/>
    </row>
    <row r="23" spans="2:14" s="4" customFormat="1">
      <c r="B23" s="36" t="s">
        <v>1213</v>
      </c>
      <c r="C23" s="37">
        <f>C20</f>
        <v>140</v>
      </c>
      <c r="D23" s="37">
        <f>460+C23</f>
        <v>600</v>
      </c>
      <c r="E23" s="38">
        <f>16.2-6.53*10^3/D23+1.41*10^6/D23^2</f>
        <v>9.2333333333333325</v>
      </c>
      <c r="F23" s="37">
        <v>44</v>
      </c>
      <c r="G23" s="39">
        <f>E23/F23</f>
        <v>0.20984848484848484</v>
      </c>
      <c r="H23" s="39">
        <f>378.2/F23</f>
        <v>8.5954545454545457</v>
      </c>
      <c r="I23" s="40">
        <f>1/H23</f>
        <v>0.11634056054997356</v>
      </c>
      <c r="J23" s="40">
        <f>I23/0.0763</f>
        <v>1.5247779888594175</v>
      </c>
      <c r="K23" s="40">
        <f>G23/H23</f>
        <v>2.4413890357835359E-2</v>
      </c>
      <c r="L23" s="2599">
        <f>(K23+K24)/2</f>
        <v>2.3666310454089394E-2</v>
      </c>
    </row>
    <row r="24" spans="2:14" s="4" customFormat="1">
      <c r="B24" s="41" t="s">
        <v>1213</v>
      </c>
      <c r="C24" s="42">
        <f>C21</f>
        <v>0</v>
      </c>
      <c r="D24" s="42">
        <f>460+C24</f>
        <v>460</v>
      </c>
      <c r="E24" s="43">
        <f>16.2-6.53*10^3/D24+1.41*10^6/D24^2</f>
        <v>8.6678638941398862</v>
      </c>
      <c r="F24" s="42">
        <v>44</v>
      </c>
      <c r="G24" s="44">
        <f>E24/F24</f>
        <v>0.19699690668499742</v>
      </c>
      <c r="H24" s="44">
        <f>378.2/F24</f>
        <v>8.5954545454545457</v>
      </c>
      <c r="I24" s="45">
        <f>1/H24</f>
        <v>0.11634056054997356</v>
      </c>
      <c r="J24" s="40">
        <f>I24/0.0763</f>
        <v>1.5247779888594175</v>
      </c>
      <c r="K24" s="45">
        <f>G24/H24</f>
        <v>2.2918730550343432E-2</v>
      </c>
      <c r="L24" s="2600"/>
      <c r="N24" s="4">
        <f>G24/G23</f>
        <v>0.93875782247002382</v>
      </c>
    </row>
    <row r="25" spans="2:14" s="4" customFormat="1">
      <c r="B25" s="46"/>
      <c r="C25" s="47"/>
      <c r="D25" s="47"/>
      <c r="E25" s="48"/>
      <c r="F25" s="47"/>
      <c r="G25" s="49"/>
      <c r="H25" s="49"/>
      <c r="I25" s="50"/>
      <c r="J25" s="50"/>
      <c r="K25" s="50"/>
      <c r="L25" s="51"/>
    </row>
    <row r="26" spans="2:14" s="4" customFormat="1">
      <c r="B26" s="36" t="s">
        <v>1214</v>
      </c>
      <c r="C26" s="37">
        <f>C23</f>
        <v>140</v>
      </c>
      <c r="D26" s="37">
        <f>460+C26</f>
        <v>600</v>
      </c>
      <c r="E26" s="38">
        <f>4.23+0.01177*D26</f>
        <v>11.292</v>
      </c>
      <c r="F26" s="37">
        <v>16</v>
      </c>
      <c r="G26" s="39">
        <f>E26/F26</f>
        <v>0.70574999999999999</v>
      </c>
      <c r="H26" s="39">
        <f>378.2/F26</f>
        <v>23.637499999999999</v>
      </c>
      <c r="I26" s="40">
        <f>1/H26</f>
        <v>4.2305658381808567E-2</v>
      </c>
      <c r="J26" s="40">
        <f>I26/0.0763</f>
        <v>0.55446472322160634</v>
      </c>
      <c r="K26" s="40">
        <f>G26/H26</f>
        <v>2.9857218402961398E-2</v>
      </c>
      <c r="L26" s="2599">
        <f>(K26+K27)/2</f>
        <v>2.767874140666314E-2</v>
      </c>
    </row>
    <row r="27" spans="2:14" s="4" customFormat="1">
      <c r="B27" s="41" t="s">
        <v>1214</v>
      </c>
      <c r="C27" s="42">
        <f>C24</f>
        <v>0</v>
      </c>
      <c r="D27" s="42">
        <f>460+C27</f>
        <v>460</v>
      </c>
      <c r="E27" s="43">
        <f>4.23+0.01177*D27</f>
        <v>9.6441999999999997</v>
      </c>
      <c r="F27" s="42">
        <v>16</v>
      </c>
      <c r="G27" s="44">
        <f>E27/F27</f>
        <v>0.60276249999999998</v>
      </c>
      <c r="H27" s="44">
        <f>378.2/F27</f>
        <v>23.637499999999999</v>
      </c>
      <c r="I27" s="45">
        <f>1/H27</f>
        <v>4.2305658381808567E-2</v>
      </c>
      <c r="J27" s="40">
        <f>I27/0.0763</f>
        <v>0.55446472322160634</v>
      </c>
      <c r="K27" s="45">
        <f>G27/H27</f>
        <v>2.5500264410364886E-2</v>
      </c>
      <c r="L27" s="2600"/>
      <c r="N27" s="4">
        <f>G27/G26</f>
        <v>0.85407368048175702</v>
      </c>
    </row>
    <row r="28" spans="2:14" s="4" customFormat="1">
      <c r="B28" s="46"/>
      <c r="C28" s="47"/>
      <c r="D28" s="47"/>
      <c r="E28" s="48"/>
      <c r="F28" s="47"/>
      <c r="G28" s="49"/>
      <c r="H28" s="49"/>
      <c r="I28" s="50"/>
      <c r="J28" s="50"/>
      <c r="K28" s="50"/>
      <c r="L28" s="51"/>
    </row>
    <row r="29" spans="2:14" s="4" customFormat="1">
      <c r="B29" s="36" t="s">
        <v>1216</v>
      </c>
      <c r="C29" s="37">
        <f>C26</f>
        <v>140</v>
      </c>
      <c r="D29" s="37">
        <f>460+C29</f>
        <v>600</v>
      </c>
      <c r="E29" s="38">
        <f>4.52+0.00737*D29</f>
        <v>8.9420000000000002</v>
      </c>
      <c r="F29" s="37">
        <v>28</v>
      </c>
      <c r="G29" s="39">
        <f>E29/F29</f>
        <v>0.31935714285714284</v>
      </c>
      <c r="H29" s="39">
        <f>378.2/F29</f>
        <v>13.507142857142856</v>
      </c>
      <c r="I29" s="40">
        <f>1/H29</f>
        <v>7.4034902168164995E-2</v>
      </c>
      <c r="J29" s="40">
        <f>I29/0.0763</f>
        <v>0.97031326563781117</v>
      </c>
      <c r="K29" s="40">
        <f>G29/H29</f>
        <v>2.3643574828133264E-2</v>
      </c>
      <c r="L29" s="2599">
        <f>(K29+K30)/2</f>
        <v>2.2279481755684824E-2</v>
      </c>
    </row>
    <row r="30" spans="2:14" s="4" customFormat="1">
      <c r="B30" s="41" t="s">
        <v>1216</v>
      </c>
      <c r="C30" s="42">
        <f>C27</f>
        <v>0</v>
      </c>
      <c r="D30" s="42">
        <f>460+C30</f>
        <v>460</v>
      </c>
      <c r="E30" s="43">
        <f>4.52+0.00737*D30</f>
        <v>7.9101999999999997</v>
      </c>
      <c r="F30" s="42">
        <v>28</v>
      </c>
      <c r="G30" s="44">
        <f>E30/F30</f>
        <v>0.28250714285714285</v>
      </c>
      <c r="H30" s="44">
        <f>378.2/F30</f>
        <v>13.507142857142856</v>
      </c>
      <c r="I30" s="45">
        <f>1/H30</f>
        <v>7.4034902168164995E-2</v>
      </c>
      <c r="J30" s="40">
        <f>I30/0.0763</f>
        <v>0.97031326563781117</v>
      </c>
      <c r="K30" s="45">
        <f>G30/H30</f>
        <v>2.0915388683236384E-2</v>
      </c>
      <c r="L30" s="2600"/>
      <c r="N30" s="4">
        <f>G30/G29</f>
        <v>0.88461194363677031</v>
      </c>
    </row>
    <row r="31" spans="2:14" s="4" customFormat="1">
      <c r="B31" s="46"/>
      <c r="C31" s="47"/>
      <c r="D31" s="47"/>
      <c r="E31" s="48"/>
      <c r="F31" s="47"/>
      <c r="G31" s="49"/>
      <c r="H31" s="49"/>
      <c r="I31" s="50"/>
      <c r="J31" s="50"/>
      <c r="K31" s="50"/>
      <c r="L31" s="51"/>
    </row>
    <row r="32" spans="2:14" s="4" customFormat="1">
      <c r="B32" s="36" t="s">
        <v>1218</v>
      </c>
      <c r="C32" s="37">
        <f>C29</f>
        <v>140</v>
      </c>
      <c r="D32" s="37">
        <f>460+C32</f>
        <v>600</v>
      </c>
      <c r="E32" s="38">
        <f>4.04+0.01636*D32</f>
        <v>13.855999999999998</v>
      </c>
      <c r="F32" s="37">
        <v>30</v>
      </c>
      <c r="G32" s="39">
        <f>E32/F32</f>
        <v>0.46186666666666659</v>
      </c>
      <c r="H32" s="39">
        <f>378.2/F32</f>
        <v>12.606666666666666</v>
      </c>
      <c r="I32" s="40">
        <f>1/H32</f>
        <v>7.9323109465891065E-2</v>
      </c>
      <c r="J32" s="40">
        <f>I32/0.0763</f>
        <v>1.0396213560405119</v>
      </c>
      <c r="K32" s="40">
        <f>G32/H32</f>
        <v>3.6636700158646215E-2</v>
      </c>
      <c r="L32" s="2599">
        <f>(K32+K33)/2</f>
        <v>3.3608672659968267E-2</v>
      </c>
    </row>
    <row r="33" spans="2:14" s="4" customFormat="1" ht="13.5" thickBot="1">
      <c r="B33" s="52" t="s">
        <v>1218</v>
      </c>
      <c r="C33" s="53">
        <f>C30</f>
        <v>0</v>
      </c>
      <c r="D33" s="53">
        <f>460+C33</f>
        <v>460</v>
      </c>
      <c r="E33" s="54">
        <f>4.04+0.01636*D33</f>
        <v>11.5656</v>
      </c>
      <c r="F33" s="53">
        <v>30</v>
      </c>
      <c r="G33" s="55">
        <f>E33/F33</f>
        <v>0.38551999999999997</v>
      </c>
      <c r="H33" s="55">
        <f>378.2/F33</f>
        <v>12.606666666666666</v>
      </c>
      <c r="I33" s="56">
        <f>1/H33</f>
        <v>7.9323109465891065E-2</v>
      </c>
      <c r="J33" s="57">
        <f>I33/0.0763</f>
        <v>1.0396213560405119</v>
      </c>
      <c r="K33" s="56">
        <f>G33/H33</f>
        <v>3.0580645161290321E-2</v>
      </c>
      <c r="L33" s="2601"/>
      <c r="N33" s="4">
        <f>G33/G32</f>
        <v>0.83469976905311782</v>
      </c>
    </row>
    <row r="34" spans="2:14" s="4" customFormat="1">
      <c r="B34" s="46"/>
      <c r="C34" s="47"/>
      <c r="D34" s="47"/>
      <c r="E34" s="48"/>
      <c r="F34" s="47"/>
      <c r="G34" s="49"/>
      <c r="H34" s="49"/>
      <c r="I34" s="50"/>
      <c r="J34" s="50"/>
      <c r="K34" s="50"/>
      <c r="L34" s="51"/>
    </row>
    <row r="35" spans="2:14" s="4" customFormat="1">
      <c r="B35" s="36" t="s">
        <v>241</v>
      </c>
      <c r="C35" s="37">
        <f>C32</f>
        <v>140</v>
      </c>
      <c r="D35" s="37">
        <f>460+C35</f>
        <v>600</v>
      </c>
      <c r="E35" s="38" t="s">
        <v>1113</v>
      </c>
      <c r="F35" s="37">
        <v>44</v>
      </c>
      <c r="G35" s="39">
        <v>0.38800000000000001</v>
      </c>
      <c r="H35" s="39">
        <f>378.2/F35</f>
        <v>8.5954545454545457</v>
      </c>
      <c r="I35" s="40">
        <f>1/H35</f>
        <v>0.11634056054997356</v>
      </c>
      <c r="J35" s="40">
        <f>I35/0.0763</f>
        <v>1.5247779888594175</v>
      </c>
      <c r="K35" s="40">
        <f>G35/H35</f>
        <v>4.5140137493389743E-2</v>
      </c>
      <c r="L35" s="2599" t="e">
        <f>(K35+K36)/2</f>
        <v>#VALUE!</v>
      </c>
    </row>
    <row r="36" spans="2:14" s="4" customFormat="1">
      <c r="B36" s="36" t="s">
        <v>241</v>
      </c>
      <c r="C36" s="42">
        <f>C33</f>
        <v>0</v>
      </c>
      <c r="D36" s="42">
        <f>460+C36</f>
        <v>460</v>
      </c>
      <c r="E36" s="43" t="s">
        <v>1113</v>
      </c>
      <c r="F36" s="42">
        <v>44</v>
      </c>
      <c r="G36" s="44" t="e">
        <f>E36/F36</f>
        <v>#VALUE!</v>
      </c>
      <c r="H36" s="44">
        <f>378.2/F36</f>
        <v>8.5954545454545457</v>
      </c>
      <c r="I36" s="45">
        <f>1/H36</f>
        <v>0.11634056054997356</v>
      </c>
      <c r="J36" s="40">
        <f>I36/0.0763</f>
        <v>1.5247779888594175</v>
      </c>
      <c r="K36" s="45" t="e">
        <f>G36/H36</f>
        <v>#VALUE!</v>
      </c>
      <c r="L36" s="2600"/>
    </row>
    <row r="37" spans="2:14" s="4" customFormat="1">
      <c r="B37" s="46"/>
      <c r="C37" s="47"/>
      <c r="D37" s="47"/>
      <c r="E37" s="48"/>
      <c r="F37" s="47"/>
      <c r="G37" s="49"/>
      <c r="H37" s="49"/>
      <c r="I37" s="50"/>
      <c r="J37" s="50"/>
      <c r="K37" s="50"/>
      <c r="L37" s="51"/>
    </row>
    <row r="38" spans="2:14" s="4" customFormat="1">
      <c r="B38" s="36" t="s">
        <v>242</v>
      </c>
      <c r="C38" s="37">
        <f>C35</f>
        <v>140</v>
      </c>
      <c r="D38" s="37">
        <f>460+C38</f>
        <v>600</v>
      </c>
      <c r="E38" s="38" t="s">
        <v>1113</v>
      </c>
      <c r="F38" s="37">
        <v>58</v>
      </c>
      <c r="G38" s="39">
        <v>0.38200000000000001</v>
      </c>
      <c r="H38" s="39">
        <f>378.2/F38</f>
        <v>6.5206896551724132</v>
      </c>
      <c r="I38" s="40">
        <f>1/H38</f>
        <v>0.15335801163405607</v>
      </c>
      <c r="J38" s="40">
        <f>I38/0.0763</f>
        <v>2.0099346216783234</v>
      </c>
      <c r="K38" s="40">
        <f>G38/H38</f>
        <v>5.8582760444209417E-2</v>
      </c>
      <c r="L38" s="2599" t="e">
        <f>(K38+K39)/2</f>
        <v>#VALUE!</v>
      </c>
    </row>
    <row r="39" spans="2:14" s="4" customFormat="1" ht="13.5" thickBot="1">
      <c r="B39" s="36" t="s">
        <v>242</v>
      </c>
      <c r="C39" s="53">
        <f>C36</f>
        <v>0</v>
      </c>
      <c r="D39" s="53">
        <f>460+C39</f>
        <v>460</v>
      </c>
      <c r="E39" s="54" t="s">
        <v>1113</v>
      </c>
      <c r="F39" s="53">
        <v>58</v>
      </c>
      <c r="G39" s="55" t="e">
        <f>E39/F39</f>
        <v>#VALUE!</v>
      </c>
      <c r="H39" s="55">
        <f>378.2/F39</f>
        <v>6.5206896551724132</v>
      </c>
      <c r="I39" s="56">
        <f>1/H39</f>
        <v>0.15335801163405607</v>
      </c>
      <c r="J39" s="57">
        <f>I39/0.0763</f>
        <v>2.0099346216783234</v>
      </c>
      <c r="K39" s="56" t="e">
        <f>G39/H39</f>
        <v>#VALUE!</v>
      </c>
      <c r="L39" s="2601"/>
    </row>
    <row r="40" spans="2:14" s="4" customFormat="1">
      <c r="B40" s="9"/>
      <c r="C40" s="754"/>
      <c r="D40" s="754"/>
      <c r="E40" s="755"/>
      <c r="F40" s="754"/>
      <c r="G40" s="678"/>
      <c r="H40" s="678"/>
      <c r="I40" s="756"/>
      <c r="J40" s="756"/>
      <c r="K40" s="756"/>
      <c r="L40" s="9"/>
    </row>
    <row r="41" spans="2:14" s="4" customFormat="1">
      <c r="B41" s="18" t="s">
        <v>243</v>
      </c>
      <c r="C41" s="37">
        <f>C38</f>
        <v>140</v>
      </c>
      <c r="D41" s="37">
        <f>460+C41</f>
        <v>600</v>
      </c>
      <c r="E41" s="38" t="s">
        <v>1113</v>
      </c>
      <c r="F41" s="37">
        <v>64</v>
      </c>
      <c r="G41" s="39">
        <v>0.27300000000000002</v>
      </c>
      <c r="H41" s="39">
        <f>378.2/F41</f>
        <v>5.9093749999999998</v>
      </c>
      <c r="I41" s="40">
        <f>1/H41</f>
        <v>0.16922263352723427</v>
      </c>
      <c r="J41" s="40">
        <f>I41/0.0763</f>
        <v>2.2178588928864253</v>
      </c>
      <c r="K41" s="40">
        <f>G41/H41</f>
        <v>4.6197778952934962E-2</v>
      </c>
      <c r="L41" s="2599" t="e">
        <f>(K41+K42)/2</f>
        <v>#VALUE!</v>
      </c>
    </row>
    <row r="42" spans="2:14" s="4" customFormat="1" ht="13.5" thickBot="1">
      <c r="B42" s="18" t="s">
        <v>243</v>
      </c>
      <c r="C42" s="53">
        <f>C39</f>
        <v>0</v>
      </c>
      <c r="D42" s="53">
        <f>460+C42</f>
        <v>460</v>
      </c>
      <c r="E42" s="54" t="s">
        <v>1113</v>
      </c>
      <c r="F42" s="53">
        <v>64</v>
      </c>
      <c r="G42" s="55" t="e">
        <f>E42/F42</f>
        <v>#VALUE!</v>
      </c>
      <c r="H42" s="55">
        <f>378.2/F42</f>
        <v>5.9093749999999998</v>
      </c>
      <c r="I42" s="56">
        <f>1/H42</f>
        <v>0.16922263352723427</v>
      </c>
      <c r="J42" s="57">
        <f>I42/0.0763</f>
        <v>2.2178588928864253</v>
      </c>
      <c r="K42" s="56" t="e">
        <f>G42/H42</f>
        <v>#VALUE!</v>
      </c>
      <c r="L42" s="2601"/>
    </row>
    <row r="43" spans="2:14" s="4" customFormat="1">
      <c r="B43" s="9"/>
      <c r="C43" s="754"/>
      <c r="D43" s="754"/>
      <c r="E43" s="755"/>
      <c r="F43" s="754"/>
      <c r="G43" s="678"/>
      <c r="H43" s="678"/>
      <c r="I43" s="756"/>
      <c r="J43" s="756"/>
      <c r="K43" s="756"/>
      <c r="L43" s="9"/>
    </row>
    <row r="44" spans="2:14" s="4" customFormat="1">
      <c r="B44" s="757" t="s">
        <v>1056</v>
      </c>
      <c r="C44" s="613">
        <f>C2</f>
        <v>60</v>
      </c>
      <c r="D44" s="613"/>
      <c r="E44" s="758"/>
      <c r="F44" s="613"/>
      <c r="G44" s="759">
        <f>J52*G8+(1-J52)*G11</f>
        <v>0.2354199130627195</v>
      </c>
      <c r="H44" s="678"/>
      <c r="I44" s="756"/>
      <c r="J44" s="756"/>
      <c r="K44" s="756"/>
      <c r="L44" s="9"/>
    </row>
    <row r="45" spans="2:14" s="4" customFormat="1">
      <c r="B45" s="757"/>
      <c r="C45" s="613">
        <f>C3</f>
        <v>0</v>
      </c>
      <c r="D45" s="613"/>
      <c r="E45" s="758"/>
      <c r="F45" s="613"/>
      <c r="G45" s="759">
        <f>J52*G9+(1-J52)*G12</f>
        <v>0.24104786995236152</v>
      </c>
      <c r="H45" s="678"/>
      <c r="I45" s="756"/>
      <c r="J45" s="756"/>
      <c r="K45" s="756"/>
      <c r="L45" s="9"/>
    </row>
    <row r="46" spans="2:14" s="4" customFormat="1">
      <c r="B46" s="760" t="s">
        <v>244</v>
      </c>
      <c r="C46" s="761">
        <f>'Calculations vol mod'!C53</f>
        <v>0</v>
      </c>
      <c r="D46" s="761"/>
      <c r="E46" s="762"/>
      <c r="F46" s="761"/>
      <c r="G46" s="763">
        <f>G83</f>
        <v>0.23548139090679829</v>
      </c>
      <c r="H46" s="678"/>
      <c r="I46" s="756"/>
      <c r="J46" s="756"/>
      <c r="K46" s="756"/>
      <c r="L46" s="9"/>
    </row>
    <row r="47" spans="2:14" s="4" customFormat="1">
      <c r="E47" s="58"/>
      <c r="G47" s="59"/>
      <c r="H47" s="59"/>
      <c r="I47" s="17"/>
      <c r="J47" s="17"/>
      <c r="K47" s="17"/>
    </row>
    <row r="48" spans="2:14" s="4" customFormat="1">
      <c r="B48" s="4" t="s">
        <v>1220</v>
      </c>
      <c r="E48" s="58"/>
      <c r="G48" s="59"/>
      <c r="H48" s="59"/>
      <c r="I48" s="17"/>
      <c r="J48" s="17"/>
      <c r="K48" s="17"/>
    </row>
    <row r="49" spans="2:18" s="4" customFormat="1" ht="13.5" thickBot="1">
      <c r="E49" s="58"/>
      <c r="G49" s="59"/>
      <c r="H49" s="59"/>
      <c r="I49" s="17"/>
      <c r="J49" s="17"/>
      <c r="K49" s="17"/>
    </row>
    <row r="50" spans="2:18" s="4" customFormat="1" ht="15.75" thickBot="1">
      <c r="B50" s="60" t="s">
        <v>1221</v>
      </c>
      <c r="C50" s="61"/>
      <c r="D50" s="61"/>
      <c r="E50" s="62"/>
      <c r="G50" s="59"/>
      <c r="H50" s="59"/>
      <c r="I50" s="17"/>
      <c r="J50" s="17"/>
      <c r="K50" s="17"/>
      <c r="N50" s="2801" t="s">
        <v>245</v>
      </c>
      <c r="O50" s="2802"/>
      <c r="P50" s="2802"/>
      <c r="Q50" s="2802"/>
      <c r="R50" s="2803"/>
    </row>
    <row r="51" spans="2:18" s="4" customFormat="1" ht="15.75" thickBot="1">
      <c r="B51" s="63" t="s">
        <v>1222</v>
      </c>
      <c r="C51" s="64" t="s">
        <v>1223</v>
      </c>
      <c r="D51" s="64" t="s">
        <v>1224</v>
      </c>
      <c r="E51" s="65" t="s">
        <v>1225</v>
      </c>
      <c r="F51" s="4" t="s">
        <v>1226</v>
      </c>
      <c r="G51" s="59" t="s">
        <v>1227</v>
      </c>
      <c r="H51" s="59"/>
      <c r="I51" s="17" t="s">
        <v>246</v>
      </c>
      <c r="J51" s="17" t="s">
        <v>1224</v>
      </c>
      <c r="K51" s="17"/>
      <c r="L51" s="4" t="s">
        <v>247</v>
      </c>
      <c r="M51" s="752" t="s">
        <v>248</v>
      </c>
      <c r="N51" s="764" t="s">
        <v>249</v>
      </c>
      <c r="O51" s="765" t="s">
        <v>250</v>
      </c>
      <c r="P51" s="766" t="s">
        <v>251</v>
      </c>
      <c r="Q51" s="767" t="s">
        <v>252</v>
      </c>
      <c r="R51" s="768"/>
    </row>
    <row r="52" spans="2:18" s="4" customFormat="1" ht="15">
      <c r="B52" s="63" t="s">
        <v>1228</v>
      </c>
      <c r="C52" s="64">
        <v>20.7</v>
      </c>
      <c r="D52" s="64"/>
      <c r="E52" s="66">
        <f>L8</f>
        <v>1.8159907895190751E-2</v>
      </c>
      <c r="F52" s="67">
        <f>K8</f>
        <v>1.82829421635834E-2</v>
      </c>
      <c r="G52" s="59">
        <f>K9</f>
        <v>1.8036873626798098E-2</v>
      </c>
      <c r="H52" s="59"/>
      <c r="I52" s="17">
        <f>C52*I8</f>
        <v>1.7514542570068745</v>
      </c>
      <c r="J52" s="769">
        <f>I52/I58</f>
        <v>0.23057644110275691</v>
      </c>
      <c r="K52" s="17"/>
      <c r="L52" s="4" t="s">
        <v>247</v>
      </c>
      <c r="M52" s="4">
        <f>J52*H8</f>
        <v>2.7251253132832081</v>
      </c>
      <c r="N52" s="770">
        <v>0.23100000000000001</v>
      </c>
      <c r="O52" s="765">
        <f>N52*(G8+G9)/2</f>
        <v>4.9578932041781994E-2</v>
      </c>
      <c r="P52" s="766">
        <f>'Calculations vol mod'!C53 +460</f>
        <v>460</v>
      </c>
      <c r="Q52" s="767">
        <f>N52*(11.515-172/P52^0.5 +1530/P52)/32</f>
        <v>4.9243032340822328E-2</v>
      </c>
      <c r="R52" s="768" t="s">
        <v>253</v>
      </c>
    </row>
    <row r="53" spans="2:18" s="4" customFormat="1" ht="15">
      <c r="B53" s="68" t="s">
        <v>1213</v>
      </c>
      <c r="C53" s="18">
        <v>0</v>
      </c>
      <c r="D53" s="18"/>
      <c r="E53" s="69">
        <f>L23</f>
        <v>2.3666310454089394E-2</v>
      </c>
      <c r="F53" s="67">
        <f>K23</f>
        <v>2.4413890357835359E-2</v>
      </c>
      <c r="G53" s="59">
        <f>K24</f>
        <v>2.2918730550343432E-2</v>
      </c>
      <c r="I53" s="17"/>
      <c r="J53" s="769"/>
      <c r="K53" s="17"/>
      <c r="N53" s="770"/>
      <c r="O53" s="765"/>
      <c r="P53" s="766"/>
      <c r="Q53" s="767"/>
      <c r="R53" s="768"/>
    </row>
    <row r="54" spans="2:18" s="4" customFormat="1" ht="15">
      <c r="B54" s="68" t="s">
        <v>1229</v>
      </c>
      <c r="C54" s="18">
        <v>78.3</v>
      </c>
      <c r="D54" s="18"/>
      <c r="E54" s="69">
        <f>L11</f>
        <v>1.8161364599176031E-2</v>
      </c>
      <c r="F54" s="67">
        <f>K11</f>
        <v>1.7858338626755829E-2</v>
      </c>
      <c r="G54" s="59">
        <f>K12</f>
        <v>1.8464390571596233E-2</v>
      </c>
      <c r="I54" s="17">
        <f>C54*I11</f>
        <v>5.7969328397673188</v>
      </c>
      <c r="J54" s="769">
        <f>I54/I58</f>
        <v>0.76315789473684215</v>
      </c>
      <c r="K54" s="17"/>
      <c r="L54" s="4">
        <f>(J54+J55)/J52</f>
        <v>3.3369565217391304</v>
      </c>
      <c r="M54" s="4">
        <f>(1-J52)*H11</f>
        <v>10.392713927676333</v>
      </c>
      <c r="N54" s="770">
        <f>1-N52</f>
        <v>0.76900000000000002</v>
      </c>
      <c r="O54" s="765">
        <f>N54*(G11+G12)/2</f>
        <v>0.18864196436760855</v>
      </c>
      <c r="P54" s="766">
        <f>P52</f>
        <v>460</v>
      </c>
      <c r="Q54" s="767">
        <f>N54*(9.47-3.47*10^3/P54 +1.07*10^6/P54^2)/28</f>
        <v>0.19178949297866596</v>
      </c>
      <c r="R54" s="768" t="s">
        <v>254</v>
      </c>
    </row>
    <row r="55" spans="2:18" s="4" customFormat="1" ht="16.5" thickBot="1">
      <c r="B55" s="68" t="s">
        <v>1230</v>
      </c>
      <c r="C55" s="18">
        <v>1</v>
      </c>
      <c r="D55" s="18"/>
      <c r="E55" s="69">
        <f>L20</f>
        <v>2.1571465308594613E-2</v>
      </c>
      <c r="F55" s="67">
        <f>K20</f>
        <v>2.1119981648089311E-2</v>
      </c>
      <c r="G55" s="59">
        <f>K21</f>
        <v>2.2022948969099915E-2</v>
      </c>
      <c r="I55" s="17">
        <f>C55*I20</f>
        <v>4.7593865679534643E-2</v>
      </c>
      <c r="J55" s="769">
        <f>I55/I58</f>
        <v>6.2656641604010039E-3</v>
      </c>
      <c r="K55" s="17"/>
      <c r="N55" s="771" t="s">
        <v>321</v>
      </c>
      <c r="O55" s="772">
        <f>O52+O54</f>
        <v>0.23822089640939054</v>
      </c>
      <c r="P55" s="773"/>
      <c r="Q55" s="774">
        <f>SUM(Q52:Q54)</f>
        <v>0.24103252531948829</v>
      </c>
      <c r="R55" s="775"/>
    </row>
    <row r="56" spans="2:18" s="4" customFormat="1">
      <c r="B56" s="68"/>
      <c r="C56" s="18"/>
      <c r="D56" s="18"/>
      <c r="E56" s="70"/>
      <c r="G56" s="59"/>
      <c r="I56" s="17"/>
      <c r="J56" s="17"/>
      <c r="K56" s="17"/>
    </row>
    <row r="57" spans="2:18" s="4" customFormat="1">
      <c r="B57" s="68" t="s">
        <v>1172</v>
      </c>
      <c r="C57" s="18">
        <f>SUM(C52:C56)</f>
        <v>100</v>
      </c>
      <c r="D57" s="18"/>
      <c r="E57" s="70"/>
      <c r="I57" s="17"/>
      <c r="J57" s="17"/>
      <c r="K57" s="17"/>
    </row>
    <row r="58" spans="2:18" s="4" customFormat="1" ht="13.5" thickBot="1">
      <c r="B58" s="71" t="s">
        <v>1231</v>
      </c>
      <c r="C58" s="72"/>
      <c r="D58" s="72"/>
      <c r="E58" s="73">
        <f>($C$52*E52+$C$53*E53+$C$54*E54+$C$55*E55)/100</f>
        <v>1.8195164068545263E-2</v>
      </c>
      <c r="F58" s="73">
        <f>($C$52*F52+$C$53*F53+$C$54*F54+$C$55*F55)/100</f>
        <v>1.7978847989092474E-2</v>
      </c>
      <c r="G58" s="73">
        <f>($C$52*G52+$C$53*G53+$C$54*G54+$C$55*G55)/100</f>
        <v>1.8411480147998052E-2</v>
      </c>
      <c r="I58" s="17">
        <f>SUM(I52:I55)</f>
        <v>7.5959809624537273</v>
      </c>
      <c r="J58" s="17"/>
      <c r="K58" s="17"/>
      <c r="M58" s="4">
        <f>M52+M54</f>
        <v>13.11783924095954</v>
      </c>
    </row>
    <row r="59" spans="2:18" s="4" customFormat="1">
      <c r="I59" s="17"/>
      <c r="J59" s="17"/>
      <c r="K59" s="17"/>
    </row>
    <row r="60" spans="2:18" s="4" customFormat="1">
      <c r="F60" s="4" t="s">
        <v>1182</v>
      </c>
      <c r="G60" s="4">
        <f>(G58-F58)/(1000-60)</f>
        <v>4.6024697755912597E-7</v>
      </c>
      <c r="I60" s="17"/>
      <c r="J60" s="17"/>
      <c r="K60" s="17"/>
    </row>
    <row r="61" spans="2:18" s="4" customFormat="1">
      <c r="F61" s="4" t="s">
        <v>1181</v>
      </c>
      <c r="G61" s="4">
        <f>G58-G60*1000</f>
        <v>1.7951233170438927E-2</v>
      </c>
      <c r="I61" s="17"/>
      <c r="J61" s="17"/>
      <c r="K61" s="17"/>
    </row>
    <row r="62" spans="2:18" s="4" customFormat="1">
      <c r="I62" s="17"/>
      <c r="J62" s="17"/>
      <c r="K62" s="17"/>
    </row>
    <row r="63" spans="2:18" s="4" customFormat="1">
      <c r="E63" s="4" t="s">
        <v>1232</v>
      </c>
      <c r="I63" s="17"/>
      <c r="J63" s="17"/>
      <c r="K63" s="17"/>
    </row>
    <row r="64" spans="2:18" s="4" customFormat="1">
      <c r="E64" s="4" t="s">
        <v>1183</v>
      </c>
      <c r="F64" s="4" t="s">
        <v>414</v>
      </c>
      <c r="I64" s="17"/>
      <c r="J64" s="17"/>
      <c r="K64" s="17"/>
    </row>
    <row r="65" spans="5:11" s="4" customFormat="1">
      <c r="E65" s="4">
        <v>60</v>
      </c>
      <c r="F65" s="4">
        <f t="shared" ref="F65:F81" si="0">$G$61+$G$60*E65</f>
        <v>1.7978847989092474E-2</v>
      </c>
      <c r="G65" s="4">
        <f t="shared" ref="G65:G81" si="1">F65*M58</f>
        <v>0.23584363765856378</v>
      </c>
      <c r="I65" s="17"/>
      <c r="J65" s="17"/>
      <c r="K65" s="17"/>
    </row>
    <row r="66" spans="5:11" s="4" customFormat="1">
      <c r="E66" s="4">
        <v>100</v>
      </c>
      <c r="F66" s="4">
        <f t="shared" si="0"/>
        <v>1.7997257868194842E-2</v>
      </c>
      <c r="G66" s="4">
        <f t="shared" si="1"/>
        <v>0</v>
      </c>
      <c r="I66" s="17"/>
      <c r="J66" s="17"/>
      <c r="K66" s="17"/>
    </row>
    <row r="67" spans="5:11" s="4" customFormat="1">
      <c r="E67" s="4">
        <f t="shared" ref="E67:E81" si="2">100+E66</f>
        <v>200</v>
      </c>
      <c r="F67" s="4">
        <f t="shared" si="0"/>
        <v>1.8043282565950752E-2</v>
      </c>
      <c r="G67" s="4">
        <f t="shared" si="1"/>
        <v>0</v>
      </c>
      <c r="I67" s="17"/>
      <c r="J67" s="17"/>
      <c r="K67" s="17"/>
    </row>
    <row r="68" spans="5:11" s="4" customFormat="1">
      <c r="E68" s="4">
        <f t="shared" si="2"/>
        <v>300</v>
      </c>
      <c r="F68" s="4">
        <f t="shared" si="0"/>
        <v>1.8089307263706667E-2</v>
      </c>
      <c r="G68" s="4">
        <f t="shared" si="1"/>
        <v>0</v>
      </c>
      <c r="I68" s="17"/>
      <c r="J68" s="17"/>
      <c r="K68" s="17"/>
    </row>
    <row r="69" spans="5:11" s="4" customFormat="1">
      <c r="E69" s="4">
        <f t="shared" si="2"/>
        <v>400</v>
      </c>
      <c r="F69" s="4">
        <f t="shared" si="0"/>
        <v>1.8135331961462577E-2</v>
      </c>
      <c r="G69" s="4">
        <f t="shared" si="1"/>
        <v>0</v>
      </c>
      <c r="I69" s="17"/>
      <c r="J69" s="17"/>
      <c r="K69" s="17"/>
    </row>
    <row r="70" spans="5:11" s="4" customFormat="1">
      <c r="E70" s="4">
        <f t="shared" si="2"/>
        <v>500</v>
      </c>
      <c r="F70" s="4">
        <f t="shared" si="0"/>
        <v>1.8181356659218492E-2</v>
      </c>
      <c r="G70" s="4">
        <f t="shared" si="1"/>
        <v>0</v>
      </c>
      <c r="I70" s="17"/>
      <c r="J70" s="17"/>
      <c r="K70" s="17"/>
    </row>
    <row r="71" spans="5:11" s="4" customFormat="1">
      <c r="E71" s="4">
        <f t="shared" si="2"/>
        <v>600</v>
      </c>
      <c r="F71" s="4">
        <f t="shared" si="0"/>
        <v>1.8227381356974402E-2</v>
      </c>
      <c r="G71" s="4">
        <f t="shared" si="1"/>
        <v>0</v>
      </c>
      <c r="I71" s="17"/>
      <c r="J71" s="17"/>
      <c r="K71" s="17"/>
    </row>
    <row r="72" spans="5:11" s="4" customFormat="1">
      <c r="E72" s="4">
        <f t="shared" si="2"/>
        <v>700</v>
      </c>
      <c r="F72" s="4">
        <f t="shared" si="0"/>
        <v>1.8273406054730316E-2</v>
      </c>
      <c r="G72" s="4">
        <f t="shared" si="1"/>
        <v>0</v>
      </c>
      <c r="I72" s="17"/>
      <c r="J72" s="17"/>
      <c r="K72" s="17"/>
    </row>
    <row r="73" spans="5:11" s="4" customFormat="1">
      <c r="E73" s="4">
        <f t="shared" si="2"/>
        <v>800</v>
      </c>
      <c r="F73" s="4">
        <f t="shared" si="0"/>
        <v>1.8319430752486227E-2</v>
      </c>
      <c r="G73" s="4">
        <f t="shared" si="1"/>
        <v>0</v>
      </c>
      <c r="I73" s="17"/>
      <c r="J73" s="17"/>
      <c r="K73" s="17"/>
    </row>
    <row r="74" spans="5:11" s="4" customFormat="1">
      <c r="E74" s="4">
        <f t="shared" si="2"/>
        <v>900</v>
      </c>
      <c r="F74" s="4">
        <f t="shared" si="0"/>
        <v>1.8365455450242141E-2</v>
      </c>
      <c r="G74" s="4">
        <f t="shared" si="1"/>
        <v>0</v>
      </c>
      <c r="I74" s="17"/>
      <c r="J74" s="17"/>
      <c r="K74" s="17"/>
    </row>
    <row r="75" spans="5:11" s="4" customFormat="1">
      <c r="E75" s="4">
        <f t="shared" si="2"/>
        <v>1000</v>
      </c>
      <c r="F75" s="4">
        <f t="shared" si="0"/>
        <v>1.8411480147998052E-2</v>
      </c>
      <c r="G75" s="4">
        <f t="shared" si="1"/>
        <v>0</v>
      </c>
      <c r="I75" s="17"/>
      <c r="J75" s="17"/>
      <c r="K75" s="17"/>
    </row>
    <row r="76" spans="5:11" s="4" customFormat="1">
      <c r="E76" s="4">
        <f t="shared" si="2"/>
        <v>1100</v>
      </c>
      <c r="F76" s="4">
        <f t="shared" si="0"/>
        <v>1.8457504845753966E-2</v>
      </c>
      <c r="G76" s="4">
        <f t="shared" si="1"/>
        <v>0</v>
      </c>
      <c r="I76" s="17"/>
      <c r="J76" s="17"/>
      <c r="K76" s="17"/>
    </row>
    <row r="77" spans="5:11" s="4" customFormat="1">
      <c r="E77" s="4">
        <f t="shared" si="2"/>
        <v>1200</v>
      </c>
      <c r="F77" s="4">
        <f t="shared" si="0"/>
        <v>1.8503529543509877E-2</v>
      </c>
      <c r="G77" s="4">
        <f t="shared" si="1"/>
        <v>0</v>
      </c>
      <c r="I77" s="17"/>
      <c r="J77" s="17"/>
      <c r="K77" s="17"/>
    </row>
    <row r="78" spans="5:11" s="4" customFormat="1">
      <c r="E78" s="4">
        <f t="shared" si="2"/>
        <v>1300</v>
      </c>
      <c r="F78" s="4">
        <f t="shared" si="0"/>
        <v>1.8549554241265791E-2</v>
      </c>
      <c r="G78" s="4">
        <f t="shared" si="1"/>
        <v>0</v>
      </c>
      <c r="I78" s="17"/>
      <c r="J78" s="17"/>
      <c r="K78" s="17"/>
    </row>
    <row r="79" spans="5:11" s="4" customFormat="1">
      <c r="E79" s="4">
        <f t="shared" si="2"/>
        <v>1400</v>
      </c>
      <c r="F79" s="4">
        <f t="shared" si="0"/>
        <v>1.8595578939021702E-2</v>
      </c>
      <c r="G79" s="4">
        <f t="shared" si="1"/>
        <v>0</v>
      </c>
      <c r="I79" s="17"/>
      <c r="J79" s="17"/>
      <c r="K79" s="17"/>
    </row>
    <row r="80" spans="5:11" s="4" customFormat="1">
      <c r="E80" s="4">
        <f t="shared" si="2"/>
        <v>1500</v>
      </c>
      <c r="F80" s="4">
        <f t="shared" si="0"/>
        <v>1.8641603636777616E-2</v>
      </c>
      <c r="G80" s="4">
        <f t="shared" si="1"/>
        <v>0</v>
      </c>
      <c r="I80" s="17"/>
      <c r="J80" s="17"/>
      <c r="K80" s="17"/>
    </row>
    <row r="81" spans="4:11" s="4" customFormat="1">
      <c r="E81" s="4">
        <f t="shared" si="2"/>
        <v>1600</v>
      </c>
      <c r="F81" s="4">
        <f t="shared" si="0"/>
        <v>1.8687628334533531E-2</v>
      </c>
      <c r="G81" s="4">
        <f t="shared" si="1"/>
        <v>0</v>
      </c>
      <c r="I81" s="17"/>
      <c r="J81" s="17"/>
      <c r="K81" s="17"/>
    </row>
    <row r="82" spans="4:11" s="4" customFormat="1">
      <c r="G82" s="776" t="s">
        <v>162</v>
      </c>
      <c r="I82" s="17"/>
      <c r="J82" s="17"/>
      <c r="K82" s="17"/>
    </row>
    <row r="83" spans="4:11" s="4" customFormat="1">
      <c r="D83" s="752" t="s">
        <v>255</v>
      </c>
      <c r="E83" s="4">
        <f>'Calculations vol mod'!C53</f>
        <v>0</v>
      </c>
      <c r="F83" s="4">
        <f>$G$61+$G$60*E83</f>
        <v>1.7951233170438927E-2</v>
      </c>
      <c r="G83" s="776">
        <f>F83*M58</f>
        <v>0.23548139090679829</v>
      </c>
      <c r="I83" s="17"/>
      <c r="J83" s="17"/>
      <c r="K83" s="17"/>
    </row>
    <row r="84" spans="4:11" s="4" customFormat="1">
      <c r="I84" s="17"/>
      <c r="J84" s="17"/>
      <c r="K84" s="17"/>
    </row>
    <row r="85" spans="4:11" s="4" customFormat="1">
      <c r="I85" s="17"/>
      <c r="J85" s="17"/>
      <c r="K85" s="17"/>
    </row>
    <row r="86" spans="4:11" s="4" customFormat="1">
      <c r="I86" s="17"/>
      <c r="J86" s="17"/>
      <c r="K86" s="17"/>
    </row>
    <row r="87" spans="4:11" s="4" customFormat="1">
      <c r="I87" s="17"/>
      <c r="J87" s="17"/>
      <c r="K87" s="17"/>
    </row>
    <row r="88" spans="4:11" s="4" customFormat="1">
      <c r="I88" s="17"/>
      <c r="J88" s="17"/>
      <c r="K88" s="17"/>
    </row>
    <row r="89" spans="4:11" s="4" customFormat="1">
      <c r="I89" s="17"/>
      <c r="J89" s="17"/>
      <c r="K89" s="17"/>
    </row>
    <row r="90" spans="4:11" s="4" customFormat="1">
      <c r="I90" s="17"/>
      <c r="J90" s="17"/>
      <c r="K90" s="17"/>
    </row>
    <row r="91" spans="4:11" s="4" customFormat="1">
      <c r="I91" s="17"/>
      <c r="J91" s="17"/>
      <c r="K91" s="17"/>
    </row>
    <row r="92" spans="4:11" s="4" customFormat="1">
      <c r="I92" s="17"/>
      <c r="J92" s="17"/>
      <c r="K92" s="17"/>
    </row>
    <row r="93" spans="4:11" s="4" customFormat="1">
      <c r="I93" s="17"/>
      <c r="J93" s="17"/>
      <c r="K93" s="17"/>
    </row>
  </sheetData>
  <mergeCells count="13">
    <mergeCell ref="L23:L24"/>
    <mergeCell ref="L26:L27"/>
    <mergeCell ref="L29:L30"/>
    <mergeCell ref="N50:R50"/>
    <mergeCell ref="L35:L36"/>
    <mergeCell ref="L38:L39"/>
    <mergeCell ref="L41:L42"/>
    <mergeCell ref="L32:L33"/>
    <mergeCell ref="L20:L21"/>
    <mergeCell ref="L8:L9"/>
    <mergeCell ref="L11:L12"/>
    <mergeCell ref="L14:L15"/>
    <mergeCell ref="L17:L18"/>
  </mergeCells>
  <phoneticPr fontId="5"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V43"/>
  <sheetViews>
    <sheetView topLeftCell="A4" workbookViewId="0">
      <selection activeCell="O40" sqref="O40"/>
    </sheetView>
  </sheetViews>
  <sheetFormatPr defaultColWidth="0" defaultRowHeight="12.75" zeroHeight="1"/>
  <cols>
    <col min="1" max="2" width="9.140625" style="1177" customWidth="1"/>
    <col min="3" max="3" width="17.85546875" style="1177" customWidth="1"/>
    <col min="4" max="13" width="9.140625" style="1177" customWidth="1"/>
    <col min="14" max="14" width="20.85546875" style="1177" customWidth="1"/>
    <col min="15" max="15" width="10.42578125" style="1177" customWidth="1"/>
    <col min="16" max="16" width="9.28515625" style="1177" hidden="1" customWidth="1"/>
    <col min="17" max="18" width="0" style="1177" hidden="1" customWidth="1"/>
    <col min="19" max="19" width="8.85546875" style="1177" hidden="1" customWidth="1"/>
    <col min="20" max="21" width="0" style="1177" hidden="1" customWidth="1"/>
    <col min="22" max="22" width="9.140625" style="1177" customWidth="1"/>
    <col min="23" max="16384" width="9.140625" style="1177" hidden="1"/>
  </cols>
  <sheetData>
    <row r="1" spans="2:19"/>
    <row r="2" spans="2:19" ht="18" customHeight="1">
      <c r="B2" s="2808" t="s">
        <v>743</v>
      </c>
      <c r="C2" s="2808"/>
      <c r="D2" s="2808"/>
      <c r="E2" s="2808"/>
      <c r="F2" s="2808"/>
      <c r="G2" s="2808"/>
      <c r="H2" s="2808"/>
      <c r="I2" s="2808"/>
      <c r="J2" s="2808"/>
      <c r="K2" s="2808"/>
      <c r="L2" s="2808"/>
      <c r="P2" s="1283" t="s">
        <v>1244</v>
      </c>
    </row>
    <row r="3" spans="2:19"/>
    <row r="4" spans="2:19">
      <c r="G4" s="1341"/>
      <c r="P4" s="1177" t="s">
        <v>775</v>
      </c>
      <c r="S4" s="1284" t="s">
        <v>775</v>
      </c>
    </row>
    <row r="5" spans="2:19"/>
    <row r="6" spans="2:19"/>
    <row r="7" spans="2:19">
      <c r="P7" s="1181"/>
    </row>
    <row r="8" spans="2:19">
      <c r="P8" s="1181" t="s">
        <v>1113</v>
      </c>
    </row>
    <row r="9" spans="2:19"/>
    <row r="10" spans="2:19" ht="13.5" thickBot="1"/>
    <row r="11" spans="2:19" ht="15">
      <c r="N11" s="1980" t="s">
        <v>1444</v>
      </c>
      <c r="O11" s="1981"/>
    </row>
    <row r="12" spans="2:19">
      <c r="N12" s="1982" t="s">
        <v>1442</v>
      </c>
      <c r="O12" s="1993"/>
      <c r="P12" s="1175"/>
    </row>
    <row r="13" spans="2:19">
      <c r="N13" s="1982" t="s">
        <v>1440</v>
      </c>
      <c r="O13" s="1993"/>
      <c r="P13" s="1983"/>
    </row>
    <row r="14" spans="2:19">
      <c r="N14" s="1982" t="s">
        <v>1443</v>
      </c>
      <c r="O14" s="1994"/>
      <c r="P14" s="1983"/>
    </row>
    <row r="15" spans="2:19">
      <c r="N15" s="1982" t="s">
        <v>1436</v>
      </c>
      <c r="O15" s="1984" t="str">
        <f>IFERROR(MIN(O12/O13,O14/O13),"-")</f>
        <v>-</v>
      </c>
      <c r="P15" s="1985"/>
    </row>
    <row r="16" spans="2:19">
      <c r="N16" s="1982"/>
      <c r="O16" s="1986"/>
      <c r="P16" s="1983"/>
    </row>
    <row r="17" spans="14:16" ht="13.5" thickBot="1">
      <c r="N17" s="1987" t="s">
        <v>1439</v>
      </c>
      <c r="O17" s="1995"/>
      <c r="P17" s="1983"/>
    </row>
    <row r="18" spans="14:16">
      <c r="O18" s="1988"/>
      <c r="P18" s="1983"/>
    </row>
    <row r="19" spans="14:16">
      <c r="P19" s="1989"/>
    </row>
    <row r="20" spans="14:16" ht="13.5" thickBot="1">
      <c r="P20" s="1989"/>
    </row>
    <row r="21" spans="14:16" ht="15">
      <c r="N21" s="1980" t="s">
        <v>1445</v>
      </c>
      <c r="O21" s="1990"/>
      <c r="P21" s="1991"/>
    </row>
    <row r="22" spans="14:16">
      <c r="N22" s="1982" t="s">
        <v>1441</v>
      </c>
      <c r="O22" s="1993"/>
      <c r="P22" s="1991"/>
    </row>
    <row r="23" spans="14:16">
      <c r="N23" s="1982" t="s">
        <v>1440</v>
      </c>
      <c r="O23" s="1993"/>
      <c r="P23" s="1991"/>
    </row>
    <row r="24" spans="14:16">
      <c r="N24" s="1982" t="s">
        <v>1436</v>
      </c>
      <c r="O24" s="1984" t="str">
        <f>IFERROR(O22/O23,"-")</f>
        <v>-</v>
      </c>
      <c r="P24" s="1991"/>
    </row>
    <row r="25" spans="14:16">
      <c r="N25" s="1982"/>
      <c r="O25" s="1986"/>
      <c r="P25" s="1991"/>
    </row>
    <row r="26" spans="14:16" ht="13.5" thickBot="1">
      <c r="N26" s="1987" t="s">
        <v>1439</v>
      </c>
      <c r="O26" s="1995"/>
      <c r="P26" s="1992"/>
    </row>
    <row r="27" spans="14:16"/>
    <row r="28" spans="14:16"/>
    <row r="29" spans="14:16"/>
    <row r="30" spans="14:16"/>
    <row r="31" spans="14:16"/>
    <row r="32" spans="14:16"/>
    <row r="33"/>
    <row r="34"/>
    <row r="35"/>
    <row r="36"/>
    <row r="37"/>
    <row r="38"/>
    <row r="39"/>
    <row r="40"/>
    <row r="41"/>
    <row r="42"/>
    <row r="43"/>
  </sheetData>
  <sheetProtection password="B61E" sheet="1" objects="1" scenarios="1"/>
  <mergeCells count="1">
    <mergeCell ref="B2:L2"/>
  </mergeCells>
  <phoneticPr fontId="0" type="noConversion"/>
  <pageMargins left="0.75" right="0.75" top="1" bottom="1" header="0.5" footer="0.5"/>
  <pageSetup scale="77" orientation="landscape" r:id="rId1"/>
  <headerFooter alignWithMargins="0"/>
  <drawing r:id="rId2"/>
  <legacyDrawing r:id="rId3"/>
  <controls>
    <mc:AlternateContent xmlns:mc="http://schemas.openxmlformats.org/markup-compatibility/2006">
      <mc:Choice Requires="x14">
        <control shapeId="5010697" r:id="rId4" name="CommandButton1">
          <controlPr defaultSize="0" print="0" autoLine="0" r:id="rId5">
            <anchor>
              <from>
                <xdr:col>9</xdr:col>
                <xdr:colOff>447675</xdr:colOff>
                <xdr:row>6</xdr:row>
                <xdr:rowOff>76200</xdr:rowOff>
              </from>
              <to>
                <xdr:col>11</xdr:col>
                <xdr:colOff>133350</xdr:colOff>
                <xdr:row>9</xdr:row>
                <xdr:rowOff>133350</xdr:rowOff>
              </to>
            </anchor>
          </controlPr>
        </control>
      </mc:Choice>
      <mc:Fallback>
        <control shapeId="5010697" r:id="rId4" name="CommandButton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2:N148"/>
  <sheetViews>
    <sheetView workbookViewId="0"/>
  </sheetViews>
  <sheetFormatPr defaultColWidth="9.140625" defaultRowHeight="12.75"/>
  <cols>
    <col min="1" max="1" width="9.140625" style="100"/>
    <col min="2" max="2" width="27.85546875" style="100" customWidth="1"/>
    <col min="3" max="3" width="9.140625" style="100"/>
    <col min="4" max="4" width="13.42578125" style="100" customWidth="1"/>
    <col min="5" max="5" width="11.85546875" style="100" customWidth="1"/>
    <col min="6" max="9" width="9.140625" style="100"/>
    <col min="10" max="10" width="16.85546875" style="100" customWidth="1"/>
    <col min="11" max="11" width="16.140625" style="100" customWidth="1"/>
    <col min="12" max="12" width="10.5703125" style="100" customWidth="1"/>
    <col min="13" max="16384" width="9.140625" style="100"/>
  </cols>
  <sheetData>
    <row r="2" spans="1:14">
      <c r="C2" s="122">
        <f>C6*C4</f>
        <v>16.02</v>
      </c>
      <c r="D2" s="122">
        <f>D4*D6</f>
        <v>1.0467500000000001</v>
      </c>
      <c r="E2" s="122">
        <f>E4*E6</f>
        <v>186.08</v>
      </c>
      <c r="F2" s="122">
        <f>F4*F6</f>
        <v>2.5122</v>
      </c>
      <c r="G2" s="122">
        <f>(G6-32)/1.8</f>
        <v>100</v>
      </c>
      <c r="H2" s="123">
        <f>(H6-32)/1.8</f>
        <v>732.22222222222217</v>
      </c>
      <c r="I2" s="122">
        <f>I4*I6</f>
        <v>628.02</v>
      </c>
      <c r="J2" s="122">
        <f>J4*J6</f>
        <v>418.68</v>
      </c>
      <c r="K2" s="122">
        <f>K4*K6</f>
        <v>1116.48</v>
      </c>
      <c r="L2" s="122">
        <f>L4*L6</f>
        <v>1118.806</v>
      </c>
      <c r="N2" s="124">
        <f>N4*N6</f>
        <v>0.99978423999999999</v>
      </c>
    </row>
    <row r="3" spans="1:14" ht="78">
      <c r="B3" s="125" t="s">
        <v>825</v>
      </c>
      <c r="C3" s="126" t="s">
        <v>826</v>
      </c>
      <c r="D3" s="127" t="s">
        <v>1074</v>
      </c>
      <c r="E3" s="126" t="s">
        <v>828</v>
      </c>
      <c r="F3" s="126" t="s">
        <v>1075</v>
      </c>
      <c r="G3" s="126" t="s">
        <v>830</v>
      </c>
      <c r="H3" s="126" t="s">
        <v>831</v>
      </c>
      <c r="I3" s="126" t="s">
        <v>832</v>
      </c>
      <c r="J3" s="126" t="s">
        <v>833</v>
      </c>
      <c r="K3" s="126" t="s">
        <v>834</v>
      </c>
      <c r="L3" s="126" t="s">
        <v>834</v>
      </c>
      <c r="N3" s="128" t="s">
        <v>1076</v>
      </c>
    </row>
    <row r="4" spans="1:14" ht="22.5">
      <c r="B4" s="129" t="s">
        <v>836</v>
      </c>
      <c r="C4" s="129">
        <f>16.02</f>
        <v>16.02</v>
      </c>
      <c r="D4" s="130">
        <v>4.1870000000000003</v>
      </c>
      <c r="E4" s="129">
        <v>2.3260000000000001</v>
      </c>
      <c r="F4" s="130">
        <f>D4</f>
        <v>4.1870000000000003</v>
      </c>
      <c r="G4" s="131" t="s">
        <v>837</v>
      </c>
      <c r="H4" s="131" t="s">
        <v>837</v>
      </c>
      <c r="I4" s="129">
        <v>2.3260000000000001</v>
      </c>
      <c r="J4" s="129">
        <f>I4</f>
        <v>2.3260000000000001</v>
      </c>
      <c r="K4" s="129">
        <f>J4</f>
        <v>2.3260000000000001</v>
      </c>
      <c r="L4" s="129">
        <f>K4</f>
        <v>2.3260000000000001</v>
      </c>
      <c r="N4" s="132">
        <v>0.23884</v>
      </c>
    </row>
    <row r="5" spans="1:14" ht="63.75">
      <c r="B5" s="133" t="s">
        <v>1077</v>
      </c>
      <c r="C5" s="134" t="s">
        <v>1078</v>
      </c>
      <c r="D5" s="135" t="s">
        <v>1079</v>
      </c>
      <c r="E5" s="134" t="s">
        <v>1080</v>
      </c>
      <c r="F5" s="134" t="s">
        <v>1081</v>
      </c>
      <c r="G5" s="134" t="s">
        <v>1082</v>
      </c>
      <c r="H5" s="134" t="s">
        <v>1083</v>
      </c>
      <c r="I5" s="134" t="s">
        <v>1084</v>
      </c>
      <c r="J5" s="134" t="s">
        <v>1085</v>
      </c>
      <c r="K5" s="134" t="s">
        <v>1086</v>
      </c>
      <c r="L5" s="134" t="s">
        <v>1086</v>
      </c>
      <c r="N5" s="128" t="s">
        <v>796</v>
      </c>
    </row>
    <row r="6" spans="1:14">
      <c r="C6" s="122">
        <v>1</v>
      </c>
      <c r="D6" s="122">
        <v>0.25</v>
      </c>
      <c r="E6" s="122">
        <v>80</v>
      </c>
      <c r="F6" s="122">
        <v>0.6</v>
      </c>
      <c r="G6" s="122">
        <v>212</v>
      </c>
      <c r="H6" s="122">
        <v>1350</v>
      </c>
      <c r="I6" s="122">
        <v>270</v>
      </c>
      <c r="J6" s="122">
        <v>180</v>
      </c>
      <c r="K6" s="122">
        <v>480</v>
      </c>
      <c r="L6" s="122">
        <v>481</v>
      </c>
      <c r="N6" s="110">
        <v>4.1859999999999999</v>
      </c>
    </row>
    <row r="14" spans="1:14" ht="15.75">
      <c r="A14" s="101"/>
      <c r="B14" s="101"/>
      <c r="C14" s="101"/>
      <c r="D14" s="101"/>
      <c r="E14" s="101"/>
      <c r="F14" s="101"/>
      <c r="G14" s="101"/>
    </row>
    <row r="15" spans="1:14">
      <c r="B15" s="102"/>
      <c r="C15" s="102"/>
      <c r="D15" s="103"/>
      <c r="E15" s="103"/>
      <c r="F15" s="103"/>
      <c r="G15" s="104"/>
    </row>
    <row r="16" spans="1:14">
      <c r="B16" s="102"/>
      <c r="C16" s="102"/>
      <c r="D16" s="103"/>
      <c r="E16" s="103"/>
      <c r="F16" s="103"/>
      <c r="G16" s="104"/>
    </row>
    <row r="17" spans="2:7">
      <c r="B17" s="102"/>
      <c r="C17" s="102"/>
      <c r="D17" s="103"/>
      <c r="E17" s="103"/>
      <c r="F17" s="103"/>
      <c r="G17" s="104"/>
    </row>
    <row r="18" spans="2:7">
      <c r="B18" s="102"/>
      <c r="C18" s="102"/>
      <c r="D18" s="103"/>
      <c r="E18" s="103"/>
      <c r="F18" s="103"/>
      <c r="G18" s="104"/>
    </row>
    <row r="19" spans="2:7">
      <c r="B19" s="102"/>
      <c r="C19" s="102"/>
      <c r="D19" s="103"/>
      <c r="E19" s="103"/>
      <c r="F19" s="103"/>
      <c r="G19" s="104"/>
    </row>
    <row r="20" spans="2:7">
      <c r="B20" s="102"/>
      <c r="C20" s="102"/>
      <c r="D20" s="103"/>
      <c r="E20" s="103"/>
      <c r="F20" s="103"/>
      <c r="G20" s="104"/>
    </row>
    <row r="21" spans="2:7">
      <c r="B21" s="102"/>
      <c r="C21" s="102"/>
      <c r="D21" s="103"/>
      <c r="E21" s="103"/>
      <c r="F21" s="103"/>
      <c r="G21" s="104"/>
    </row>
    <row r="22" spans="2:7">
      <c r="B22" s="102"/>
      <c r="C22" s="102"/>
      <c r="D22" s="103"/>
      <c r="E22" s="103"/>
      <c r="F22" s="103"/>
      <c r="G22" s="104"/>
    </row>
    <row r="23" spans="2:7">
      <c r="B23" s="102"/>
      <c r="C23" s="102"/>
      <c r="D23" s="103"/>
      <c r="E23" s="103"/>
      <c r="F23" s="103"/>
      <c r="G23" s="104"/>
    </row>
    <row r="24" spans="2:7">
      <c r="B24" s="102"/>
      <c r="C24" s="102"/>
      <c r="D24" s="103"/>
      <c r="E24" s="103"/>
      <c r="F24" s="103"/>
      <c r="G24" s="104"/>
    </row>
    <row r="25" spans="2:7">
      <c r="C25" s="102"/>
      <c r="D25" s="103"/>
      <c r="E25" s="103"/>
      <c r="F25" s="103"/>
      <c r="G25" s="104"/>
    </row>
    <row r="26" spans="2:7">
      <c r="C26" s="102"/>
      <c r="D26" s="103"/>
      <c r="E26" s="103"/>
      <c r="F26" s="103"/>
      <c r="G26" s="104"/>
    </row>
    <row r="27" spans="2:7">
      <c r="C27" s="102"/>
      <c r="D27" s="103"/>
      <c r="E27" s="103"/>
      <c r="F27" s="103"/>
      <c r="G27" s="104"/>
    </row>
    <row r="28" spans="2:7">
      <c r="B28" s="102"/>
      <c r="C28" s="102"/>
      <c r="D28" s="103"/>
      <c r="E28" s="103"/>
      <c r="F28" s="103"/>
      <c r="G28" s="104"/>
    </row>
    <row r="29" spans="2:7">
      <c r="B29" s="102"/>
      <c r="C29" s="102"/>
      <c r="D29" s="103"/>
      <c r="E29" s="103"/>
      <c r="F29" s="103"/>
      <c r="G29" s="104"/>
    </row>
    <row r="30" spans="2:7">
      <c r="B30" s="102"/>
      <c r="C30" s="102"/>
      <c r="D30" s="103"/>
      <c r="E30" s="103"/>
      <c r="F30" s="103"/>
      <c r="G30" s="104"/>
    </row>
    <row r="31" spans="2:7">
      <c r="B31" s="102"/>
      <c r="C31" s="102"/>
      <c r="D31" s="103"/>
      <c r="E31" s="103"/>
      <c r="F31" s="103"/>
      <c r="G31" s="104"/>
    </row>
    <row r="32" spans="2:7">
      <c r="B32" s="102"/>
      <c r="C32" s="102"/>
      <c r="D32" s="103"/>
      <c r="E32" s="103"/>
      <c r="F32" s="103"/>
      <c r="G32" s="104"/>
    </row>
    <row r="33" spans="2:8">
      <c r="B33" s="102"/>
      <c r="C33" s="102"/>
      <c r="D33" s="103"/>
      <c r="E33" s="103"/>
      <c r="F33" s="103"/>
      <c r="G33" s="104"/>
    </row>
    <row r="34" spans="2:8">
      <c r="B34" s="102"/>
      <c r="C34" s="102"/>
      <c r="D34" s="103"/>
      <c r="E34" s="103"/>
      <c r="F34" s="103"/>
      <c r="G34" s="104"/>
    </row>
    <row r="35" spans="2:8">
      <c r="B35" s="102"/>
      <c r="C35" s="102"/>
      <c r="D35" s="103"/>
      <c r="E35" s="103"/>
      <c r="F35" s="103"/>
      <c r="G35" s="104"/>
    </row>
    <row r="36" spans="2:8">
      <c r="C36" s="102"/>
      <c r="D36" s="103"/>
      <c r="E36" s="103"/>
      <c r="F36" s="103"/>
      <c r="G36" s="104"/>
    </row>
    <row r="37" spans="2:8">
      <c r="C37" s="102"/>
      <c r="D37" s="103"/>
      <c r="E37" s="103"/>
      <c r="F37" s="103"/>
      <c r="G37" s="104"/>
    </row>
    <row r="38" spans="2:8">
      <c r="B38" s="102"/>
      <c r="C38" s="102"/>
      <c r="D38" s="103"/>
      <c r="E38" s="103"/>
      <c r="F38" s="103"/>
      <c r="G38" s="104"/>
    </row>
    <row r="39" spans="2:8">
      <c r="B39" s="102"/>
      <c r="C39" s="102"/>
      <c r="D39" s="103"/>
      <c r="E39" s="103"/>
      <c r="F39" s="103"/>
      <c r="G39" s="104"/>
    </row>
    <row r="40" spans="2:8">
      <c r="B40" s="102"/>
      <c r="C40" s="102"/>
      <c r="D40" s="103"/>
      <c r="E40" s="103"/>
      <c r="F40" s="103"/>
      <c r="G40" s="104"/>
      <c r="H40" s="103"/>
    </row>
    <row r="41" spans="2:8">
      <c r="B41" s="102"/>
      <c r="C41" s="102"/>
      <c r="D41" s="103"/>
      <c r="E41" s="103"/>
      <c r="F41" s="103"/>
      <c r="G41" s="104"/>
    </row>
    <row r="42" spans="2:8">
      <c r="B42" s="102"/>
      <c r="C42" s="102"/>
      <c r="D42" s="103"/>
      <c r="E42" s="103"/>
      <c r="F42" s="106"/>
      <c r="G42" s="106"/>
      <c r="H42" s="107" t="s">
        <v>960</v>
      </c>
    </row>
    <row r="43" spans="2:8">
      <c r="B43" s="102"/>
      <c r="C43" s="102"/>
      <c r="D43" s="103"/>
      <c r="E43" s="103"/>
      <c r="F43" s="103"/>
      <c r="G43" s="104"/>
    </row>
    <row r="44" spans="2:8">
      <c r="B44" s="102"/>
      <c r="C44" s="102"/>
      <c r="D44" s="103"/>
      <c r="E44" s="103"/>
      <c r="F44" s="103"/>
      <c r="G44" s="104"/>
    </row>
    <row r="45" spans="2:8">
      <c r="B45" s="102"/>
      <c r="C45" s="102"/>
      <c r="D45" s="103"/>
      <c r="E45" s="103"/>
      <c r="F45" s="103"/>
      <c r="G45" s="104"/>
    </row>
    <row r="46" spans="2:8">
      <c r="C46" s="102"/>
      <c r="D46" s="103"/>
      <c r="E46" s="103"/>
      <c r="F46" s="103"/>
      <c r="G46" s="104"/>
    </row>
    <row r="47" spans="2:8">
      <c r="C47" s="102"/>
      <c r="D47" s="103"/>
      <c r="E47" s="103"/>
      <c r="F47" s="103"/>
      <c r="G47" s="104"/>
    </row>
    <row r="48" spans="2:8">
      <c r="C48" s="102"/>
      <c r="D48" s="103"/>
      <c r="E48" s="103"/>
      <c r="F48" s="103"/>
      <c r="G48" s="104"/>
    </row>
    <row r="49" spans="4:7">
      <c r="D49" s="106"/>
      <c r="E49" s="106"/>
      <c r="F49" s="111"/>
      <c r="G49" s="111"/>
    </row>
    <row r="50" spans="4:7">
      <c r="D50" s="103"/>
      <c r="E50" s="103"/>
      <c r="F50" s="108"/>
      <c r="G50" s="109"/>
    </row>
    <row r="51" spans="4:7">
      <c r="D51" s="103"/>
      <c r="E51" s="103"/>
      <c r="F51" s="108"/>
      <c r="G51" s="109"/>
    </row>
    <row r="52" spans="4:7">
      <c r="D52" s="103"/>
      <c r="E52" s="103"/>
      <c r="F52" s="108"/>
      <c r="G52" s="109"/>
    </row>
    <row r="53" spans="4:7">
      <c r="D53" s="103"/>
      <c r="E53" s="103"/>
      <c r="F53" s="103"/>
      <c r="G53" s="104"/>
    </row>
    <row r="54" spans="4:7">
      <c r="D54" s="103"/>
      <c r="E54" s="103"/>
      <c r="F54" s="103"/>
      <c r="G54" s="104"/>
    </row>
    <row r="55" spans="4:7">
      <c r="D55" s="103"/>
      <c r="E55" s="103"/>
      <c r="F55" s="103"/>
      <c r="G55" s="104"/>
    </row>
    <row r="56" spans="4:7">
      <c r="D56" s="103"/>
      <c r="E56" s="103"/>
      <c r="F56" s="103"/>
      <c r="G56" s="104"/>
    </row>
    <row r="57" spans="4:7">
      <c r="D57" s="103"/>
      <c r="E57" s="103"/>
      <c r="F57" s="106"/>
      <c r="G57" s="106"/>
    </row>
    <row r="58" spans="4:7">
      <c r="D58" s="103"/>
      <c r="E58" s="103"/>
      <c r="F58" s="103"/>
      <c r="G58" s="104"/>
    </row>
    <row r="59" spans="4:7">
      <c r="D59" s="103"/>
      <c r="E59" s="103"/>
      <c r="F59" s="103"/>
      <c r="G59" s="104"/>
    </row>
    <row r="60" spans="4:7">
      <c r="D60" s="103"/>
      <c r="E60" s="103"/>
      <c r="F60" s="103"/>
      <c r="G60" s="104"/>
    </row>
    <row r="61" spans="4:7">
      <c r="D61" s="103"/>
      <c r="E61" s="103"/>
      <c r="F61" s="103"/>
      <c r="G61" s="104"/>
    </row>
    <row r="62" spans="4:7">
      <c r="D62" s="103"/>
      <c r="E62" s="103"/>
      <c r="F62" s="103"/>
      <c r="G62" s="104"/>
    </row>
    <row r="63" spans="4:7">
      <c r="D63" s="103"/>
      <c r="E63" s="103"/>
      <c r="F63" s="103"/>
      <c r="G63" s="104"/>
    </row>
    <row r="64" spans="4:7">
      <c r="D64" s="103"/>
      <c r="E64" s="103"/>
      <c r="F64" s="103"/>
      <c r="G64" s="104"/>
    </row>
    <row r="67" spans="1:7" ht="14.25">
      <c r="A67" s="100">
        <v>53</v>
      </c>
      <c r="B67" s="100" t="s">
        <v>966</v>
      </c>
      <c r="D67" s="103" t="s">
        <v>967</v>
      </c>
      <c r="E67" s="103" t="s">
        <v>968</v>
      </c>
      <c r="F67" s="103" t="s">
        <v>969</v>
      </c>
      <c r="G67" s="104" t="s">
        <v>970</v>
      </c>
    </row>
    <row r="68" spans="1:7">
      <c r="A68" s="100">
        <v>54</v>
      </c>
      <c r="B68" s="100" t="s">
        <v>966</v>
      </c>
      <c r="D68" s="103" t="s">
        <v>971</v>
      </c>
      <c r="E68" s="103" t="s">
        <v>946</v>
      </c>
      <c r="F68" s="103" t="s">
        <v>972</v>
      </c>
      <c r="G68" s="104" t="s">
        <v>939</v>
      </c>
    </row>
    <row r="69" spans="1:7">
      <c r="A69" s="100">
        <v>55</v>
      </c>
      <c r="B69" s="100" t="s">
        <v>966</v>
      </c>
      <c r="D69" s="103" t="s">
        <v>973</v>
      </c>
      <c r="E69" s="103" t="s">
        <v>946</v>
      </c>
      <c r="F69" s="103" t="s">
        <v>940</v>
      </c>
      <c r="G69" s="104" t="s">
        <v>939</v>
      </c>
    </row>
    <row r="70" spans="1:7">
      <c r="A70" s="100">
        <v>56</v>
      </c>
      <c r="B70" s="100" t="s">
        <v>966</v>
      </c>
      <c r="D70" s="103" t="s">
        <v>957</v>
      </c>
      <c r="E70" s="103" t="s">
        <v>1173</v>
      </c>
      <c r="F70" s="103" t="s">
        <v>942</v>
      </c>
      <c r="G70" s="104" t="s">
        <v>1118</v>
      </c>
    </row>
    <row r="71" spans="1:7">
      <c r="A71" s="100">
        <v>57</v>
      </c>
      <c r="B71" s="100" t="s">
        <v>966</v>
      </c>
      <c r="D71" s="103" t="s">
        <v>958</v>
      </c>
      <c r="E71" s="103" t="s">
        <v>1173</v>
      </c>
      <c r="F71" s="103" t="s">
        <v>943</v>
      </c>
      <c r="G71" s="104" t="s">
        <v>1118</v>
      </c>
    </row>
    <row r="72" spans="1:7">
      <c r="A72" s="100">
        <v>58</v>
      </c>
      <c r="B72" s="100" t="s">
        <v>966</v>
      </c>
      <c r="D72" s="103" t="s">
        <v>959</v>
      </c>
      <c r="E72" s="103" t="s">
        <v>1173</v>
      </c>
      <c r="F72" s="103" t="s">
        <v>944</v>
      </c>
      <c r="G72" s="104" t="s">
        <v>1118</v>
      </c>
    </row>
    <row r="73" spans="1:7">
      <c r="A73" s="100">
        <v>59</v>
      </c>
      <c r="B73" s="100" t="s">
        <v>974</v>
      </c>
      <c r="D73" s="103" t="s">
        <v>975</v>
      </c>
      <c r="E73" s="103" t="s">
        <v>976</v>
      </c>
      <c r="F73" s="106" t="s">
        <v>977</v>
      </c>
      <c r="G73" s="106" t="s">
        <v>1291</v>
      </c>
    </row>
    <row r="74" spans="1:7">
      <c r="A74" s="100">
        <v>60</v>
      </c>
      <c r="B74" s="100" t="s">
        <v>974</v>
      </c>
      <c r="D74" s="103" t="s">
        <v>978</v>
      </c>
      <c r="E74" s="103" t="s">
        <v>976</v>
      </c>
      <c r="F74" s="106" t="s">
        <v>979</v>
      </c>
      <c r="G74" s="106" t="s">
        <v>1291</v>
      </c>
    </row>
    <row r="75" spans="1:7" ht="14.25">
      <c r="A75" s="100">
        <v>61</v>
      </c>
      <c r="B75" s="100" t="s">
        <v>974</v>
      </c>
      <c r="D75" s="103" t="s">
        <v>980</v>
      </c>
      <c r="E75" s="103" t="s">
        <v>968</v>
      </c>
      <c r="F75" s="103" t="s">
        <v>981</v>
      </c>
      <c r="G75" s="104" t="s">
        <v>970</v>
      </c>
    </row>
    <row r="76" spans="1:7">
      <c r="A76" s="100">
        <v>62</v>
      </c>
      <c r="B76" s="100" t="s">
        <v>974</v>
      </c>
      <c r="D76" s="103" t="s">
        <v>982</v>
      </c>
      <c r="E76" s="103" t="s">
        <v>946</v>
      </c>
      <c r="F76" s="103" t="s">
        <v>983</v>
      </c>
      <c r="G76" s="104" t="s">
        <v>939</v>
      </c>
    </row>
    <row r="77" spans="1:7">
      <c r="A77" s="100">
        <v>63</v>
      </c>
      <c r="B77" s="100" t="s">
        <v>974</v>
      </c>
      <c r="D77" s="103" t="s">
        <v>984</v>
      </c>
      <c r="E77" s="103" t="s">
        <v>946</v>
      </c>
      <c r="F77" s="103" t="s">
        <v>985</v>
      </c>
      <c r="G77" s="104" t="s">
        <v>939</v>
      </c>
    </row>
    <row r="78" spans="1:7">
      <c r="A78" s="100">
        <v>64</v>
      </c>
      <c r="B78" s="100" t="s">
        <v>974</v>
      </c>
      <c r="D78" s="103" t="s">
        <v>957</v>
      </c>
      <c r="E78" s="103" t="s">
        <v>1173</v>
      </c>
      <c r="F78" s="103" t="s">
        <v>942</v>
      </c>
      <c r="G78" s="104" t="s">
        <v>1118</v>
      </c>
    </row>
    <row r="79" spans="1:7">
      <c r="A79" s="100">
        <v>65</v>
      </c>
      <c r="B79" s="100" t="s">
        <v>974</v>
      </c>
      <c r="D79" s="103" t="s">
        <v>958</v>
      </c>
      <c r="E79" s="103" t="s">
        <v>1173</v>
      </c>
      <c r="F79" s="103" t="s">
        <v>943</v>
      </c>
      <c r="G79" s="104" t="s">
        <v>1118</v>
      </c>
    </row>
    <row r="80" spans="1:7">
      <c r="A80" s="100">
        <v>66</v>
      </c>
      <c r="B80" s="100" t="s">
        <v>974</v>
      </c>
      <c r="D80" s="103" t="s">
        <v>959</v>
      </c>
      <c r="E80" s="103" t="s">
        <v>1173</v>
      </c>
      <c r="F80" s="103" t="s">
        <v>944</v>
      </c>
      <c r="G80" s="104" t="s">
        <v>1118</v>
      </c>
    </row>
    <row r="81" spans="1:7">
      <c r="G81" s="104"/>
    </row>
    <row r="82" spans="1:7">
      <c r="G82" s="104"/>
    </row>
    <row r="83" spans="1:7">
      <c r="G83" s="104"/>
    </row>
    <row r="84" spans="1:7">
      <c r="G84" s="104"/>
    </row>
    <row r="85" spans="1:7">
      <c r="G85" s="104"/>
    </row>
    <row r="86" spans="1:7" ht="14.25">
      <c r="A86" s="100">
        <v>67</v>
      </c>
      <c r="B86" s="100" t="s">
        <v>986</v>
      </c>
      <c r="D86" s="103" t="s">
        <v>987</v>
      </c>
      <c r="E86" s="103" t="s">
        <v>968</v>
      </c>
      <c r="F86" s="103" t="s">
        <v>988</v>
      </c>
      <c r="G86" s="104" t="s">
        <v>970</v>
      </c>
    </row>
    <row r="87" spans="1:7">
      <c r="A87" s="100">
        <v>68</v>
      </c>
      <c r="B87" s="100" t="s">
        <v>986</v>
      </c>
      <c r="D87" s="103" t="s">
        <v>989</v>
      </c>
      <c r="E87" s="103" t="s">
        <v>946</v>
      </c>
      <c r="F87" s="103" t="s">
        <v>938</v>
      </c>
      <c r="G87" s="104" t="s">
        <v>939</v>
      </c>
    </row>
    <row r="88" spans="1:7">
      <c r="A88" s="100">
        <v>69</v>
      </c>
      <c r="B88" s="100" t="s">
        <v>986</v>
      </c>
      <c r="D88" s="103" t="s">
        <v>973</v>
      </c>
      <c r="E88" s="103" t="s">
        <v>946</v>
      </c>
      <c r="F88" s="103" t="s">
        <v>940</v>
      </c>
      <c r="G88" s="104" t="s">
        <v>939</v>
      </c>
    </row>
    <row r="89" spans="1:7">
      <c r="A89" s="100">
        <v>70</v>
      </c>
      <c r="B89" s="100" t="s">
        <v>986</v>
      </c>
      <c r="D89" s="103" t="s">
        <v>990</v>
      </c>
      <c r="E89" s="103" t="s">
        <v>1173</v>
      </c>
      <c r="F89" s="103" t="s">
        <v>941</v>
      </c>
      <c r="G89" s="104" t="s">
        <v>1118</v>
      </c>
    </row>
    <row r="90" spans="1:7">
      <c r="A90" s="100">
        <v>71</v>
      </c>
      <c r="B90" s="100" t="s">
        <v>986</v>
      </c>
      <c r="D90" s="103" t="s">
        <v>957</v>
      </c>
      <c r="E90" s="103" t="s">
        <v>1173</v>
      </c>
      <c r="F90" s="103" t="s">
        <v>942</v>
      </c>
      <c r="G90" s="104" t="s">
        <v>1118</v>
      </c>
    </row>
    <row r="91" spans="1:7">
      <c r="A91" s="100">
        <v>72</v>
      </c>
      <c r="B91" s="100" t="s">
        <v>986</v>
      </c>
      <c r="D91" s="103" t="s">
        <v>958</v>
      </c>
      <c r="E91" s="103" t="s">
        <v>1173</v>
      </c>
      <c r="F91" s="103" t="s">
        <v>943</v>
      </c>
      <c r="G91" s="104" t="s">
        <v>1118</v>
      </c>
    </row>
    <row r="92" spans="1:7">
      <c r="A92" s="100">
        <v>73</v>
      </c>
      <c r="B92" s="100" t="s">
        <v>986</v>
      </c>
      <c r="D92" s="103" t="s">
        <v>959</v>
      </c>
      <c r="E92" s="103" t="s">
        <v>1173</v>
      </c>
      <c r="F92" s="103" t="s">
        <v>944</v>
      </c>
      <c r="G92" s="104" t="s">
        <v>1118</v>
      </c>
    </row>
    <row r="93" spans="1:7">
      <c r="G93" s="104"/>
    </row>
    <row r="94" spans="1:7">
      <c r="G94" s="104"/>
    </row>
    <row r="95" spans="1:7">
      <c r="G95" s="104"/>
    </row>
    <row r="96" spans="1:7">
      <c r="G96" s="104"/>
    </row>
    <row r="97" spans="1:7">
      <c r="G97" s="104"/>
    </row>
    <row r="98" spans="1:7">
      <c r="G98" s="104"/>
    </row>
    <row r="99" spans="1:7">
      <c r="A99" s="100">
        <v>74</v>
      </c>
      <c r="B99" s="112" t="s">
        <v>991</v>
      </c>
      <c r="C99" s="100" t="s">
        <v>992</v>
      </c>
      <c r="D99" s="103" t="s">
        <v>993</v>
      </c>
      <c r="E99" s="103" t="s">
        <v>946</v>
      </c>
      <c r="F99" s="103" t="s">
        <v>994</v>
      </c>
      <c r="G99" s="104" t="s">
        <v>939</v>
      </c>
    </row>
    <row r="100" spans="1:7">
      <c r="A100" s="100">
        <v>75</v>
      </c>
      <c r="B100" s="112" t="s">
        <v>991</v>
      </c>
      <c r="C100" s="100" t="s">
        <v>992</v>
      </c>
      <c r="D100" s="103" t="s">
        <v>995</v>
      </c>
      <c r="E100" s="103" t="s">
        <v>1116</v>
      </c>
      <c r="F100" s="103" t="s">
        <v>996</v>
      </c>
      <c r="G100" s="104" t="s">
        <v>1116</v>
      </c>
    </row>
    <row r="101" spans="1:7">
      <c r="A101" s="100">
        <v>76</v>
      </c>
      <c r="B101" s="112" t="s">
        <v>991</v>
      </c>
      <c r="C101" s="100" t="s">
        <v>992</v>
      </c>
      <c r="D101" s="103" t="s">
        <v>997</v>
      </c>
      <c r="E101" s="103" t="s">
        <v>1116</v>
      </c>
      <c r="F101" s="103" t="s">
        <v>997</v>
      </c>
      <c r="G101" s="104" t="s">
        <v>1116</v>
      </c>
    </row>
    <row r="102" spans="1:7">
      <c r="A102" s="100">
        <v>77</v>
      </c>
      <c r="B102" s="112" t="s">
        <v>991</v>
      </c>
      <c r="C102" s="100" t="s">
        <v>992</v>
      </c>
      <c r="D102" s="103" t="s">
        <v>998</v>
      </c>
      <c r="E102" s="103" t="s">
        <v>946</v>
      </c>
      <c r="F102" s="103" t="s">
        <v>999</v>
      </c>
      <c r="G102" s="104" t="s">
        <v>939</v>
      </c>
    </row>
    <row r="103" spans="1:7">
      <c r="A103" s="100">
        <v>78</v>
      </c>
      <c r="B103" s="112" t="s">
        <v>991</v>
      </c>
      <c r="C103" s="100" t="s">
        <v>992</v>
      </c>
      <c r="D103" s="103" t="s">
        <v>1000</v>
      </c>
      <c r="E103" s="103" t="s">
        <v>1116</v>
      </c>
      <c r="F103" s="103" t="s">
        <v>1000</v>
      </c>
      <c r="G103" s="104" t="s">
        <v>1116</v>
      </c>
    </row>
    <row r="104" spans="1:7">
      <c r="A104" s="100">
        <v>79</v>
      </c>
      <c r="B104" s="112" t="s">
        <v>991</v>
      </c>
      <c r="C104" s="100" t="s">
        <v>992</v>
      </c>
      <c r="D104" s="103" t="s">
        <v>1001</v>
      </c>
      <c r="E104" s="103" t="s">
        <v>1116</v>
      </c>
      <c r="F104" s="103" t="s">
        <v>1001</v>
      </c>
      <c r="G104" s="104" t="s">
        <v>1116</v>
      </c>
    </row>
    <row r="105" spans="1:7">
      <c r="A105" s="100">
        <v>80</v>
      </c>
      <c r="B105" s="112" t="s">
        <v>991</v>
      </c>
      <c r="C105" s="100" t="s">
        <v>992</v>
      </c>
      <c r="D105" s="103" t="s">
        <v>1002</v>
      </c>
      <c r="E105" s="103" t="s">
        <v>1173</v>
      </c>
      <c r="F105" s="103" t="s">
        <v>1003</v>
      </c>
      <c r="G105" s="104" t="s">
        <v>1118</v>
      </c>
    </row>
    <row r="106" spans="1:7">
      <c r="A106" s="100">
        <v>81</v>
      </c>
      <c r="B106" s="112" t="s">
        <v>991</v>
      </c>
      <c r="C106" s="100" t="s">
        <v>992</v>
      </c>
      <c r="D106" s="103" t="s">
        <v>1004</v>
      </c>
      <c r="E106" s="103" t="s">
        <v>797</v>
      </c>
      <c r="F106" s="103" t="s">
        <v>1005</v>
      </c>
      <c r="G106" s="104" t="s">
        <v>796</v>
      </c>
    </row>
    <row r="107" spans="1:7">
      <c r="A107" s="100">
        <v>82</v>
      </c>
      <c r="B107" s="112" t="s">
        <v>991</v>
      </c>
      <c r="C107" s="100" t="s">
        <v>992</v>
      </c>
      <c r="D107" s="103" t="s">
        <v>958</v>
      </c>
      <c r="E107" s="103" t="s">
        <v>1173</v>
      </c>
      <c r="F107" s="103" t="s">
        <v>943</v>
      </c>
      <c r="G107" s="104" t="s">
        <v>1118</v>
      </c>
    </row>
    <row r="108" spans="1:7">
      <c r="A108" s="100">
        <v>83</v>
      </c>
      <c r="B108" s="112" t="s">
        <v>991</v>
      </c>
      <c r="C108" s="100" t="s">
        <v>992</v>
      </c>
      <c r="D108" s="103" t="s">
        <v>959</v>
      </c>
      <c r="E108" s="103" t="s">
        <v>1173</v>
      </c>
      <c r="F108" s="103" t="s">
        <v>944</v>
      </c>
      <c r="G108" s="104" t="s">
        <v>1118</v>
      </c>
    </row>
    <row r="109" spans="1:7">
      <c r="G109" s="104"/>
    </row>
    <row r="110" spans="1:7">
      <c r="G110" s="104"/>
    </row>
    <row r="111" spans="1:7">
      <c r="G111" s="104"/>
    </row>
    <row r="112" spans="1:7">
      <c r="G112" s="104"/>
    </row>
    <row r="113" spans="1:8">
      <c r="G113" s="104"/>
    </row>
    <row r="114" spans="1:8">
      <c r="A114" s="100">
        <v>84</v>
      </c>
      <c r="B114" s="112" t="s">
        <v>991</v>
      </c>
      <c r="C114" s="100" t="s">
        <v>1006</v>
      </c>
      <c r="D114" s="103" t="s">
        <v>1007</v>
      </c>
      <c r="E114" s="103" t="s">
        <v>946</v>
      </c>
      <c r="F114" s="103" t="s">
        <v>1008</v>
      </c>
      <c r="G114" s="104" t="s">
        <v>939</v>
      </c>
    </row>
    <row r="115" spans="1:8">
      <c r="A115" s="100">
        <v>85</v>
      </c>
      <c r="B115" s="112" t="s">
        <v>991</v>
      </c>
      <c r="C115" s="100" t="s">
        <v>1006</v>
      </c>
      <c r="D115" s="103" t="s">
        <v>1010</v>
      </c>
      <c r="E115" s="103" t="s">
        <v>1116</v>
      </c>
      <c r="F115" s="103" t="s">
        <v>1010</v>
      </c>
      <c r="G115" s="104" t="s">
        <v>1116</v>
      </c>
    </row>
    <row r="116" spans="1:8">
      <c r="A116" s="100">
        <v>86</v>
      </c>
      <c r="B116" s="112" t="s">
        <v>991</v>
      </c>
      <c r="C116" s="100" t="s">
        <v>1006</v>
      </c>
      <c r="D116" s="103" t="s">
        <v>1002</v>
      </c>
      <c r="E116" s="103" t="s">
        <v>1173</v>
      </c>
      <c r="F116" s="103" t="s">
        <v>1003</v>
      </c>
      <c r="G116" s="104" t="s">
        <v>1118</v>
      </c>
    </row>
    <row r="117" spans="1:8">
      <c r="A117" s="100">
        <v>87</v>
      </c>
      <c r="B117" s="112" t="s">
        <v>991</v>
      </c>
      <c r="C117" s="100" t="s">
        <v>1006</v>
      </c>
      <c r="D117" s="103" t="s">
        <v>1011</v>
      </c>
      <c r="E117" s="105" t="s">
        <v>1012</v>
      </c>
      <c r="F117" s="113" t="s">
        <v>1011</v>
      </c>
      <c r="G117" s="113" t="s">
        <v>1012</v>
      </c>
      <c r="H117" s="105" t="s">
        <v>1013</v>
      </c>
    </row>
    <row r="118" spans="1:8">
      <c r="A118" s="100">
        <v>88</v>
      </c>
      <c r="B118" s="112" t="s">
        <v>991</v>
      </c>
      <c r="C118" s="100" t="s">
        <v>1006</v>
      </c>
      <c r="D118" s="103" t="s">
        <v>1004</v>
      </c>
      <c r="E118" s="103" t="s">
        <v>797</v>
      </c>
      <c r="F118" s="103" t="s">
        <v>1005</v>
      </c>
      <c r="G118" s="103" t="s">
        <v>796</v>
      </c>
    </row>
    <row r="119" spans="1:8">
      <c r="A119" s="100">
        <v>89</v>
      </c>
      <c r="B119" s="112" t="s">
        <v>991</v>
      </c>
      <c r="C119" s="100" t="s">
        <v>1006</v>
      </c>
      <c r="D119" s="103" t="s">
        <v>958</v>
      </c>
      <c r="E119" s="103" t="s">
        <v>1173</v>
      </c>
      <c r="F119" s="103" t="s">
        <v>943</v>
      </c>
      <c r="G119" s="103" t="s">
        <v>1118</v>
      </c>
    </row>
    <row r="120" spans="1:8">
      <c r="A120" s="100">
        <v>90</v>
      </c>
      <c r="B120" s="112" t="s">
        <v>991</v>
      </c>
      <c r="C120" s="100" t="s">
        <v>1006</v>
      </c>
      <c r="D120" s="103" t="s">
        <v>959</v>
      </c>
      <c r="E120" s="103" t="s">
        <v>1173</v>
      </c>
      <c r="F120" s="103" t="s">
        <v>944</v>
      </c>
      <c r="G120" s="103" t="s">
        <v>1118</v>
      </c>
    </row>
    <row r="121" spans="1:8">
      <c r="B121" s="112"/>
      <c r="D121" s="103"/>
      <c r="E121" s="103"/>
      <c r="F121" s="103"/>
      <c r="G121" s="103"/>
    </row>
    <row r="122" spans="1:8">
      <c r="B122" s="112"/>
      <c r="D122" s="103"/>
      <c r="E122" s="103"/>
      <c r="F122" s="103"/>
      <c r="G122" s="103"/>
    </row>
    <row r="123" spans="1:8">
      <c r="B123" s="112"/>
      <c r="D123" s="103"/>
      <c r="E123" s="103"/>
      <c r="F123" s="103"/>
      <c r="G123" s="103"/>
    </row>
    <row r="124" spans="1:8">
      <c r="B124" s="112"/>
      <c r="D124" s="103"/>
      <c r="E124" s="103"/>
      <c r="F124" s="103"/>
      <c r="G124" s="103"/>
    </row>
    <row r="125" spans="1:8">
      <c r="A125" s="100">
        <v>91</v>
      </c>
      <c r="B125" s="112" t="s">
        <v>991</v>
      </c>
      <c r="C125" s="100" t="s">
        <v>1014</v>
      </c>
      <c r="D125" s="103" t="s">
        <v>1015</v>
      </c>
      <c r="E125" s="103" t="s">
        <v>946</v>
      </c>
      <c r="F125" s="103" t="s">
        <v>1016</v>
      </c>
      <c r="G125" s="103" t="s">
        <v>939</v>
      </c>
    </row>
    <row r="126" spans="1:8">
      <c r="A126" s="100">
        <v>92</v>
      </c>
      <c r="B126" s="112" t="s">
        <v>991</v>
      </c>
      <c r="C126" s="100" t="s">
        <v>1014</v>
      </c>
      <c r="D126" s="103" t="s">
        <v>1017</v>
      </c>
      <c r="E126" s="103" t="s">
        <v>1116</v>
      </c>
      <c r="F126" s="103" t="s">
        <v>1017</v>
      </c>
      <c r="G126" s="103" t="s">
        <v>1116</v>
      </c>
    </row>
    <row r="127" spans="1:8">
      <c r="A127" s="100">
        <v>93</v>
      </c>
      <c r="B127" s="112" t="s">
        <v>991</v>
      </c>
      <c r="C127" s="100" t="s">
        <v>1014</v>
      </c>
      <c r="D127" s="103" t="s">
        <v>1002</v>
      </c>
      <c r="E127" s="103" t="s">
        <v>1173</v>
      </c>
      <c r="F127" s="103" t="s">
        <v>1003</v>
      </c>
      <c r="G127" s="103" t="s">
        <v>1118</v>
      </c>
    </row>
    <row r="128" spans="1:8">
      <c r="A128" s="100">
        <v>94</v>
      </c>
      <c r="B128" s="112" t="s">
        <v>991</v>
      </c>
      <c r="C128" s="100" t="s">
        <v>1014</v>
      </c>
      <c r="D128" s="103" t="s">
        <v>1004</v>
      </c>
      <c r="E128" s="103" t="s">
        <v>797</v>
      </c>
      <c r="F128" s="103" t="s">
        <v>1005</v>
      </c>
      <c r="G128" s="103" t="s">
        <v>796</v>
      </c>
    </row>
    <row r="129" spans="1:8">
      <c r="A129" s="100">
        <v>95</v>
      </c>
      <c r="B129" s="112" t="s">
        <v>991</v>
      </c>
      <c r="C129" s="100" t="s">
        <v>1014</v>
      </c>
      <c r="D129" s="103" t="s">
        <v>958</v>
      </c>
      <c r="E129" s="103" t="s">
        <v>1173</v>
      </c>
      <c r="F129" s="103" t="s">
        <v>943</v>
      </c>
      <c r="G129" s="103" t="s">
        <v>1118</v>
      </c>
    </row>
    <row r="130" spans="1:8">
      <c r="A130" s="100">
        <v>96</v>
      </c>
      <c r="B130" s="112" t="s">
        <v>991</v>
      </c>
      <c r="C130" s="100" t="s">
        <v>1014</v>
      </c>
      <c r="D130" s="103" t="s">
        <v>959</v>
      </c>
      <c r="E130" s="103" t="s">
        <v>1173</v>
      </c>
      <c r="F130" s="103" t="s">
        <v>944</v>
      </c>
      <c r="G130" s="103" t="s">
        <v>1118</v>
      </c>
    </row>
    <row r="131" spans="1:8">
      <c r="D131" s="103"/>
      <c r="E131" s="103"/>
      <c r="F131" s="103"/>
      <c r="G131" s="103"/>
    </row>
    <row r="132" spans="1:8">
      <c r="A132" s="100">
        <v>97</v>
      </c>
      <c r="B132" s="112" t="s">
        <v>991</v>
      </c>
      <c r="C132" s="100" t="s">
        <v>1018</v>
      </c>
      <c r="D132" s="103" t="s">
        <v>1019</v>
      </c>
      <c r="E132" s="103" t="s">
        <v>946</v>
      </c>
      <c r="F132" s="103" t="s">
        <v>1020</v>
      </c>
      <c r="G132" s="103" t="s">
        <v>939</v>
      </c>
      <c r="H132" s="103" t="s">
        <v>1021</v>
      </c>
    </row>
    <row r="136" spans="1:8">
      <c r="A136" s="100">
        <v>98</v>
      </c>
      <c r="B136" s="100" t="s">
        <v>1022</v>
      </c>
      <c r="D136" s="103" t="s">
        <v>1023</v>
      </c>
      <c r="E136" s="103" t="s">
        <v>797</v>
      </c>
      <c r="F136" s="103" t="s">
        <v>1024</v>
      </c>
      <c r="G136" s="103" t="s">
        <v>796</v>
      </c>
    </row>
    <row r="137" spans="1:8">
      <c r="A137" s="100">
        <v>99</v>
      </c>
      <c r="B137" s="100" t="s">
        <v>1022</v>
      </c>
      <c r="D137" s="103" t="s">
        <v>1025</v>
      </c>
      <c r="E137" s="103" t="s">
        <v>1173</v>
      </c>
      <c r="F137" s="103" t="s">
        <v>1026</v>
      </c>
      <c r="G137" s="103" t="s">
        <v>1118</v>
      </c>
    </row>
    <row r="138" spans="1:8">
      <c r="A138" s="100">
        <v>100</v>
      </c>
      <c r="B138" s="100" t="s">
        <v>1022</v>
      </c>
      <c r="D138" s="103" t="s">
        <v>958</v>
      </c>
      <c r="E138" s="103" t="s">
        <v>1173</v>
      </c>
      <c r="F138" s="103" t="s">
        <v>943</v>
      </c>
      <c r="G138" s="103" t="s">
        <v>1118</v>
      </c>
    </row>
    <row r="139" spans="1:8">
      <c r="A139" s="100">
        <v>101</v>
      </c>
      <c r="B139" s="100" t="s">
        <v>1022</v>
      </c>
      <c r="D139" s="103" t="s">
        <v>959</v>
      </c>
      <c r="E139" s="103" t="s">
        <v>1173</v>
      </c>
      <c r="F139" s="103" t="s">
        <v>944</v>
      </c>
      <c r="G139" s="103" t="s">
        <v>1118</v>
      </c>
    </row>
    <row r="140" spans="1:8">
      <c r="D140" s="103"/>
      <c r="E140" s="103"/>
      <c r="F140" s="103"/>
      <c r="G140" s="103"/>
    </row>
    <row r="141" spans="1:8">
      <c r="D141" s="103"/>
      <c r="E141" s="103"/>
      <c r="F141" s="103"/>
      <c r="G141" s="103"/>
    </row>
    <row r="142" spans="1:8">
      <c r="D142" s="103"/>
      <c r="E142" s="103"/>
      <c r="F142" s="103"/>
      <c r="G142" s="103"/>
    </row>
    <row r="143" spans="1:8">
      <c r="D143" s="103"/>
      <c r="E143" s="103"/>
      <c r="F143" s="103"/>
      <c r="G143" s="103"/>
    </row>
    <row r="144" spans="1:8">
      <c r="A144" s="100">
        <v>102</v>
      </c>
      <c r="B144" s="100" t="s">
        <v>1027</v>
      </c>
      <c r="D144" s="103" t="s">
        <v>1028</v>
      </c>
      <c r="E144" s="103" t="s">
        <v>1173</v>
      </c>
      <c r="F144" s="103" t="s">
        <v>1029</v>
      </c>
      <c r="G144" s="103" t="s">
        <v>1118</v>
      </c>
    </row>
    <row r="145" spans="1:7">
      <c r="A145" s="100">
        <v>103</v>
      </c>
      <c r="B145" s="100" t="s">
        <v>1027</v>
      </c>
      <c r="D145" s="103" t="s">
        <v>1002</v>
      </c>
      <c r="E145" s="103" t="s">
        <v>1173</v>
      </c>
      <c r="F145" s="103" t="s">
        <v>1003</v>
      </c>
      <c r="G145" s="103" t="s">
        <v>1118</v>
      </c>
    </row>
    <row r="146" spans="1:7">
      <c r="A146" s="100">
        <v>104</v>
      </c>
      <c r="B146" s="100" t="s">
        <v>1027</v>
      </c>
      <c r="D146" s="103" t="s">
        <v>1030</v>
      </c>
      <c r="E146" s="103" t="s">
        <v>1031</v>
      </c>
      <c r="F146" s="103" t="s">
        <v>1032</v>
      </c>
      <c r="G146" s="103" t="s">
        <v>1117</v>
      </c>
    </row>
    <row r="147" spans="1:7">
      <c r="A147" s="112">
        <v>105</v>
      </c>
      <c r="B147" s="112" t="s">
        <v>1027</v>
      </c>
      <c r="D147" s="112" t="s">
        <v>1033</v>
      </c>
      <c r="E147" s="112" t="s">
        <v>1034</v>
      </c>
      <c r="F147" s="112" t="s">
        <v>1032</v>
      </c>
      <c r="G147" s="112" t="s">
        <v>1117</v>
      </c>
    </row>
    <row r="148" spans="1:7">
      <c r="A148" s="100">
        <v>106</v>
      </c>
      <c r="B148" s="100" t="s">
        <v>1027</v>
      </c>
      <c r="D148" s="103" t="s">
        <v>1035</v>
      </c>
      <c r="E148" s="103" t="s">
        <v>1116</v>
      </c>
      <c r="F148" s="103" t="s">
        <v>1035</v>
      </c>
      <c r="G148" s="103" t="s">
        <v>1116</v>
      </c>
    </row>
  </sheetData>
  <phoneticPr fontId="5" type="noConversion"/>
  <pageMargins left="0.75" right="0.75" top="1" bottom="1" header="0.5" footer="0.5"/>
  <headerFooter alignWithMargins="0"/>
  <drawing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31"/>
  <sheetViews>
    <sheetView workbookViewId="0">
      <selection activeCell="A2" sqref="A2:A18"/>
    </sheetView>
  </sheetViews>
  <sheetFormatPr defaultColWidth="0" defaultRowHeight="15" zeroHeight="1"/>
  <cols>
    <col min="1" max="1" width="11.5703125" style="1996" customWidth="1"/>
    <col min="2" max="2" width="39.7109375" style="1999" customWidth="1"/>
    <col min="3" max="3" width="84.7109375" style="1999" customWidth="1"/>
    <col min="4" max="5" width="9.140625" style="1996" customWidth="1"/>
    <col min="6" max="16384" width="9.140625" style="1999" hidden="1"/>
  </cols>
  <sheetData>
    <row r="1" spans="1:5" ht="26.25">
      <c r="B1" s="1997" t="s">
        <v>529</v>
      </c>
      <c r="C1" s="1998"/>
    </row>
    <row r="2" spans="1:5" s="2002" customFormat="1" ht="25.5">
      <c r="A2" s="2811"/>
      <c r="B2" s="2000" t="s">
        <v>530</v>
      </c>
      <c r="C2" s="2000" t="s">
        <v>531</v>
      </c>
      <c r="D2" s="2001"/>
      <c r="E2" s="2001"/>
    </row>
    <row r="3" spans="1:5" s="2002" customFormat="1" ht="15" customHeight="1">
      <c r="A3" s="2811"/>
      <c r="B3" s="2809" t="s">
        <v>532</v>
      </c>
      <c r="C3" s="2810"/>
      <c r="D3" s="2001"/>
      <c r="E3" s="2001"/>
    </row>
    <row r="4" spans="1:5" s="2002" customFormat="1" ht="25.5">
      <c r="A4" s="2811"/>
      <c r="B4" s="2003" t="s">
        <v>533</v>
      </c>
      <c r="C4" s="2003" t="s">
        <v>534</v>
      </c>
      <c r="D4" s="2001"/>
      <c r="E4" s="2001"/>
    </row>
    <row r="5" spans="1:5" s="2002" customFormat="1">
      <c r="A5" s="2811"/>
      <c r="B5" s="2004" t="s">
        <v>535</v>
      </c>
      <c r="C5" s="2004" t="s">
        <v>536</v>
      </c>
      <c r="D5" s="2001"/>
      <c r="E5" s="2001"/>
    </row>
    <row r="6" spans="1:5" s="2002" customFormat="1" ht="25.5">
      <c r="A6" s="2811"/>
      <c r="B6" s="2004" t="s">
        <v>537</v>
      </c>
      <c r="C6" s="2004" t="s">
        <v>538</v>
      </c>
      <c r="D6" s="2001"/>
      <c r="E6" s="2001"/>
    </row>
    <row r="7" spans="1:5" s="2002" customFormat="1">
      <c r="A7" s="2811"/>
      <c r="B7" s="2004" t="s">
        <v>539</v>
      </c>
      <c r="C7" s="2004" t="s">
        <v>540</v>
      </c>
      <c r="D7" s="2001"/>
      <c r="E7" s="2001"/>
    </row>
    <row r="8" spans="1:5" s="2002" customFormat="1" ht="38.25">
      <c r="A8" s="2811"/>
      <c r="B8" s="2005" t="s">
        <v>1475</v>
      </c>
      <c r="C8" s="2005" t="s">
        <v>541</v>
      </c>
      <c r="D8" s="2001"/>
      <c r="E8" s="2001"/>
    </row>
    <row r="9" spans="1:5" s="2002" customFormat="1" ht="25.5">
      <c r="A9" s="2811"/>
      <c r="B9" s="2005" t="s">
        <v>784</v>
      </c>
      <c r="C9" s="2005" t="s">
        <v>542</v>
      </c>
      <c r="D9" s="2001"/>
      <c r="E9" s="2001"/>
    </row>
    <row r="10" spans="1:5" s="2002" customFormat="1" ht="25.5">
      <c r="A10" s="2811"/>
      <c r="B10" s="2005" t="s">
        <v>785</v>
      </c>
      <c r="C10" s="2005" t="s">
        <v>543</v>
      </c>
      <c r="D10" s="2001"/>
      <c r="E10" s="2001"/>
    </row>
    <row r="11" spans="1:5" s="2002" customFormat="1">
      <c r="A11" s="2811"/>
      <c r="B11" s="2005" t="s">
        <v>1476</v>
      </c>
      <c r="C11" s="2005" t="s">
        <v>544</v>
      </c>
      <c r="D11" s="2001"/>
      <c r="E11" s="2001"/>
    </row>
    <row r="12" spans="1:5" s="2002" customFormat="1" ht="25.5">
      <c r="A12" s="2811"/>
      <c r="B12" s="2005" t="s">
        <v>1477</v>
      </c>
      <c r="C12" s="2005" t="s">
        <v>545</v>
      </c>
      <c r="D12" s="2001"/>
      <c r="E12" s="2001"/>
    </row>
    <row r="13" spans="1:5" s="2002" customFormat="1" ht="25.5">
      <c r="A13" s="2811"/>
      <c r="B13" s="2005" t="s">
        <v>1478</v>
      </c>
      <c r="C13" s="2005" t="s">
        <v>546</v>
      </c>
      <c r="D13" s="2001"/>
      <c r="E13" s="2001"/>
    </row>
    <row r="14" spans="1:5" s="2002" customFormat="1" ht="25.5">
      <c r="A14" s="2811"/>
      <c r="B14" s="2005" t="s">
        <v>786</v>
      </c>
      <c r="C14" s="2005" t="s">
        <v>547</v>
      </c>
      <c r="D14" s="2001"/>
      <c r="E14" s="2001"/>
    </row>
    <row r="15" spans="1:5" s="2002" customFormat="1" ht="25.5">
      <c r="A15" s="2811"/>
      <c r="B15" s="2005" t="s">
        <v>787</v>
      </c>
      <c r="C15" s="2005" t="s">
        <v>548</v>
      </c>
      <c r="D15" s="2001"/>
      <c r="E15" s="2001"/>
    </row>
    <row r="16" spans="1:5" s="2002" customFormat="1" ht="25.5">
      <c r="A16" s="2811"/>
      <c r="B16" s="2005" t="s">
        <v>1479</v>
      </c>
      <c r="C16" s="2005" t="s">
        <v>549</v>
      </c>
      <c r="D16" s="2001"/>
      <c r="E16" s="2001"/>
    </row>
    <row r="17" spans="1:5" s="2002" customFormat="1" ht="25.5">
      <c r="A17" s="2811"/>
      <c r="B17" s="2005" t="s">
        <v>550</v>
      </c>
      <c r="C17" s="2005" t="s">
        <v>551</v>
      </c>
      <c r="D17" s="2001"/>
      <c r="E17" s="2001"/>
    </row>
    <row r="18" spans="1:5" s="2002" customFormat="1">
      <c r="A18" s="2811"/>
      <c r="B18" s="2005" t="s">
        <v>1480</v>
      </c>
      <c r="C18" s="2005" t="s">
        <v>552</v>
      </c>
      <c r="D18" s="2001"/>
      <c r="E18" s="2001"/>
    </row>
    <row r="19" spans="1:5" s="2002" customFormat="1" ht="20.25" customHeight="1">
      <c r="A19" s="2001"/>
      <c r="B19" s="2006" t="s">
        <v>1481</v>
      </c>
      <c r="C19" s="2006" t="s">
        <v>553</v>
      </c>
      <c r="D19" s="2001"/>
      <c r="E19" s="2001"/>
    </row>
    <row r="20" spans="1:5" s="2002" customFormat="1" ht="15.75" thickBot="1">
      <c r="A20" s="2001"/>
      <c r="B20" s="2001"/>
      <c r="C20" s="2001"/>
      <c r="D20" s="2001"/>
      <c r="E20" s="2001"/>
    </row>
    <row r="21" spans="1:5" ht="15.75" customHeight="1">
      <c r="B21" s="2817" t="s">
        <v>1482</v>
      </c>
      <c r="C21" s="2818"/>
    </row>
    <row r="22" spans="1:5" ht="16.5" customHeight="1" thickBot="1">
      <c r="B22" s="2819"/>
      <c r="C22" s="2820"/>
    </row>
    <row r="23" spans="1:5">
      <c r="B23" s="2812" t="s">
        <v>1483</v>
      </c>
      <c r="C23" s="2007" t="s">
        <v>1484</v>
      </c>
    </row>
    <row r="24" spans="1:5">
      <c r="B24" s="2813"/>
      <c r="C24" s="2008" t="s">
        <v>1485</v>
      </c>
    </row>
    <row r="25" spans="1:5">
      <c r="B25" s="2813"/>
      <c r="C25" s="2008" t="s">
        <v>1486</v>
      </c>
    </row>
    <row r="26" spans="1:5">
      <c r="B26" s="2813"/>
      <c r="C26" s="2009" t="s">
        <v>1487</v>
      </c>
    </row>
    <row r="27" spans="1:5" ht="15.75" thickBot="1">
      <c r="B27" s="2814"/>
      <c r="C27" s="2010" t="s">
        <v>1488</v>
      </c>
    </row>
    <row r="28" spans="1:5" ht="15.75" thickBot="1"/>
    <row r="29" spans="1:5" ht="15.75" thickBot="1">
      <c r="B29" s="2815" t="s">
        <v>1489</v>
      </c>
      <c r="C29" s="2816"/>
    </row>
    <row r="30" spans="1:5">
      <c r="B30" s="1996"/>
      <c r="C30" s="1996"/>
    </row>
    <row r="31" spans="1:5">
      <c r="B31" s="1996"/>
      <c r="C31" s="1996"/>
    </row>
  </sheetData>
  <sheetProtection password="B61E" sheet="1" objects="1" scenarios="1"/>
  <mergeCells count="5">
    <mergeCell ref="B3:C3"/>
    <mergeCell ref="A2:A18"/>
    <mergeCell ref="B23:B27"/>
    <mergeCell ref="B29:C29"/>
    <mergeCell ref="B21:C22"/>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04417" r:id="rId4" name="CommandButtonReturn">
          <controlPr defaultSize="0" autoLine="0" r:id="rId5">
            <anchor moveWithCells="1">
              <from>
                <xdr:col>0</xdr:col>
                <xdr:colOff>114300</xdr:colOff>
                <xdr:row>1</xdr:row>
                <xdr:rowOff>38100</xdr:rowOff>
              </from>
              <to>
                <xdr:col>0</xdr:col>
                <xdr:colOff>676275</xdr:colOff>
                <xdr:row>26</xdr:row>
                <xdr:rowOff>9525</xdr:rowOff>
              </to>
            </anchor>
          </controlPr>
        </control>
      </mc:Choice>
      <mc:Fallback>
        <control shapeId="6204417" r:id="rId4" name="CommandButtonReturn"/>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1"/>
  <sheetViews>
    <sheetView workbookViewId="0"/>
  </sheetViews>
  <sheetFormatPr defaultColWidth="0" defaultRowHeight="15" zeroHeight="1"/>
  <cols>
    <col min="1" max="1" width="11.7109375" style="1101" customWidth="1"/>
    <col min="2" max="2" width="39.7109375" style="139" customWidth="1"/>
    <col min="3" max="3" width="84.7109375" style="139" customWidth="1"/>
    <col min="4" max="5" width="9.140625" style="1101" customWidth="1"/>
    <col min="6" max="16384" width="9.140625" style="139" hidden="1"/>
  </cols>
  <sheetData>
    <row r="1" spans="1:5" s="1102" customFormat="1"/>
    <row r="2" spans="1:5" s="1102" customFormat="1"/>
    <row r="3" spans="1:5" s="140" customFormat="1" ht="26.25">
      <c r="A3" s="1102"/>
      <c r="B3" s="855" t="s">
        <v>554</v>
      </c>
      <c r="C3" s="862"/>
      <c r="D3" s="1102"/>
      <c r="E3" s="1102"/>
    </row>
    <row r="4" spans="1:5" s="140" customFormat="1" ht="38.25">
      <c r="A4" s="1102"/>
      <c r="B4" s="863" t="s">
        <v>555</v>
      </c>
      <c r="C4" s="863" t="s">
        <v>556</v>
      </c>
      <c r="D4" s="1102"/>
      <c r="E4" s="1102"/>
    </row>
    <row r="5" spans="1:5" s="140" customFormat="1" ht="15" customHeight="1">
      <c r="A5" s="1102"/>
      <c r="B5" s="2821" t="s">
        <v>557</v>
      </c>
      <c r="C5" s="2822"/>
      <c r="D5" s="1102"/>
      <c r="E5" s="1102"/>
    </row>
    <row r="6" spans="1:5" s="140" customFormat="1" ht="25.5">
      <c r="A6" s="1102"/>
      <c r="B6" s="864" t="s">
        <v>533</v>
      </c>
      <c r="C6" s="864" t="s">
        <v>534</v>
      </c>
      <c r="D6" s="1102"/>
      <c r="E6" s="1102"/>
    </row>
    <row r="7" spans="1:5" s="140" customFormat="1">
      <c r="A7" s="1102"/>
      <c r="B7" s="864" t="s">
        <v>558</v>
      </c>
      <c r="C7" s="864" t="s">
        <v>559</v>
      </c>
      <c r="D7" s="1102"/>
      <c r="E7" s="1102"/>
    </row>
    <row r="8" spans="1:5" s="140" customFormat="1">
      <c r="A8" s="1102"/>
      <c r="B8" s="864" t="s">
        <v>560</v>
      </c>
      <c r="C8" s="864" t="s">
        <v>561</v>
      </c>
      <c r="D8" s="1102"/>
      <c r="E8" s="1102"/>
    </row>
    <row r="9" spans="1:5" s="140" customFormat="1" ht="38.25">
      <c r="A9" s="1102"/>
      <c r="B9" s="864" t="s">
        <v>1495</v>
      </c>
      <c r="C9" s="864" t="s">
        <v>562</v>
      </c>
      <c r="D9" s="1102"/>
      <c r="E9" s="1102"/>
    </row>
    <row r="10" spans="1:5" s="140" customFormat="1" ht="25.5">
      <c r="A10" s="1102"/>
      <c r="B10" s="856" t="s">
        <v>1490</v>
      </c>
      <c r="C10" s="856" t="s">
        <v>563</v>
      </c>
      <c r="D10" s="1102"/>
      <c r="E10" s="1102"/>
    </row>
    <row r="11" spans="1:5" s="140" customFormat="1">
      <c r="A11" s="1102"/>
      <c r="B11" s="856" t="s">
        <v>1476</v>
      </c>
      <c r="C11" s="856" t="s">
        <v>564</v>
      </c>
      <c r="D11" s="1102"/>
      <c r="E11" s="1102"/>
    </row>
    <row r="12" spans="1:5" s="140" customFormat="1" ht="25.5">
      <c r="A12" s="1102"/>
      <c r="B12" s="856" t="s">
        <v>1491</v>
      </c>
      <c r="C12" s="856" t="s">
        <v>566</v>
      </c>
      <c r="D12" s="1102"/>
      <c r="E12" s="1102"/>
    </row>
    <row r="13" spans="1:5" s="140" customFormat="1" ht="25.5">
      <c r="A13" s="1102"/>
      <c r="B13" s="856" t="s">
        <v>567</v>
      </c>
      <c r="C13" s="856" t="s">
        <v>568</v>
      </c>
      <c r="D13" s="1102"/>
      <c r="E13" s="1102"/>
    </row>
    <row r="14" spans="1:5" s="140" customFormat="1">
      <c r="A14" s="1102"/>
      <c r="B14" s="856" t="s">
        <v>569</v>
      </c>
      <c r="C14" s="856" t="s">
        <v>570</v>
      </c>
      <c r="D14" s="1102"/>
      <c r="E14" s="1102"/>
    </row>
    <row r="15" spans="1:5" s="140" customFormat="1">
      <c r="A15" s="1102"/>
      <c r="B15" s="856" t="s">
        <v>1479</v>
      </c>
      <c r="C15" s="856" t="s">
        <v>571</v>
      </c>
      <c r="D15" s="1102"/>
      <c r="E15" s="1102"/>
    </row>
    <row r="16" spans="1:5" s="140" customFormat="1">
      <c r="A16" s="1102"/>
      <c r="B16" s="856" t="s">
        <v>1492</v>
      </c>
      <c r="C16" s="856" t="s">
        <v>572</v>
      </c>
      <c r="D16" s="1102"/>
      <c r="E16" s="1102"/>
    </row>
    <row r="17" spans="1:5" s="140" customFormat="1">
      <c r="A17" s="1102"/>
      <c r="B17" s="857" t="s">
        <v>1493</v>
      </c>
      <c r="C17" s="857" t="s">
        <v>553</v>
      </c>
      <c r="D17" s="1102"/>
      <c r="E17" s="1102"/>
    </row>
    <row r="18" spans="1:5" s="140" customFormat="1" ht="21.75" customHeight="1" thickBot="1">
      <c r="A18" s="1102"/>
      <c r="B18" s="1101"/>
      <c r="C18" s="1101"/>
      <c r="D18" s="1102"/>
      <c r="E18" s="1102"/>
    </row>
    <row r="19" spans="1:5" s="140" customFormat="1" ht="15.75" customHeight="1">
      <c r="A19" s="1102"/>
      <c r="B19" s="2828" t="s">
        <v>1482</v>
      </c>
      <c r="C19" s="2829"/>
      <c r="D19" s="1102"/>
      <c r="E19" s="1102"/>
    </row>
    <row r="20" spans="1:5" s="140" customFormat="1" ht="15" customHeight="1">
      <c r="A20" s="1102"/>
      <c r="B20" s="2830"/>
      <c r="C20" s="2831"/>
      <c r="D20" s="1102"/>
      <c r="E20" s="1102"/>
    </row>
    <row r="21" spans="1:5" s="140" customFormat="1" ht="15.75" customHeight="1" thickBot="1">
      <c r="A21" s="1102"/>
      <c r="B21" s="2832"/>
      <c r="C21" s="2833"/>
      <c r="D21" s="1102"/>
      <c r="E21" s="1102"/>
    </row>
    <row r="22" spans="1:5" s="140" customFormat="1">
      <c r="A22" s="1102"/>
      <c r="B22" s="2823" t="s">
        <v>1483</v>
      </c>
      <c r="C22" s="858" t="s">
        <v>1494</v>
      </c>
      <c r="D22" s="1102"/>
      <c r="E22" s="1102"/>
    </row>
    <row r="23" spans="1:5" s="140" customFormat="1">
      <c r="A23" s="1102"/>
      <c r="B23" s="2824"/>
      <c r="C23" s="859" t="s">
        <v>1485</v>
      </c>
      <c r="D23" s="1102"/>
      <c r="E23" s="1102"/>
    </row>
    <row r="24" spans="1:5" s="140" customFormat="1">
      <c r="A24" s="1102"/>
      <c r="B24" s="2824"/>
      <c r="C24" s="860" t="s">
        <v>1487</v>
      </c>
      <c r="D24" s="1102"/>
      <c r="E24" s="1102"/>
    </row>
    <row r="25" spans="1:5" s="140" customFormat="1" ht="15.75" thickBot="1">
      <c r="A25" s="1102"/>
      <c r="B25" s="2825"/>
      <c r="C25" s="861" t="s">
        <v>1488</v>
      </c>
      <c r="D25" s="1102"/>
      <c r="E25" s="1102"/>
    </row>
    <row r="26" spans="1:5" s="140" customFormat="1" ht="15.75" thickBot="1">
      <c r="A26" s="1102"/>
      <c r="B26" s="139"/>
      <c r="C26" s="139"/>
      <c r="D26" s="1102"/>
      <c r="E26" s="1102"/>
    </row>
    <row r="27" spans="1:5" s="140" customFormat="1" ht="15.75" thickBot="1">
      <c r="A27" s="1102"/>
      <c r="B27" s="2826" t="s">
        <v>1489</v>
      </c>
      <c r="C27" s="2827"/>
      <c r="D27" s="1102"/>
      <c r="E27" s="1102"/>
    </row>
    <row r="28" spans="1:5" s="1102" customFormat="1">
      <c r="B28" s="1101"/>
      <c r="C28" s="1101"/>
    </row>
    <row r="29" spans="1:5" s="1102" customFormat="1">
      <c r="B29" s="1101"/>
      <c r="C29" s="1101"/>
    </row>
    <row r="30" spans="1:5" s="1102" customFormat="1"/>
    <row r="31" spans="1:5" s="1102" customFormat="1">
      <c r="B31" s="1101"/>
      <c r="C31" s="1101"/>
    </row>
  </sheetData>
  <sheetProtection password="B61E" sheet="1" objects="1" scenarios="1"/>
  <mergeCells count="4">
    <mergeCell ref="B5:C5"/>
    <mergeCell ref="B22:B25"/>
    <mergeCell ref="B27:C27"/>
    <mergeCell ref="B19:C21"/>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0561" r:id="rId4" name="CommandButtonReturn">
          <controlPr defaultSize="0" autoLine="0" r:id="rId5">
            <anchor moveWithCells="1">
              <from>
                <xdr:col>0</xdr:col>
                <xdr:colOff>95250</xdr:colOff>
                <xdr:row>3</xdr:row>
                <xdr:rowOff>0</xdr:rowOff>
              </from>
              <to>
                <xdr:col>0</xdr:col>
                <xdr:colOff>657225</xdr:colOff>
                <xdr:row>24</xdr:row>
                <xdr:rowOff>133350</xdr:rowOff>
              </to>
            </anchor>
          </controlPr>
        </control>
      </mc:Choice>
      <mc:Fallback>
        <control shapeId="6210561" r:id="rId4" name="CommandButtonReturn"/>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30"/>
  <sheetViews>
    <sheetView workbookViewId="0"/>
  </sheetViews>
  <sheetFormatPr defaultColWidth="0" defaultRowHeight="15" zeroHeight="1"/>
  <cols>
    <col min="1" max="1" width="11" style="1101" customWidth="1"/>
    <col min="2" max="2" width="39.7109375" style="1101" customWidth="1"/>
    <col min="3" max="3" width="84.7109375" style="1101" customWidth="1"/>
    <col min="4" max="5" width="9.140625" style="1101" customWidth="1"/>
    <col min="6" max="16384" width="9.140625" style="1101" hidden="1"/>
  </cols>
  <sheetData>
    <row r="1" spans="1:5"/>
    <row r="2" spans="1:5"/>
    <row r="3" spans="1:5" s="140" customFormat="1" ht="26.25">
      <c r="A3" s="1102"/>
      <c r="B3" s="865" t="s">
        <v>580</v>
      </c>
      <c r="C3" s="862"/>
      <c r="D3" s="1102"/>
      <c r="E3" s="1102"/>
    </row>
    <row r="4" spans="1:5" s="140" customFormat="1">
      <c r="A4" s="1102"/>
      <c r="B4" s="866" t="s">
        <v>581</v>
      </c>
      <c r="C4" s="866" t="s">
        <v>582</v>
      </c>
      <c r="D4" s="1102"/>
      <c r="E4" s="1102"/>
    </row>
    <row r="5" spans="1:5" s="141" customFormat="1" ht="25.5">
      <c r="A5" s="1103"/>
      <c r="B5" s="856" t="s">
        <v>583</v>
      </c>
      <c r="C5" s="856" t="s">
        <v>584</v>
      </c>
      <c r="D5" s="1103"/>
      <c r="E5" s="1103"/>
    </row>
    <row r="6" spans="1:5" s="140" customFormat="1" ht="15" customHeight="1">
      <c r="A6" s="1102"/>
      <c r="B6" s="2821" t="s">
        <v>557</v>
      </c>
      <c r="C6" s="2822"/>
      <c r="D6" s="1102"/>
      <c r="E6" s="1102"/>
    </row>
    <row r="7" spans="1:5" s="140" customFormat="1" ht="25.5">
      <c r="A7" s="1102"/>
      <c r="B7" s="864" t="s">
        <v>585</v>
      </c>
      <c r="C7" s="864" t="s">
        <v>586</v>
      </c>
      <c r="D7" s="1102"/>
      <c r="E7" s="1102"/>
    </row>
    <row r="8" spans="1:5" s="140" customFormat="1" ht="25.5">
      <c r="A8" s="1102"/>
      <c r="B8" s="856" t="s">
        <v>1496</v>
      </c>
      <c r="C8" s="856" t="s">
        <v>573</v>
      </c>
      <c r="D8" s="1102"/>
      <c r="E8" s="1102"/>
    </row>
    <row r="9" spans="1:5" s="140" customFormat="1" ht="25.5">
      <c r="A9" s="1102"/>
      <c r="B9" s="856" t="s">
        <v>574</v>
      </c>
      <c r="C9" s="856" t="s">
        <v>575</v>
      </c>
      <c r="D9" s="1102"/>
      <c r="E9" s="1102"/>
    </row>
    <row r="10" spans="1:5" s="140" customFormat="1" ht="25.5">
      <c r="A10" s="1102"/>
      <c r="B10" s="856" t="s">
        <v>1476</v>
      </c>
      <c r="C10" s="856" t="s">
        <v>576</v>
      </c>
      <c r="D10" s="1102"/>
      <c r="E10" s="1102"/>
    </row>
    <row r="11" spans="1:5" s="140" customFormat="1" ht="25.5">
      <c r="A11" s="1102"/>
      <c r="B11" s="856" t="s">
        <v>1491</v>
      </c>
      <c r="C11" s="856" t="s">
        <v>577</v>
      </c>
      <c r="D11" s="1102"/>
      <c r="E11" s="1102"/>
    </row>
    <row r="12" spans="1:5" s="140" customFormat="1">
      <c r="A12" s="1102"/>
      <c r="B12" s="856" t="s">
        <v>1497</v>
      </c>
      <c r="C12" s="856" t="s">
        <v>578</v>
      </c>
      <c r="D12" s="1102"/>
      <c r="E12" s="1102"/>
    </row>
    <row r="13" spans="1:5" s="140" customFormat="1">
      <c r="A13" s="1102"/>
      <c r="B13" s="856" t="s">
        <v>815</v>
      </c>
      <c r="C13" s="856" t="s">
        <v>579</v>
      </c>
      <c r="D13" s="1102"/>
      <c r="E13" s="1102"/>
    </row>
    <row r="14" spans="1:5" s="140" customFormat="1">
      <c r="A14" s="1102"/>
      <c r="B14" s="856" t="s">
        <v>1479</v>
      </c>
      <c r="C14" s="856" t="s">
        <v>571</v>
      </c>
      <c r="D14" s="1102"/>
      <c r="E14" s="1102"/>
    </row>
    <row r="15" spans="1:5" s="140" customFormat="1" ht="25.5">
      <c r="A15" s="1102"/>
      <c r="B15" s="856" t="s">
        <v>550</v>
      </c>
      <c r="C15" s="856" t="s">
        <v>551</v>
      </c>
      <c r="D15" s="1102"/>
      <c r="E15" s="1102"/>
    </row>
    <row r="16" spans="1:5" s="140" customFormat="1">
      <c r="A16" s="1102"/>
      <c r="B16" s="856" t="s">
        <v>1492</v>
      </c>
      <c r="C16" s="856" t="s">
        <v>572</v>
      </c>
      <c r="D16" s="1102"/>
      <c r="E16" s="1102"/>
    </row>
    <row r="17" spans="1:5" s="140" customFormat="1">
      <c r="A17" s="1102"/>
      <c r="B17" s="857" t="s">
        <v>957</v>
      </c>
      <c r="C17" s="857" t="s">
        <v>553</v>
      </c>
      <c r="D17" s="1102"/>
      <c r="E17" s="1102"/>
    </row>
    <row r="18" spans="1:5" s="139" customFormat="1" ht="15.75" thickBot="1">
      <c r="A18" s="1101"/>
      <c r="B18" s="1101"/>
      <c r="C18" s="1101"/>
      <c r="D18" s="1101"/>
      <c r="E18" s="1101"/>
    </row>
    <row r="19" spans="1:5" s="139" customFormat="1" ht="15.75" customHeight="1">
      <c r="A19" s="1101"/>
      <c r="B19" s="2828" t="s">
        <v>1482</v>
      </c>
      <c r="C19" s="2829"/>
      <c r="D19" s="1101"/>
      <c r="E19" s="1101"/>
    </row>
    <row r="20" spans="1:5" s="139" customFormat="1" ht="15.75" customHeight="1" thickBot="1">
      <c r="A20" s="1101"/>
      <c r="B20" s="2832"/>
      <c r="C20" s="2833"/>
      <c r="D20" s="1101"/>
      <c r="E20" s="1101"/>
    </row>
    <row r="21" spans="1:5" s="139" customFormat="1">
      <c r="A21" s="1101"/>
      <c r="B21" s="2823" t="s">
        <v>1483</v>
      </c>
      <c r="C21" s="858" t="s">
        <v>1494</v>
      </c>
      <c r="D21" s="1101"/>
      <c r="E21" s="1101"/>
    </row>
    <row r="22" spans="1:5" s="139" customFormat="1">
      <c r="A22" s="1101"/>
      <c r="B22" s="2824"/>
      <c r="C22" s="859" t="s">
        <v>1485</v>
      </c>
      <c r="D22" s="1101"/>
      <c r="E22" s="1101"/>
    </row>
    <row r="23" spans="1:5" s="139" customFormat="1">
      <c r="A23" s="1101"/>
      <c r="B23" s="2824"/>
      <c r="C23" s="860" t="s">
        <v>1487</v>
      </c>
      <c r="D23" s="1101"/>
      <c r="E23" s="1101"/>
    </row>
    <row r="24" spans="1:5" s="139" customFormat="1" ht="15.75" thickBot="1">
      <c r="A24" s="1101"/>
      <c r="B24" s="2825"/>
      <c r="C24" s="861" t="s">
        <v>1488</v>
      </c>
      <c r="D24" s="1101"/>
      <c r="E24" s="1101"/>
    </row>
    <row r="25" spans="1:5" s="139" customFormat="1" ht="15.75" thickBot="1">
      <c r="A25" s="1101"/>
      <c r="D25" s="1101"/>
      <c r="E25" s="1101"/>
    </row>
    <row r="26" spans="1:5" s="139" customFormat="1" ht="15.75" thickBot="1">
      <c r="A26" s="1101"/>
      <c r="B26" s="2826" t="s">
        <v>1489</v>
      </c>
      <c r="C26" s="2827"/>
      <c r="D26" s="1101"/>
      <c r="E26" s="1101"/>
    </row>
    <row r="27" spans="1:5"/>
    <row r="28" spans="1:5"/>
    <row r="29" spans="1:5"/>
    <row r="30" spans="1:5"/>
  </sheetData>
  <sheetProtection password="B61E" sheet="1" objects="1" scenarios="1"/>
  <mergeCells count="4">
    <mergeCell ref="B6:C6"/>
    <mergeCell ref="B21:B24"/>
    <mergeCell ref="B26:C26"/>
    <mergeCell ref="B19:C20"/>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1585" r:id="rId4" name="CommandButtonReturn">
          <controlPr defaultSize="0" autoLine="0" r:id="rId5">
            <anchor moveWithCells="1">
              <from>
                <xdr:col>0</xdr:col>
                <xdr:colOff>85725</xdr:colOff>
                <xdr:row>4</xdr:row>
                <xdr:rowOff>19050</xdr:rowOff>
              </from>
              <to>
                <xdr:col>0</xdr:col>
                <xdr:colOff>647700</xdr:colOff>
                <xdr:row>21</xdr:row>
                <xdr:rowOff>142875</xdr:rowOff>
              </to>
            </anchor>
          </controlPr>
        </control>
      </mc:Choice>
      <mc:Fallback>
        <control shapeId="6211585" r:id="rId4" name="CommandButtonReturn"/>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44"/>
  <sheetViews>
    <sheetView workbookViewId="0"/>
  </sheetViews>
  <sheetFormatPr defaultColWidth="0" defaultRowHeight="15" zeroHeight="1"/>
  <cols>
    <col min="1" max="1" width="11.140625" style="1101" customWidth="1"/>
    <col min="2" max="2" width="39.7109375" style="139" customWidth="1"/>
    <col min="3" max="3" width="84.7109375" style="139" customWidth="1"/>
    <col min="4" max="5" width="9.140625" style="1101" customWidth="1"/>
    <col min="6" max="16384" width="9.140625" style="139" hidden="1"/>
  </cols>
  <sheetData>
    <row r="1" spans="1:5" s="1101" customFormat="1"/>
    <row r="2" spans="1:5" s="1102" customFormat="1" ht="26.25">
      <c r="B2" s="1106" t="s">
        <v>587</v>
      </c>
      <c r="C2" s="1101"/>
    </row>
    <row r="3" spans="1:5" s="140" customFormat="1">
      <c r="A3" s="1102"/>
      <c r="B3" s="867" t="s">
        <v>581</v>
      </c>
      <c r="C3" s="867" t="s">
        <v>582</v>
      </c>
      <c r="D3" s="1102"/>
      <c r="E3" s="1102"/>
    </row>
    <row r="4" spans="1:5" s="140" customFormat="1" ht="51">
      <c r="A4" s="1102"/>
      <c r="B4" s="868" t="s">
        <v>588</v>
      </c>
      <c r="C4" s="868" t="s">
        <v>589</v>
      </c>
      <c r="D4" s="1102"/>
      <c r="E4" s="1102"/>
    </row>
    <row r="5" spans="1:5" s="140" customFormat="1" ht="25.5">
      <c r="A5" s="1102"/>
      <c r="B5" s="869" t="s">
        <v>557</v>
      </c>
      <c r="C5" s="869"/>
      <c r="D5" s="1102"/>
      <c r="E5" s="1102"/>
    </row>
    <row r="6" spans="1:5" s="140" customFormat="1" ht="25.5">
      <c r="A6" s="1102"/>
      <c r="B6" s="870" t="s">
        <v>533</v>
      </c>
      <c r="C6" s="870" t="s">
        <v>534</v>
      </c>
      <c r="D6" s="1102"/>
      <c r="E6" s="1102"/>
    </row>
    <row r="7" spans="1:5" s="140" customFormat="1" ht="25.5">
      <c r="A7" s="1102"/>
      <c r="B7" s="868" t="s">
        <v>1498</v>
      </c>
      <c r="C7" s="868" t="s">
        <v>590</v>
      </c>
      <c r="D7" s="1102"/>
      <c r="E7" s="1102"/>
    </row>
    <row r="8" spans="1:5" s="140" customFormat="1" ht="25.5">
      <c r="A8" s="1102"/>
      <c r="B8" s="868" t="s">
        <v>1476</v>
      </c>
      <c r="C8" s="868" t="s">
        <v>591</v>
      </c>
      <c r="D8" s="1102"/>
      <c r="E8" s="1102"/>
    </row>
    <row r="9" spans="1:5" s="140" customFormat="1" ht="25.5">
      <c r="A9" s="1102"/>
      <c r="B9" s="868" t="s">
        <v>1499</v>
      </c>
      <c r="C9" s="868" t="s">
        <v>592</v>
      </c>
      <c r="D9" s="1102"/>
      <c r="E9" s="1102"/>
    </row>
    <row r="10" spans="1:5" s="140" customFormat="1">
      <c r="A10" s="1102"/>
      <c r="B10" s="871" t="s">
        <v>957</v>
      </c>
      <c r="C10" s="871" t="s">
        <v>553</v>
      </c>
      <c r="D10" s="1102"/>
      <c r="E10" s="1102"/>
    </row>
    <row r="11" spans="1:5" s="140" customFormat="1" ht="15.75" thickBot="1">
      <c r="A11" s="1102"/>
      <c r="B11" s="872"/>
      <c r="C11" s="872"/>
      <c r="D11" s="1102"/>
      <c r="E11" s="1102"/>
    </row>
    <row r="12" spans="1:5" s="140" customFormat="1" ht="15.75" customHeight="1">
      <c r="A12" s="1102"/>
      <c r="B12" s="2834" t="s">
        <v>1482</v>
      </c>
      <c r="C12" s="2835"/>
      <c r="D12" s="1102"/>
      <c r="E12" s="1102"/>
    </row>
    <row r="13" spans="1:5" s="140" customFormat="1" ht="15.75" thickBot="1">
      <c r="A13" s="1102"/>
      <c r="B13" s="2836"/>
      <c r="C13" s="2837"/>
      <c r="D13" s="1102"/>
      <c r="E13" s="1102"/>
    </row>
    <row r="14" spans="1:5" s="140" customFormat="1">
      <c r="A14" s="1102"/>
      <c r="B14" s="2823" t="s">
        <v>1500</v>
      </c>
      <c r="C14" s="873" t="s">
        <v>1501</v>
      </c>
      <c r="D14" s="1102"/>
      <c r="E14" s="1102"/>
    </row>
    <row r="15" spans="1:5" s="140" customFormat="1">
      <c r="A15" s="1102"/>
      <c r="B15" s="2824"/>
      <c r="C15" s="859" t="s">
        <v>1502</v>
      </c>
      <c r="D15" s="1102"/>
      <c r="E15" s="1102"/>
    </row>
    <row r="16" spans="1:5" s="140" customFormat="1" ht="26.25" thickBot="1">
      <c r="A16" s="1102"/>
      <c r="B16" s="2825"/>
      <c r="C16" s="861" t="s">
        <v>1503</v>
      </c>
      <c r="D16" s="1102"/>
      <c r="E16" s="1102"/>
    </row>
    <row r="17" spans="1:5" s="140" customFormat="1" ht="15.75" thickBot="1">
      <c r="A17" s="1102"/>
      <c r="B17" s="143"/>
      <c r="C17" s="143"/>
      <c r="D17" s="1102"/>
      <c r="E17" s="1102"/>
    </row>
    <row r="18" spans="1:5" s="140" customFormat="1" ht="15.75" thickBot="1">
      <c r="A18" s="1102"/>
      <c r="B18" s="2826" t="s">
        <v>1489</v>
      </c>
      <c r="C18" s="2827"/>
      <c r="D18" s="1102"/>
      <c r="E18" s="1102"/>
    </row>
    <row r="19" spans="1:5" s="140" customFormat="1">
      <c r="A19" s="1102"/>
      <c r="B19" s="1107"/>
      <c r="C19" s="1107"/>
      <c r="D19" s="1102"/>
      <c r="E19" s="1102"/>
    </row>
    <row r="20" spans="1:5" s="140" customFormat="1">
      <c r="A20" s="1102"/>
      <c r="B20" s="1108"/>
      <c r="C20" s="1108"/>
      <c r="D20" s="1102"/>
      <c r="E20" s="1102"/>
    </row>
    <row r="21" spans="1:5" s="140" customFormat="1">
      <c r="A21" s="1102"/>
      <c r="B21" s="1108"/>
      <c r="C21" s="1108"/>
      <c r="D21" s="1102"/>
      <c r="E21" s="1102"/>
    </row>
    <row r="22" spans="1:5" s="140" customFormat="1">
      <c r="A22" s="1102"/>
      <c r="B22" s="1108"/>
      <c r="C22" s="1108"/>
      <c r="D22" s="1102"/>
      <c r="E22" s="1102"/>
    </row>
    <row r="23" spans="1:5" s="140" customFormat="1">
      <c r="A23" s="1102"/>
      <c r="B23" s="1108"/>
      <c r="C23" s="1108"/>
      <c r="D23" s="1102"/>
      <c r="E23" s="1102"/>
    </row>
    <row r="24" spans="1:5" s="140" customFormat="1" hidden="1">
      <c r="A24" s="1102"/>
      <c r="B24" s="881"/>
      <c r="C24" s="881"/>
      <c r="D24" s="1102"/>
      <c r="E24" s="1102"/>
    </row>
    <row r="25" spans="1:5" s="140" customFormat="1" hidden="1">
      <c r="A25" s="1102"/>
      <c r="B25" s="874"/>
      <c r="C25" s="874"/>
      <c r="D25" s="1102"/>
      <c r="E25" s="1102"/>
    </row>
    <row r="26" spans="1:5" s="140" customFormat="1" hidden="1">
      <c r="A26" s="1102"/>
      <c r="B26" s="874"/>
      <c r="C26" s="874"/>
      <c r="D26" s="1102"/>
      <c r="E26" s="1102"/>
    </row>
    <row r="27" spans="1:5" ht="15.75" hidden="1">
      <c r="B27" s="874"/>
      <c r="C27" s="874"/>
    </row>
    <row r="28" spans="1:5" hidden="1">
      <c r="B28" s="142"/>
      <c r="C28" s="142"/>
    </row>
    <row r="29" spans="1:5" ht="15.75" hidden="1">
      <c r="B29" s="874"/>
      <c r="C29" s="874"/>
    </row>
    <row r="30" spans="1:5" ht="15.75" hidden="1">
      <c r="B30" s="874"/>
      <c r="C30" s="874"/>
    </row>
    <row r="31" spans="1:5" ht="15.75" hidden="1">
      <c r="B31" s="874"/>
      <c r="C31" s="874"/>
    </row>
    <row r="32" spans="1:5" ht="15.75" hidden="1">
      <c r="B32" s="874"/>
      <c r="C32" s="874"/>
    </row>
    <row r="33" spans="2:3" ht="15.75" hidden="1">
      <c r="B33" s="874"/>
      <c r="C33" s="874"/>
    </row>
    <row r="34" spans="2:3" ht="15.75" hidden="1">
      <c r="B34" s="874"/>
      <c r="C34" s="874"/>
    </row>
    <row r="35" spans="2:3" ht="15.75" hidden="1">
      <c r="B35" s="874"/>
      <c r="C35" s="874"/>
    </row>
    <row r="36" spans="2:3" ht="15.75" hidden="1">
      <c r="B36" s="874"/>
      <c r="C36" s="874"/>
    </row>
    <row r="37" spans="2:3" ht="15.75" hidden="1">
      <c r="B37" s="874"/>
      <c r="C37" s="874"/>
    </row>
    <row r="38" spans="2:3" ht="15.75" hidden="1">
      <c r="B38" s="874"/>
      <c r="C38" s="874"/>
    </row>
    <row r="39" spans="2:3" hidden="1">
      <c r="B39" s="142"/>
      <c r="C39" s="142"/>
    </row>
    <row r="40" spans="2:3" hidden="1">
      <c r="B40" s="142"/>
      <c r="C40" s="142"/>
    </row>
    <row r="41" spans="2:3" hidden="1">
      <c r="B41" s="142"/>
      <c r="C41" s="142"/>
    </row>
    <row r="42" spans="2:3" hidden="1">
      <c r="B42" s="142"/>
      <c r="C42" s="142"/>
    </row>
    <row r="43" spans="2:3" hidden="1">
      <c r="B43" s="142"/>
      <c r="C43" s="142"/>
    </row>
    <row r="44" spans="2:3" hidden="1">
      <c r="B44" s="142"/>
      <c r="C44" s="142"/>
    </row>
  </sheetData>
  <sheetProtection password="B61E" sheet="1" objects="1" scenarios="1"/>
  <mergeCells count="3">
    <mergeCell ref="B14:B16"/>
    <mergeCell ref="B18:C18"/>
    <mergeCell ref="B12:C13"/>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2609" r:id="rId4" name="CommandButtonReturn">
          <controlPr defaultSize="0" autoLine="0" r:id="rId5">
            <anchor moveWithCells="1">
              <from>
                <xdr:col>0</xdr:col>
                <xdr:colOff>85725</xdr:colOff>
                <xdr:row>3</xdr:row>
                <xdr:rowOff>0</xdr:rowOff>
              </from>
              <to>
                <xdr:col>0</xdr:col>
                <xdr:colOff>647700</xdr:colOff>
                <xdr:row>14</xdr:row>
                <xdr:rowOff>142875</xdr:rowOff>
              </to>
            </anchor>
          </controlPr>
        </control>
      </mc:Choice>
      <mc:Fallback>
        <control shapeId="6212609" r:id="rId4" name="CommandButtonReturn"/>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48"/>
  <sheetViews>
    <sheetView workbookViewId="0"/>
  </sheetViews>
  <sheetFormatPr defaultColWidth="0" defaultRowHeight="15" zeroHeight="1"/>
  <cols>
    <col min="1" max="1" width="12.140625" style="1101" customWidth="1"/>
    <col min="2" max="2" width="39.7109375" style="1101" customWidth="1"/>
    <col min="3" max="3" width="84.7109375" style="1101" customWidth="1"/>
    <col min="4" max="5" width="9.140625" style="1101" customWidth="1"/>
    <col min="6" max="16384" width="9.140625" style="1101" hidden="1"/>
  </cols>
  <sheetData>
    <row r="1" spans="1:5"/>
    <row r="2" spans="1:5" s="1102" customFormat="1" ht="26.25">
      <c r="B2" s="1106" t="s">
        <v>593</v>
      </c>
      <c r="C2" s="1101"/>
    </row>
    <row r="3" spans="1:5" s="140" customFormat="1">
      <c r="A3" s="1102"/>
      <c r="B3" s="875" t="s">
        <v>581</v>
      </c>
      <c r="C3" s="875" t="s">
        <v>582</v>
      </c>
      <c r="D3" s="1102"/>
      <c r="E3" s="1102"/>
    </row>
    <row r="4" spans="1:5" s="140" customFormat="1" ht="25.5">
      <c r="A4" s="1102"/>
      <c r="B4" s="868" t="s">
        <v>594</v>
      </c>
      <c r="C4" s="868" t="s">
        <v>595</v>
      </c>
      <c r="D4" s="1102"/>
      <c r="E4" s="1102"/>
    </row>
    <row r="5" spans="1:5" s="140" customFormat="1" ht="25.5">
      <c r="A5" s="1102"/>
      <c r="B5" s="869" t="s">
        <v>557</v>
      </c>
      <c r="C5" s="869"/>
      <c r="D5" s="1102"/>
      <c r="E5" s="1102"/>
    </row>
    <row r="6" spans="1:5" s="140" customFormat="1" ht="25.5">
      <c r="A6" s="1102"/>
      <c r="B6" s="870" t="s">
        <v>585</v>
      </c>
      <c r="C6" s="870" t="s">
        <v>596</v>
      </c>
      <c r="D6" s="1102"/>
      <c r="E6" s="1102"/>
    </row>
    <row r="7" spans="1:5" s="140" customFormat="1" ht="25.5">
      <c r="A7" s="1102"/>
      <c r="B7" s="868" t="s">
        <v>1476</v>
      </c>
      <c r="C7" s="868" t="s">
        <v>597</v>
      </c>
      <c r="D7" s="1102"/>
      <c r="E7" s="1102"/>
    </row>
    <row r="8" spans="1:5" s="140" customFormat="1" ht="25.5">
      <c r="A8" s="1102"/>
      <c r="B8" s="868" t="s">
        <v>1499</v>
      </c>
      <c r="C8" s="868" t="s">
        <v>632</v>
      </c>
      <c r="D8" s="1102"/>
      <c r="E8" s="1102"/>
    </row>
    <row r="9" spans="1:5" s="140" customFormat="1" ht="38.25">
      <c r="A9" s="1102"/>
      <c r="B9" s="868" t="s">
        <v>1504</v>
      </c>
      <c r="C9" s="868" t="s">
        <v>633</v>
      </c>
      <c r="D9" s="1102"/>
      <c r="E9" s="1102"/>
    </row>
    <row r="10" spans="1:5" s="140" customFormat="1">
      <c r="A10" s="1102"/>
      <c r="B10" s="868"/>
      <c r="C10" s="868"/>
      <c r="D10" s="1102"/>
      <c r="E10" s="1102"/>
    </row>
    <row r="11" spans="1:5" s="140" customFormat="1">
      <c r="A11" s="1102"/>
      <c r="B11" s="1110" t="s">
        <v>1505</v>
      </c>
      <c r="C11" s="1110" t="s">
        <v>553</v>
      </c>
      <c r="D11" s="1102"/>
      <c r="E11" s="1102"/>
    </row>
    <row r="12" spans="1:5" s="140" customFormat="1">
      <c r="A12" s="1102"/>
      <c r="B12" s="1111"/>
      <c r="C12" s="1111"/>
      <c r="D12" s="1102"/>
      <c r="E12" s="1102"/>
    </row>
    <row r="13" spans="1:5" s="140" customFormat="1">
      <c r="A13" s="1102"/>
      <c r="B13" s="1113" t="s">
        <v>1506</v>
      </c>
      <c r="C13" s="1114"/>
      <c r="D13" s="1102"/>
      <c r="E13" s="1102"/>
    </row>
    <row r="14" spans="1:5" s="140" customFormat="1" ht="15.75" thickBot="1">
      <c r="A14" s="1102"/>
      <c r="B14" s="1115"/>
      <c r="C14" s="1115"/>
      <c r="D14" s="1102"/>
      <c r="E14" s="1102"/>
    </row>
    <row r="15" spans="1:5" s="140" customFormat="1" ht="15.75" customHeight="1">
      <c r="A15" s="1102"/>
      <c r="B15" s="2828" t="s">
        <v>1482</v>
      </c>
      <c r="C15" s="2829"/>
      <c r="D15" s="1102"/>
      <c r="E15" s="1102"/>
    </row>
    <row r="16" spans="1:5" s="140" customFormat="1" ht="15.75" thickBot="1">
      <c r="A16" s="1102"/>
      <c r="B16" s="2832"/>
      <c r="C16" s="2833"/>
      <c r="D16" s="1102"/>
      <c r="E16" s="1102"/>
    </row>
    <row r="17" spans="1:5" s="140" customFormat="1">
      <c r="A17" s="1102"/>
      <c r="B17" s="2823" t="s">
        <v>593</v>
      </c>
      <c r="C17" s="858" t="s">
        <v>1507</v>
      </c>
      <c r="D17" s="1102"/>
      <c r="E17" s="1102"/>
    </row>
    <row r="18" spans="1:5" s="140" customFormat="1" ht="15.75" thickBot="1">
      <c r="A18" s="1102"/>
      <c r="B18" s="2825"/>
      <c r="C18" s="876" t="s">
        <v>1508</v>
      </c>
      <c r="D18" s="1102"/>
      <c r="E18" s="1102"/>
    </row>
    <row r="19" spans="1:5" s="140" customFormat="1" ht="15.75" thickBot="1">
      <c r="A19" s="1102"/>
      <c r="B19" s="1109"/>
      <c r="C19" s="1109"/>
      <c r="D19" s="1102"/>
      <c r="E19" s="1102"/>
    </row>
    <row r="20" spans="1:5" s="140" customFormat="1" ht="15.75" thickBot="1">
      <c r="A20" s="1102"/>
      <c r="B20" s="2826" t="s">
        <v>1489</v>
      </c>
      <c r="C20" s="2827"/>
      <c r="D20" s="1102"/>
      <c r="E20" s="1102"/>
    </row>
    <row r="21" spans="1:5" s="1102" customFormat="1">
      <c r="B21" s="1107"/>
      <c r="C21" s="1107"/>
    </row>
    <row r="22" spans="1:5" s="1102" customFormat="1">
      <c r="B22" s="1108"/>
      <c r="C22" s="1108"/>
    </row>
    <row r="23" spans="1:5" s="1102" customFormat="1">
      <c r="B23" s="1108"/>
      <c r="C23" s="1108"/>
    </row>
    <row r="24" spans="1:5" s="1102" customFormat="1">
      <c r="B24" s="1108"/>
      <c r="C24" s="1108"/>
    </row>
    <row r="25" spans="1:5" s="1102" customFormat="1">
      <c r="B25" s="1108"/>
      <c r="C25" s="1108"/>
    </row>
    <row r="26" spans="1:5" s="1102" customFormat="1" hidden="1">
      <c r="B26" s="1101"/>
      <c r="C26" s="1101"/>
    </row>
    <row r="27" spans="1:5" s="1102" customFormat="1" hidden="1">
      <c r="B27" s="1104"/>
      <c r="C27" s="1104"/>
    </row>
    <row r="28" spans="1:5" ht="15.75" hidden="1">
      <c r="B28" s="1104"/>
      <c r="C28" s="1104"/>
    </row>
    <row r="29" spans="1:5" ht="15.75" hidden="1">
      <c r="B29" s="1104"/>
      <c r="C29" s="1104"/>
    </row>
    <row r="30" spans="1:5" ht="15.75" hidden="1">
      <c r="B30" s="1104"/>
      <c r="C30" s="1104"/>
    </row>
    <row r="31" spans="1:5" ht="15.75" hidden="1">
      <c r="B31" s="1104"/>
      <c r="C31" s="1104"/>
    </row>
    <row r="32" spans="1:5" ht="15.75" hidden="1">
      <c r="B32" s="1104"/>
      <c r="C32" s="1104"/>
    </row>
    <row r="33" spans="2:3" ht="15.75" hidden="1">
      <c r="B33" s="1104"/>
      <c r="C33" s="1104"/>
    </row>
    <row r="34" spans="2:3" ht="15.75" hidden="1">
      <c r="B34" s="1104"/>
      <c r="C34" s="1104"/>
    </row>
    <row r="35" spans="2:3" ht="15.75" hidden="1">
      <c r="B35" s="1104"/>
      <c r="C35" s="1104"/>
    </row>
    <row r="36" spans="2:3" ht="15.75" hidden="1">
      <c r="B36" s="1104"/>
      <c r="C36" s="1104"/>
    </row>
    <row r="37" spans="2:3" hidden="1"/>
    <row r="38" spans="2:3" hidden="1"/>
    <row r="39" spans="2:3" hidden="1"/>
    <row r="40" spans="2:3" hidden="1"/>
    <row r="41" spans="2:3" hidden="1"/>
    <row r="42" spans="2:3" hidden="1"/>
    <row r="43" spans="2:3" hidden="1"/>
    <row r="44" spans="2:3" hidden="1"/>
    <row r="45" spans="2:3" hidden="1"/>
    <row r="46" spans="2:3" hidden="1"/>
    <row r="47" spans="2:3" hidden="1"/>
    <row r="48" spans="2:3" hidden="1"/>
  </sheetData>
  <sheetProtection password="B61E" sheet="1" objects="1" scenarios="1"/>
  <mergeCells count="3">
    <mergeCell ref="B17:B18"/>
    <mergeCell ref="B20:C20"/>
    <mergeCell ref="B15:C16"/>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3633" r:id="rId4" name="CommandButtonReturn">
          <controlPr defaultSize="0" autoLine="0" r:id="rId5">
            <anchor moveWithCells="1">
              <from>
                <xdr:col>0</xdr:col>
                <xdr:colOff>104775</xdr:colOff>
                <xdr:row>4</xdr:row>
                <xdr:rowOff>0</xdr:rowOff>
              </from>
              <to>
                <xdr:col>0</xdr:col>
                <xdr:colOff>666750</xdr:colOff>
                <xdr:row>16</xdr:row>
                <xdr:rowOff>104775</xdr:rowOff>
              </to>
            </anchor>
          </controlPr>
        </control>
      </mc:Choice>
      <mc:Fallback>
        <control shapeId="6213633" r:id="rId4" name="CommandButtonReturn"/>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43"/>
  <sheetViews>
    <sheetView workbookViewId="0"/>
  </sheetViews>
  <sheetFormatPr defaultColWidth="0" defaultRowHeight="15" zeroHeight="1"/>
  <cols>
    <col min="1" max="1" width="11" style="1101" customWidth="1"/>
    <col min="2" max="2" width="39.7109375" style="139" customWidth="1"/>
    <col min="3" max="3" width="84.7109375" style="139" customWidth="1"/>
    <col min="4" max="5" width="9.140625" style="1101" customWidth="1"/>
    <col min="6" max="16384" width="9.140625" style="139" hidden="1"/>
  </cols>
  <sheetData>
    <row r="1" spans="1:5" s="1101" customFormat="1"/>
    <row r="2" spans="1:5" s="1102" customFormat="1" ht="26.25">
      <c r="B2" s="1105" t="s">
        <v>641</v>
      </c>
      <c r="C2" s="1101"/>
    </row>
    <row r="3" spans="1:5" s="140" customFormat="1">
      <c r="A3" s="1102"/>
      <c r="B3" s="877" t="s">
        <v>581</v>
      </c>
      <c r="C3" s="877" t="s">
        <v>582</v>
      </c>
      <c r="D3" s="1102"/>
      <c r="E3" s="1102"/>
    </row>
    <row r="4" spans="1:5" s="140" customFormat="1">
      <c r="A4" s="1102"/>
      <c r="B4" s="878" t="s">
        <v>642</v>
      </c>
      <c r="C4" s="878" t="s">
        <v>643</v>
      </c>
      <c r="D4" s="1102"/>
      <c r="E4" s="1102"/>
    </row>
    <row r="5" spans="1:5" s="140" customFormat="1" ht="38.25">
      <c r="A5" s="1102"/>
      <c r="B5" s="868" t="s">
        <v>1509</v>
      </c>
      <c r="C5" s="868" t="s">
        <v>644</v>
      </c>
      <c r="D5" s="1102"/>
      <c r="E5" s="1102"/>
    </row>
    <row r="6" spans="1:5" s="140" customFormat="1" ht="38.25">
      <c r="A6" s="1102"/>
      <c r="B6" s="868" t="s">
        <v>1510</v>
      </c>
      <c r="C6" s="868" t="s">
        <v>645</v>
      </c>
      <c r="D6" s="1102"/>
      <c r="E6" s="1102"/>
    </row>
    <row r="7" spans="1:5" s="140" customFormat="1" ht="51">
      <c r="A7" s="1102"/>
      <c r="B7" s="868" t="s">
        <v>1511</v>
      </c>
      <c r="C7" s="868" t="s">
        <v>646</v>
      </c>
      <c r="D7" s="1102"/>
      <c r="E7" s="1102"/>
    </row>
    <row r="8" spans="1:5" s="140" customFormat="1" ht="51">
      <c r="A8" s="1102"/>
      <c r="B8" s="868" t="s">
        <v>1512</v>
      </c>
      <c r="C8" s="868" t="s">
        <v>647</v>
      </c>
      <c r="D8" s="1102"/>
      <c r="E8" s="1102"/>
    </row>
    <row r="9" spans="1:5" s="140" customFormat="1">
      <c r="A9" s="1102"/>
      <c r="B9" s="868"/>
      <c r="C9" s="868"/>
      <c r="D9" s="1102"/>
      <c r="E9" s="1102"/>
    </row>
    <row r="10" spans="1:5" s="140" customFormat="1">
      <c r="A10" s="1102"/>
      <c r="B10" s="1110" t="s">
        <v>1505</v>
      </c>
      <c r="C10" s="1110" t="s">
        <v>553</v>
      </c>
      <c r="D10" s="1102"/>
      <c r="E10" s="1102"/>
    </row>
    <row r="11" spans="1:5" s="140" customFormat="1">
      <c r="A11" s="1102"/>
      <c r="B11" s="1111"/>
      <c r="C11" s="1111"/>
      <c r="D11" s="1102"/>
      <c r="E11" s="1102"/>
    </row>
    <row r="12" spans="1:5" s="140" customFormat="1">
      <c r="A12" s="1102"/>
      <c r="B12" s="1113" t="s">
        <v>1506</v>
      </c>
      <c r="C12" s="1114"/>
      <c r="D12" s="1102"/>
      <c r="E12" s="1102"/>
    </row>
    <row r="13" spans="1:5" s="140" customFormat="1" ht="15.75" thickBot="1">
      <c r="A13" s="1102"/>
      <c r="B13" s="1115"/>
      <c r="C13" s="1115"/>
      <c r="D13" s="1102"/>
      <c r="E13" s="1102"/>
    </row>
    <row r="14" spans="1:5" s="140" customFormat="1" ht="15.75" customHeight="1">
      <c r="A14" s="1102"/>
      <c r="B14" s="2834" t="s">
        <v>1482</v>
      </c>
      <c r="C14" s="2835"/>
      <c r="D14" s="1102"/>
      <c r="E14" s="1102"/>
    </row>
    <row r="15" spans="1:5" s="140" customFormat="1" ht="15.75" thickBot="1">
      <c r="A15" s="1102"/>
      <c r="B15" s="2836"/>
      <c r="C15" s="2837"/>
      <c r="D15" s="1102"/>
      <c r="E15" s="1102"/>
    </row>
    <row r="16" spans="1:5" s="140" customFormat="1">
      <c r="A16" s="1102"/>
      <c r="B16" s="2823" t="s">
        <v>1513</v>
      </c>
      <c r="C16" s="873" t="s">
        <v>1514</v>
      </c>
      <c r="D16" s="1102"/>
      <c r="E16" s="1102"/>
    </row>
    <row r="17" spans="1:5" s="140" customFormat="1">
      <c r="A17" s="1102"/>
      <c r="B17" s="2824"/>
      <c r="C17" s="859" t="s">
        <v>1515</v>
      </c>
      <c r="D17" s="1102"/>
      <c r="E17" s="1102"/>
    </row>
    <row r="18" spans="1:5" s="140" customFormat="1" ht="26.25" thickBot="1">
      <c r="A18" s="1102"/>
      <c r="B18" s="2825"/>
      <c r="C18" s="861" t="s">
        <v>1516</v>
      </c>
      <c r="D18" s="1102"/>
      <c r="E18" s="1102"/>
    </row>
    <row r="19" spans="1:5" s="140" customFormat="1" ht="15.75" thickBot="1">
      <c r="A19" s="1102"/>
      <c r="B19" s="1109"/>
      <c r="C19" s="1109"/>
      <c r="D19" s="1102"/>
      <c r="E19" s="1102"/>
    </row>
    <row r="20" spans="1:5" s="140" customFormat="1" ht="15.75" thickBot="1">
      <c r="A20" s="1102"/>
      <c r="B20" s="2826" t="s">
        <v>1489</v>
      </c>
      <c r="C20" s="2827"/>
      <c r="D20" s="1102"/>
      <c r="E20" s="1102"/>
    </row>
    <row r="21" spans="1:5" s="1102" customFormat="1">
      <c r="B21" s="1107"/>
      <c r="C21" s="1107"/>
    </row>
    <row r="22" spans="1:5" s="1102" customFormat="1">
      <c r="B22" s="1108"/>
      <c r="C22" s="1108"/>
    </row>
    <row r="23" spans="1:5" s="1102" customFormat="1">
      <c r="B23" s="1108"/>
      <c r="C23" s="1108"/>
    </row>
    <row r="24" spans="1:5" s="1102" customFormat="1">
      <c r="B24" s="1108"/>
      <c r="C24" s="1108"/>
    </row>
    <row r="25" spans="1:5" s="1102" customFormat="1">
      <c r="B25" s="1108"/>
      <c r="C25" s="1108"/>
    </row>
    <row r="26" spans="1:5" s="140" customFormat="1" hidden="1">
      <c r="A26" s="1102"/>
      <c r="B26" s="881"/>
      <c r="C26" s="881"/>
      <c r="D26" s="1102"/>
      <c r="E26" s="1102"/>
    </row>
    <row r="27" spans="1:5" s="140" customFormat="1" hidden="1">
      <c r="A27" s="1102"/>
      <c r="B27" s="874"/>
      <c r="C27" s="874"/>
      <c r="D27" s="1102"/>
      <c r="E27" s="1102"/>
    </row>
    <row r="28" spans="1:5" hidden="1">
      <c r="B28" s="142"/>
      <c r="C28" s="142"/>
    </row>
    <row r="29" spans="1:5" ht="15.75" hidden="1">
      <c r="B29" s="874"/>
      <c r="C29" s="874"/>
    </row>
    <row r="30" spans="1:5" ht="15.75" hidden="1">
      <c r="B30" s="874"/>
      <c r="C30" s="874"/>
    </row>
    <row r="31" spans="1:5" ht="15.75" hidden="1">
      <c r="B31" s="874"/>
      <c r="C31" s="874"/>
    </row>
    <row r="32" spans="1:5" ht="15.75" hidden="1">
      <c r="B32" s="874"/>
      <c r="C32" s="874"/>
    </row>
    <row r="33" spans="2:3" ht="15.75" hidden="1">
      <c r="B33" s="874"/>
      <c r="C33" s="874"/>
    </row>
    <row r="34" spans="2:3" ht="15.75" hidden="1">
      <c r="B34" s="874"/>
      <c r="C34" s="874"/>
    </row>
    <row r="35" spans="2:3" ht="15.75" hidden="1">
      <c r="B35" s="874"/>
      <c r="C35" s="874"/>
    </row>
    <row r="36" spans="2:3" ht="15.75" hidden="1">
      <c r="B36" s="874"/>
      <c r="C36" s="874"/>
    </row>
    <row r="37" spans="2:3" ht="15.75" hidden="1">
      <c r="B37" s="874"/>
      <c r="C37" s="874"/>
    </row>
    <row r="38" spans="2:3" ht="15.75" hidden="1">
      <c r="B38" s="874"/>
      <c r="C38" s="874"/>
    </row>
    <row r="39" spans="2:3" hidden="1">
      <c r="B39" s="142"/>
      <c r="C39" s="142"/>
    </row>
    <row r="40" spans="2:3" hidden="1">
      <c r="B40" s="142"/>
      <c r="C40" s="142"/>
    </row>
    <row r="41" spans="2:3" hidden="1">
      <c r="B41" s="142"/>
      <c r="C41" s="142"/>
    </row>
    <row r="42" spans="2:3" hidden="1">
      <c r="B42" s="142"/>
      <c r="C42" s="142"/>
    </row>
    <row r="43" spans="2:3" hidden="1">
      <c r="B43" s="142"/>
      <c r="C43" s="142"/>
    </row>
  </sheetData>
  <sheetProtection password="B61E" sheet="1" objects="1" scenarios="1"/>
  <mergeCells count="3">
    <mergeCell ref="B16:B18"/>
    <mergeCell ref="B20:C20"/>
    <mergeCell ref="B14:C15"/>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4657" r:id="rId4" name="CommandButtonReturn">
          <controlPr defaultSize="0" autoLine="0" r:id="rId5">
            <anchor moveWithCells="1">
              <from>
                <xdr:col>0</xdr:col>
                <xdr:colOff>47625</xdr:colOff>
                <xdr:row>3</xdr:row>
                <xdr:rowOff>9525</xdr:rowOff>
              </from>
              <to>
                <xdr:col>0</xdr:col>
                <xdr:colOff>609600</xdr:colOff>
                <xdr:row>18</xdr:row>
                <xdr:rowOff>28575</xdr:rowOff>
              </to>
            </anchor>
          </controlPr>
        </control>
      </mc:Choice>
      <mc:Fallback>
        <control shapeId="6214657" r:id="rId4" name="CommandButtonReturn"/>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49"/>
  <sheetViews>
    <sheetView workbookViewId="0"/>
  </sheetViews>
  <sheetFormatPr defaultColWidth="0" defaultRowHeight="15" zeroHeight="1"/>
  <cols>
    <col min="1" max="1" width="12.140625" style="1101" customWidth="1"/>
    <col min="2" max="2" width="39.7109375" style="1101" customWidth="1"/>
    <col min="3" max="3" width="84.7109375" style="1101" customWidth="1"/>
    <col min="4" max="5" width="9.140625" style="1101" customWidth="1"/>
    <col min="6" max="16384" width="9.140625" style="1101" hidden="1"/>
  </cols>
  <sheetData>
    <row r="1" spans="1:5"/>
    <row r="2" spans="1:5" s="1102" customFormat="1" ht="26.25">
      <c r="B2" s="1105" t="s">
        <v>966</v>
      </c>
      <c r="C2" s="1101"/>
    </row>
    <row r="3" spans="1:5" s="140" customFormat="1">
      <c r="A3" s="1102"/>
      <c r="B3" s="879" t="s">
        <v>581</v>
      </c>
      <c r="C3" s="879" t="s">
        <v>582</v>
      </c>
      <c r="D3" s="1102"/>
      <c r="E3" s="1102"/>
    </row>
    <row r="4" spans="1:5" s="140" customFormat="1" ht="51">
      <c r="A4" s="1102"/>
      <c r="B4" s="868" t="s">
        <v>1517</v>
      </c>
      <c r="C4" s="868" t="s">
        <v>648</v>
      </c>
      <c r="D4" s="1102"/>
      <c r="E4" s="1102"/>
    </row>
    <row r="5" spans="1:5" s="140" customFormat="1" ht="51">
      <c r="A5" s="1102"/>
      <c r="B5" s="868" t="s">
        <v>1518</v>
      </c>
      <c r="C5" s="868" t="s">
        <v>649</v>
      </c>
      <c r="D5" s="1102"/>
      <c r="E5" s="1102"/>
    </row>
    <row r="6" spans="1:5" s="140" customFormat="1" ht="38.25">
      <c r="A6" s="1102"/>
      <c r="B6" s="868" t="s">
        <v>1519</v>
      </c>
      <c r="C6" s="868" t="s">
        <v>1520</v>
      </c>
      <c r="D6" s="1102"/>
      <c r="E6" s="1102"/>
    </row>
    <row r="7" spans="1:5" s="140" customFormat="1" ht="25.5">
      <c r="A7" s="1102"/>
      <c r="B7" s="868" t="s">
        <v>650</v>
      </c>
      <c r="C7" s="868" t="s">
        <v>651</v>
      </c>
      <c r="D7" s="1102"/>
      <c r="E7" s="1102"/>
    </row>
    <row r="8" spans="1:5" s="140" customFormat="1" ht="25.5">
      <c r="A8" s="1102"/>
      <c r="B8" s="868" t="s">
        <v>1521</v>
      </c>
      <c r="C8" s="868" t="s">
        <v>652</v>
      </c>
      <c r="D8" s="1102"/>
      <c r="E8" s="1102"/>
    </row>
    <row r="9" spans="1:5" s="140" customFormat="1">
      <c r="A9" s="1102"/>
      <c r="B9" s="868"/>
      <c r="C9" s="868"/>
      <c r="D9" s="1102"/>
      <c r="E9" s="1102"/>
    </row>
    <row r="10" spans="1:5" s="140" customFormat="1">
      <c r="A10" s="1102"/>
      <c r="B10" s="880" t="s">
        <v>957</v>
      </c>
      <c r="C10" s="880" t="s">
        <v>553</v>
      </c>
      <c r="D10" s="1102"/>
      <c r="E10" s="1102"/>
    </row>
    <row r="11" spans="1:5" s="140" customFormat="1" ht="15.75" thickBot="1">
      <c r="A11" s="1102"/>
      <c r="B11" s="1116"/>
      <c r="C11" s="1116"/>
      <c r="D11" s="1102"/>
      <c r="E11" s="1102"/>
    </row>
    <row r="12" spans="1:5" s="140" customFormat="1" ht="15.75" customHeight="1">
      <c r="A12" s="1102"/>
      <c r="B12" s="2834" t="s">
        <v>1482</v>
      </c>
      <c r="C12" s="2835"/>
      <c r="D12" s="1102"/>
      <c r="E12" s="1102"/>
    </row>
    <row r="13" spans="1:5" s="140" customFormat="1" ht="15.75" thickBot="1">
      <c r="A13" s="1102"/>
      <c r="B13" s="2836"/>
      <c r="C13" s="2837"/>
      <c r="D13" s="1102"/>
      <c r="E13" s="1102"/>
    </row>
    <row r="14" spans="1:5" s="140" customFormat="1">
      <c r="A14" s="1102"/>
      <c r="B14" s="2823" t="s">
        <v>1522</v>
      </c>
      <c r="C14" s="873" t="s">
        <v>1515</v>
      </c>
      <c r="D14" s="1102"/>
      <c r="E14" s="1102"/>
    </row>
    <row r="15" spans="1:5" s="140" customFormat="1" ht="25.5">
      <c r="A15" s="1102"/>
      <c r="B15" s="2824"/>
      <c r="C15" s="859" t="s">
        <v>1523</v>
      </c>
      <c r="D15" s="1102"/>
      <c r="E15" s="1102"/>
    </row>
    <row r="16" spans="1:5" s="140" customFormat="1">
      <c r="A16" s="1102"/>
      <c r="B16" s="2824"/>
      <c r="C16" s="859" t="s">
        <v>1524</v>
      </c>
      <c r="D16" s="1102"/>
      <c r="E16" s="1102"/>
    </row>
    <row r="17" spans="1:5" s="140" customFormat="1" ht="25.5">
      <c r="A17" s="1102"/>
      <c r="B17" s="2824"/>
      <c r="C17" s="860" t="s">
        <v>1525</v>
      </c>
      <c r="D17" s="1102"/>
      <c r="E17" s="1102"/>
    </row>
    <row r="18" spans="1:5" s="140" customFormat="1" ht="15.75" thickBot="1">
      <c r="A18" s="1102"/>
      <c r="B18" s="2825"/>
      <c r="C18" s="861" t="s">
        <v>1526</v>
      </c>
      <c r="D18" s="1102"/>
      <c r="E18" s="1102"/>
    </row>
    <row r="19" spans="1:5" s="140" customFormat="1" ht="15.75" thickBot="1">
      <c r="A19" s="1102"/>
      <c r="B19" s="1109"/>
      <c r="C19" s="1109"/>
      <c r="D19" s="1102"/>
      <c r="E19" s="1102"/>
    </row>
    <row r="20" spans="1:5" s="140" customFormat="1" ht="42" customHeight="1" thickBot="1">
      <c r="A20" s="1102"/>
      <c r="B20" s="2826" t="s">
        <v>1489</v>
      </c>
      <c r="C20" s="2827"/>
      <c r="D20" s="1102"/>
      <c r="E20" s="1102"/>
    </row>
    <row r="21" spans="1:5" s="1102" customFormat="1">
      <c r="B21" s="1107"/>
      <c r="C21" s="1107"/>
    </row>
    <row r="22" spans="1:5" s="1102" customFormat="1">
      <c r="B22" s="1108"/>
      <c r="C22" s="1108"/>
    </row>
    <row r="23" spans="1:5" s="1102" customFormat="1">
      <c r="B23" s="1108"/>
      <c r="C23" s="1108"/>
    </row>
    <row r="24" spans="1:5" s="1102" customFormat="1">
      <c r="B24" s="1108"/>
      <c r="C24" s="1108"/>
    </row>
    <row r="25" spans="1:5" s="1102" customFormat="1">
      <c r="B25" s="1108"/>
      <c r="C25" s="1108"/>
    </row>
    <row r="26" spans="1:5" s="1102" customFormat="1" hidden="1">
      <c r="B26" s="1112"/>
      <c r="C26" s="1112"/>
    </row>
    <row r="27" spans="1:5" ht="15.75" hidden="1">
      <c r="B27" s="1104"/>
      <c r="C27" s="1104"/>
    </row>
    <row r="28" spans="1:5" hidden="1"/>
    <row r="29" spans="1:5" ht="15.75" hidden="1">
      <c r="B29" s="1104"/>
      <c r="C29" s="1104"/>
    </row>
    <row r="30" spans="1:5" ht="15.75" hidden="1">
      <c r="B30" s="1104"/>
      <c r="C30" s="1104"/>
    </row>
    <row r="31" spans="1:5" ht="15.75" hidden="1">
      <c r="B31" s="1104"/>
      <c r="C31" s="1104"/>
    </row>
    <row r="32" spans="1:5" ht="15.75" hidden="1">
      <c r="B32" s="1104"/>
      <c r="C32" s="1104"/>
    </row>
    <row r="33" spans="2:3" ht="15.75" hidden="1">
      <c r="B33" s="1104"/>
      <c r="C33" s="1104"/>
    </row>
    <row r="34" spans="2:3" ht="15.75" hidden="1">
      <c r="B34" s="1104"/>
      <c r="C34" s="1104"/>
    </row>
    <row r="35" spans="2:3" ht="15.75" hidden="1">
      <c r="B35" s="1104"/>
      <c r="C35" s="1104"/>
    </row>
    <row r="36" spans="2:3" ht="15.75" hidden="1">
      <c r="B36" s="1104"/>
      <c r="C36" s="1104"/>
    </row>
    <row r="37" spans="2:3" ht="15.75" hidden="1">
      <c r="B37" s="1104"/>
      <c r="C37" s="1104"/>
    </row>
    <row r="38" spans="2:3" ht="15.75" hidden="1">
      <c r="B38" s="1104"/>
      <c r="C38" s="1104"/>
    </row>
    <row r="39" spans="2:3" hidden="1"/>
    <row r="40" spans="2:3" hidden="1"/>
    <row r="41" spans="2:3" hidden="1"/>
    <row r="42" spans="2:3" hidden="1"/>
    <row r="43" spans="2:3" hidden="1"/>
    <row r="44" spans="2:3" hidden="1"/>
    <row r="45" spans="2:3" hidden="1"/>
    <row r="46" spans="2:3" hidden="1"/>
    <row r="47" spans="2:3" hidden="1"/>
    <row r="48" spans="2:3" hidden="1"/>
    <row r="49" hidden="1"/>
  </sheetData>
  <sheetProtection password="B61E" sheet="1" objects="1" scenarios="1"/>
  <mergeCells count="3">
    <mergeCell ref="B14:B18"/>
    <mergeCell ref="B20:C20"/>
    <mergeCell ref="B12:C13"/>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5681" r:id="rId4" name="CommandButtonReturn">
          <controlPr defaultSize="0" autoLine="0" r:id="rId5">
            <anchor moveWithCells="1">
              <from>
                <xdr:col>0</xdr:col>
                <xdr:colOff>123825</xdr:colOff>
                <xdr:row>3</xdr:row>
                <xdr:rowOff>0</xdr:rowOff>
              </from>
              <to>
                <xdr:col>0</xdr:col>
                <xdr:colOff>685800</xdr:colOff>
                <xdr:row>13</xdr:row>
                <xdr:rowOff>38100</xdr:rowOff>
              </to>
            </anchor>
          </controlPr>
        </control>
      </mc:Choice>
      <mc:Fallback>
        <control shapeId="6215681" r:id="rId4" name="CommandButtonReturn"/>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E32"/>
  <sheetViews>
    <sheetView workbookViewId="0"/>
  </sheetViews>
  <sheetFormatPr defaultColWidth="0" defaultRowHeight="15" zeroHeight="1"/>
  <cols>
    <col min="1" max="1" width="12.42578125" style="1101" customWidth="1"/>
    <col min="2" max="2" width="39.7109375" style="1101" customWidth="1"/>
    <col min="3" max="3" width="84.7109375" style="1101" customWidth="1"/>
    <col min="4" max="5" width="9.140625" style="1101" customWidth="1"/>
    <col min="6" max="16384" width="9.140625" style="1101" hidden="1"/>
  </cols>
  <sheetData>
    <row r="1" spans="1:5"/>
    <row r="2" spans="1:5" s="1102" customFormat="1" ht="26.25">
      <c r="B2" s="1105" t="s">
        <v>653</v>
      </c>
      <c r="C2" s="1101"/>
    </row>
    <row r="3" spans="1:5" s="140" customFormat="1">
      <c r="A3" s="1102"/>
      <c r="B3" s="877" t="s">
        <v>581</v>
      </c>
      <c r="C3" s="877" t="s">
        <v>582</v>
      </c>
      <c r="D3" s="1102"/>
      <c r="E3" s="1102"/>
    </row>
    <row r="4" spans="1:5" s="140" customFormat="1">
      <c r="A4" s="1102"/>
      <c r="B4" s="856" t="s">
        <v>1281</v>
      </c>
      <c r="C4" s="856" t="s">
        <v>654</v>
      </c>
      <c r="D4" s="1102"/>
      <c r="E4" s="1102"/>
    </row>
    <row r="5" spans="1:5" s="140" customFormat="1">
      <c r="A5" s="1102"/>
      <c r="B5" s="856" t="s">
        <v>655</v>
      </c>
      <c r="C5" s="856" t="s">
        <v>656</v>
      </c>
      <c r="D5" s="1102"/>
      <c r="E5" s="1102"/>
    </row>
    <row r="6" spans="1:5" s="140" customFormat="1" ht="25.5">
      <c r="A6" s="1102"/>
      <c r="B6" s="868" t="s">
        <v>1527</v>
      </c>
      <c r="C6" s="868" t="s">
        <v>657</v>
      </c>
      <c r="D6" s="1102"/>
      <c r="E6" s="1102"/>
    </row>
    <row r="7" spans="1:5" s="140" customFormat="1" ht="38.25">
      <c r="A7" s="1102"/>
      <c r="B7" s="868" t="s">
        <v>1528</v>
      </c>
      <c r="C7" s="868" t="s">
        <v>658</v>
      </c>
      <c r="D7" s="1102"/>
      <c r="E7" s="1102"/>
    </row>
    <row r="8" spans="1:5" s="140" customFormat="1" ht="25.5">
      <c r="A8" s="1102"/>
      <c r="B8" s="868" t="s">
        <v>1529</v>
      </c>
      <c r="C8" s="868" t="s">
        <v>659</v>
      </c>
      <c r="D8" s="1102"/>
      <c r="E8" s="1102"/>
    </row>
    <row r="9" spans="1:5" s="140" customFormat="1" ht="25.5">
      <c r="A9" s="1102"/>
      <c r="B9" s="868" t="s">
        <v>1530</v>
      </c>
      <c r="C9" s="868" t="s">
        <v>660</v>
      </c>
      <c r="D9" s="1102"/>
      <c r="E9" s="1102"/>
    </row>
    <row r="10" spans="1:5" s="140" customFormat="1" ht="51">
      <c r="A10" s="1102"/>
      <c r="B10" s="868" t="s">
        <v>1531</v>
      </c>
      <c r="C10" s="868" t="s">
        <v>661</v>
      </c>
      <c r="D10" s="1102"/>
      <c r="E10" s="1102"/>
    </row>
    <row r="11" spans="1:5" s="140" customFormat="1" ht="51">
      <c r="A11" s="1102"/>
      <c r="B11" s="868" t="s">
        <v>1532</v>
      </c>
      <c r="C11" s="868" t="s">
        <v>662</v>
      </c>
      <c r="D11" s="1102"/>
      <c r="E11" s="1102"/>
    </row>
    <row r="12" spans="1:5" s="140" customFormat="1" ht="51">
      <c r="A12" s="1102"/>
      <c r="B12" s="868" t="s">
        <v>1533</v>
      </c>
      <c r="C12" s="868" t="s">
        <v>663</v>
      </c>
      <c r="D12" s="1102"/>
      <c r="E12" s="1102"/>
    </row>
    <row r="13" spans="1:5" s="140" customFormat="1">
      <c r="A13" s="1102"/>
      <c r="B13" s="868" t="s">
        <v>664</v>
      </c>
      <c r="C13" s="868" t="s">
        <v>665</v>
      </c>
      <c r="D13" s="1102"/>
      <c r="E13" s="1102"/>
    </row>
    <row r="14" spans="1:5" s="140" customFormat="1" ht="25.5">
      <c r="A14" s="1102"/>
      <c r="B14" s="868" t="s">
        <v>666</v>
      </c>
      <c r="C14" s="868" t="s">
        <v>667</v>
      </c>
      <c r="D14" s="1102"/>
      <c r="E14" s="1102"/>
    </row>
    <row r="15" spans="1:5" s="140" customFormat="1" ht="36" customHeight="1">
      <c r="A15" s="1102"/>
      <c r="B15" s="882" t="s">
        <v>668</v>
      </c>
      <c r="C15" s="868" t="s">
        <v>669</v>
      </c>
      <c r="D15" s="1102"/>
      <c r="E15" s="1102"/>
    </row>
    <row r="16" spans="1:5" s="140" customFormat="1" ht="51">
      <c r="A16" s="1102"/>
      <c r="B16" s="868" t="s">
        <v>670</v>
      </c>
      <c r="C16" s="868" t="s">
        <v>671</v>
      </c>
      <c r="D16" s="1102"/>
      <c r="E16" s="1102"/>
    </row>
    <row r="17" spans="1:5" s="140" customFormat="1">
      <c r="A17" s="1102"/>
      <c r="B17" s="868" t="s">
        <v>1534</v>
      </c>
      <c r="C17" s="868" t="s">
        <v>1535</v>
      </c>
      <c r="D17" s="1102"/>
      <c r="E17" s="1102"/>
    </row>
    <row r="18" spans="1:5" s="140" customFormat="1">
      <c r="A18" s="1102"/>
      <c r="B18" s="868" t="s">
        <v>1536</v>
      </c>
      <c r="C18" s="868" t="s">
        <v>1537</v>
      </c>
      <c r="D18" s="1102"/>
      <c r="E18" s="1102"/>
    </row>
    <row r="19" spans="1:5" s="140" customFormat="1">
      <c r="A19" s="1102"/>
      <c r="B19" s="883" t="s">
        <v>1538</v>
      </c>
      <c r="C19" s="883" t="s">
        <v>672</v>
      </c>
      <c r="D19" s="1102"/>
      <c r="E19" s="1102"/>
    </row>
    <row r="20" spans="1:5" s="1102" customFormat="1" ht="15.75" thickBot="1">
      <c r="B20" s="1101"/>
      <c r="C20" s="1101"/>
    </row>
    <row r="21" spans="1:5" s="140" customFormat="1" ht="15.75" customHeight="1">
      <c r="A21" s="1102"/>
      <c r="B21" s="2834" t="s">
        <v>1482</v>
      </c>
      <c r="C21" s="2835"/>
      <c r="D21" s="1102"/>
      <c r="E21" s="1102"/>
    </row>
    <row r="22" spans="1:5" s="140" customFormat="1" ht="15.75" thickBot="1">
      <c r="A22" s="1102"/>
      <c r="B22" s="2836"/>
      <c r="C22" s="2837"/>
      <c r="D22" s="1102"/>
      <c r="E22" s="1102"/>
    </row>
    <row r="23" spans="1:5" s="140" customFormat="1" ht="25.5">
      <c r="A23" s="1102"/>
      <c r="B23" s="2823" t="s">
        <v>1539</v>
      </c>
      <c r="C23" s="873" t="s">
        <v>1540</v>
      </c>
      <c r="D23" s="1102"/>
      <c r="E23" s="1102"/>
    </row>
    <row r="24" spans="1:5" s="140" customFormat="1" ht="25.5">
      <c r="A24" s="1102"/>
      <c r="B24" s="2824"/>
      <c r="C24" s="859" t="s">
        <v>1541</v>
      </c>
      <c r="D24" s="1102"/>
      <c r="E24" s="1102"/>
    </row>
    <row r="25" spans="1:5" s="140" customFormat="1" ht="15.75" thickBot="1">
      <c r="A25" s="1102"/>
      <c r="B25" s="2825"/>
      <c r="C25" s="861" t="s">
        <v>1542</v>
      </c>
      <c r="D25" s="1102"/>
      <c r="E25" s="1102"/>
    </row>
    <row r="26" spans="1:5" s="1102" customFormat="1" ht="15.75" thickBot="1">
      <c r="B26" s="1101"/>
      <c r="C26" s="1101"/>
    </row>
    <row r="27" spans="1:5" s="140" customFormat="1" ht="32.25" customHeight="1" thickBot="1">
      <c r="A27" s="1102"/>
      <c r="B27" s="2826" t="s">
        <v>1489</v>
      </c>
      <c r="C27" s="2827"/>
      <c r="D27" s="1102"/>
      <c r="E27" s="1102"/>
    </row>
    <row r="28" spans="1:5" s="1102" customFormat="1">
      <c r="B28" s="1101"/>
      <c r="C28" s="1101"/>
    </row>
    <row r="29" spans="1:5"/>
    <row r="30" spans="1:5"/>
    <row r="31" spans="1:5"/>
    <row r="32" spans="1:5"/>
  </sheetData>
  <sheetProtection password="B61E" sheet="1" objects="1" scenarios="1"/>
  <mergeCells count="3">
    <mergeCell ref="B23:B25"/>
    <mergeCell ref="B27:C27"/>
    <mergeCell ref="B21:C22"/>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6705" r:id="rId4" name="CommandButtonReturn">
          <controlPr defaultSize="0" autoLine="0" r:id="rId5">
            <anchor moveWithCells="1">
              <from>
                <xdr:col>0</xdr:col>
                <xdr:colOff>114300</xdr:colOff>
                <xdr:row>5</xdr:row>
                <xdr:rowOff>19050</xdr:rowOff>
              </from>
              <to>
                <xdr:col>0</xdr:col>
                <xdr:colOff>676275</xdr:colOff>
                <xdr:row>23</xdr:row>
                <xdr:rowOff>314325</xdr:rowOff>
              </to>
            </anchor>
          </controlPr>
        </control>
      </mc:Choice>
      <mc:Fallback>
        <control shapeId="6216705" r:id="rId4" name="CommandButtonReturn"/>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E36"/>
  <sheetViews>
    <sheetView workbookViewId="0"/>
  </sheetViews>
  <sheetFormatPr defaultColWidth="0" defaultRowHeight="15" zeroHeight="1"/>
  <cols>
    <col min="1" max="1" width="12.5703125" style="1101" customWidth="1"/>
    <col min="2" max="2" width="39.7109375" style="139" customWidth="1"/>
    <col min="3" max="3" width="84.7109375" style="139" customWidth="1"/>
    <col min="4" max="5" width="9.140625" style="1101" customWidth="1"/>
    <col min="6" max="16384" width="9.140625" style="139" hidden="1"/>
  </cols>
  <sheetData>
    <row r="1" spans="1:5" s="1101" customFormat="1"/>
    <row r="2" spans="1:5" s="1102" customFormat="1" ht="26.25">
      <c r="B2" s="1105" t="s">
        <v>986</v>
      </c>
      <c r="C2" s="1101"/>
    </row>
    <row r="3" spans="1:5" s="141" customFormat="1">
      <c r="A3" s="1103"/>
      <c r="B3" s="877" t="s">
        <v>581</v>
      </c>
      <c r="C3" s="877" t="s">
        <v>582</v>
      </c>
      <c r="D3" s="1103"/>
      <c r="E3" s="1103"/>
    </row>
    <row r="4" spans="1:5" s="141" customFormat="1" ht="38.25">
      <c r="A4" s="1103"/>
      <c r="B4" s="868" t="s">
        <v>1543</v>
      </c>
      <c r="C4" s="868" t="s">
        <v>673</v>
      </c>
      <c r="D4" s="1103"/>
      <c r="E4" s="1103"/>
    </row>
    <row r="5" spans="1:5" s="141" customFormat="1" ht="51">
      <c r="A5" s="1103"/>
      <c r="B5" s="868" t="s">
        <v>1544</v>
      </c>
      <c r="C5" s="868" t="s">
        <v>674</v>
      </c>
      <c r="D5" s="1103"/>
      <c r="E5" s="1103"/>
    </row>
    <row r="6" spans="1:5" s="141" customFormat="1" ht="25.5">
      <c r="A6" s="1103"/>
      <c r="B6" s="868" t="s">
        <v>1518</v>
      </c>
      <c r="C6" s="868" t="s">
        <v>675</v>
      </c>
      <c r="D6" s="1103"/>
      <c r="E6" s="1103"/>
    </row>
    <row r="7" spans="1:5" s="141" customFormat="1" ht="25.5">
      <c r="A7" s="1103"/>
      <c r="B7" s="868" t="s">
        <v>676</v>
      </c>
      <c r="C7" s="868" t="s">
        <v>677</v>
      </c>
      <c r="D7" s="1103"/>
      <c r="E7" s="1103"/>
    </row>
    <row r="8" spans="1:5" s="141" customFormat="1" ht="51">
      <c r="A8" s="1103"/>
      <c r="B8" s="868" t="s">
        <v>1545</v>
      </c>
      <c r="C8" s="868" t="s">
        <v>678</v>
      </c>
      <c r="D8" s="1103"/>
      <c r="E8" s="1103"/>
    </row>
    <row r="9" spans="1:5" s="141" customFormat="1">
      <c r="A9" s="1103"/>
      <c r="B9" s="883" t="s">
        <v>1493</v>
      </c>
      <c r="C9" s="883" t="s">
        <v>679</v>
      </c>
      <c r="D9" s="1103"/>
      <c r="E9" s="1103"/>
    </row>
    <row r="10" spans="1:5" s="140" customFormat="1">
      <c r="A10" s="1102"/>
      <c r="B10" s="881"/>
      <c r="C10" s="881"/>
      <c r="D10" s="1102"/>
      <c r="E10" s="1102"/>
    </row>
    <row r="11" spans="1:5" s="140" customFormat="1" ht="24" customHeight="1">
      <c r="A11" s="1102"/>
      <c r="B11" s="2838" t="s">
        <v>1546</v>
      </c>
      <c r="C11" s="2839"/>
      <c r="D11" s="1102"/>
      <c r="E11" s="1102"/>
    </row>
    <row r="12" spans="1:5" s="140" customFormat="1">
      <c r="A12" s="1102"/>
      <c r="B12" s="877" t="s">
        <v>581</v>
      </c>
      <c r="C12" s="877" t="s">
        <v>582</v>
      </c>
      <c r="D12" s="1102"/>
      <c r="E12" s="1102"/>
    </row>
    <row r="13" spans="1:5" s="140" customFormat="1">
      <c r="A13" s="1102"/>
      <c r="B13" s="2840" t="s">
        <v>1547</v>
      </c>
      <c r="C13" s="2841"/>
      <c r="D13" s="1102"/>
      <c r="E13" s="1102"/>
    </row>
    <row r="14" spans="1:5" s="140" customFormat="1" ht="38.25">
      <c r="A14" s="1102"/>
      <c r="B14" s="884" t="s">
        <v>1548</v>
      </c>
      <c r="C14" s="885" t="s">
        <v>1549</v>
      </c>
      <c r="D14" s="1102"/>
      <c r="E14" s="1102"/>
    </row>
    <row r="15" spans="1:5" s="140" customFormat="1">
      <c r="A15" s="1102"/>
      <c r="B15" s="884" t="s">
        <v>1550</v>
      </c>
      <c r="C15" s="885" t="s">
        <v>1551</v>
      </c>
      <c r="D15" s="1102"/>
      <c r="E15" s="1102"/>
    </row>
    <row r="16" spans="1:5" s="140" customFormat="1" ht="25.5">
      <c r="A16" s="1102"/>
      <c r="B16" s="884" t="s">
        <v>1552</v>
      </c>
      <c r="C16" s="885" t="s">
        <v>1553</v>
      </c>
      <c r="D16" s="1102"/>
      <c r="E16" s="1102"/>
    </row>
    <row r="17" spans="1:5" s="140" customFormat="1" ht="25.5">
      <c r="A17" s="1102"/>
      <c r="B17" s="884" t="s">
        <v>1554</v>
      </c>
      <c r="C17" s="885" t="s">
        <v>1555</v>
      </c>
      <c r="D17" s="1102"/>
      <c r="E17" s="1102"/>
    </row>
    <row r="18" spans="1:5" s="140" customFormat="1" ht="25.5">
      <c r="A18" s="1102"/>
      <c r="B18" s="884" t="s">
        <v>1556</v>
      </c>
      <c r="C18" s="885" t="s">
        <v>1557</v>
      </c>
      <c r="D18" s="1102"/>
      <c r="E18" s="1102"/>
    </row>
    <row r="19" spans="1:5" s="140" customFormat="1" ht="15.75" thickBot="1">
      <c r="A19" s="1102"/>
      <c r="B19" s="886" t="s">
        <v>1558</v>
      </c>
      <c r="C19" s="883" t="s">
        <v>1559</v>
      </c>
      <c r="D19" s="1102"/>
      <c r="E19" s="1102"/>
    </row>
    <row r="20" spans="1:5" s="1102" customFormat="1">
      <c r="B20" s="1118"/>
      <c r="C20" s="1118"/>
    </row>
    <row r="21" spans="1:5" s="1102" customFormat="1">
      <c r="B21" s="1119" t="s">
        <v>1560</v>
      </c>
      <c r="C21" s="1119"/>
    </row>
    <row r="22" spans="1:5" s="1102" customFormat="1" ht="15.75" thickBot="1">
      <c r="B22" s="1120"/>
      <c r="C22" s="1120"/>
    </row>
    <row r="23" spans="1:5" s="140" customFormat="1" ht="15.75" customHeight="1">
      <c r="A23" s="1102"/>
      <c r="B23" s="2834" t="s">
        <v>1482</v>
      </c>
      <c r="C23" s="2835"/>
      <c r="D23" s="1102"/>
      <c r="E23" s="1102"/>
    </row>
    <row r="24" spans="1:5" s="140" customFormat="1" ht="15.75" thickBot="1">
      <c r="A24" s="1102"/>
      <c r="B24" s="2836"/>
      <c r="C24" s="2837"/>
      <c r="D24" s="1102"/>
      <c r="E24" s="1102"/>
    </row>
    <row r="25" spans="1:5" s="140" customFormat="1" ht="25.5">
      <c r="A25" s="1102"/>
      <c r="B25" s="2823" t="s">
        <v>986</v>
      </c>
      <c r="C25" s="873" t="s">
        <v>1561</v>
      </c>
      <c r="D25" s="1102"/>
      <c r="E25" s="1102"/>
    </row>
    <row r="26" spans="1:5" s="140" customFormat="1">
      <c r="A26" s="1102"/>
      <c r="B26" s="2842"/>
      <c r="C26" s="887" t="s">
        <v>1562</v>
      </c>
      <c r="D26" s="1102"/>
      <c r="E26" s="1102"/>
    </row>
    <row r="27" spans="1:5" ht="39" thickBot="1">
      <c r="B27" s="2825"/>
      <c r="C27" s="876" t="s">
        <v>1563</v>
      </c>
    </row>
    <row r="28" spans="1:5" s="1101" customFormat="1" ht="16.5" thickBot="1">
      <c r="B28" s="1117"/>
      <c r="C28" s="1117"/>
    </row>
    <row r="29" spans="1:5" ht="38.25" customHeight="1" thickBot="1">
      <c r="B29" s="2826" t="s">
        <v>1489</v>
      </c>
      <c r="C29" s="2827"/>
    </row>
    <row r="30" spans="1:5" s="1101" customFormat="1" ht="15.75">
      <c r="B30" s="1107"/>
      <c r="C30" s="1107"/>
    </row>
    <row r="31" spans="1:5" s="1101" customFormat="1" ht="15.75">
      <c r="B31" s="1108"/>
      <c r="C31" s="1108"/>
    </row>
    <row r="32" spans="1:5" s="1101" customFormat="1" ht="15.75">
      <c r="B32" s="1108"/>
      <c r="C32" s="1108"/>
    </row>
    <row r="33" spans="2:3" ht="15.75" hidden="1">
      <c r="B33" s="881"/>
      <c r="C33" s="881"/>
    </row>
    <row r="34" spans="2:3" ht="15.75" hidden="1">
      <c r="B34" s="874"/>
      <c r="C34" s="874"/>
    </row>
    <row r="35" spans="2:3" ht="15.75" hidden="1">
      <c r="B35" s="874"/>
      <c r="C35" s="874"/>
    </row>
    <row r="36" spans="2:3" ht="15.75" hidden="1">
      <c r="B36" s="874"/>
      <c r="C36" s="874"/>
    </row>
  </sheetData>
  <sheetProtection password="B61E" sheet="1" objects="1" scenarios="1"/>
  <mergeCells count="5">
    <mergeCell ref="B11:C11"/>
    <mergeCell ref="B13:C13"/>
    <mergeCell ref="B25:B27"/>
    <mergeCell ref="B29:C29"/>
    <mergeCell ref="B23:C24"/>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7729" r:id="rId4" name="CommandButtonReturn">
          <controlPr defaultSize="0" autoLine="0" r:id="rId5">
            <anchor moveWithCells="1">
              <from>
                <xdr:col>0</xdr:col>
                <xdr:colOff>152400</xdr:colOff>
                <xdr:row>3</xdr:row>
                <xdr:rowOff>0</xdr:rowOff>
              </from>
              <to>
                <xdr:col>0</xdr:col>
                <xdr:colOff>714375</xdr:colOff>
                <xdr:row>14</xdr:row>
                <xdr:rowOff>47625</xdr:rowOff>
              </to>
            </anchor>
          </controlPr>
        </control>
      </mc:Choice>
      <mc:Fallback>
        <control shapeId="6217729" r:id="rId4" name="CommandButtonReturn"/>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E60"/>
  <sheetViews>
    <sheetView workbookViewId="0"/>
  </sheetViews>
  <sheetFormatPr defaultColWidth="0" defaultRowHeight="15" zeroHeight="1"/>
  <cols>
    <col min="1" max="1" width="11.85546875" style="1101" customWidth="1"/>
    <col min="2" max="2" width="39.7109375" style="139" customWidth="1"/>
    <col min="3" max="3" width="84.7109375" style="139" customWidth="1"/>
    <col min="4" max="5" width="9.140625" style="1101" customWidth="1"/>
    <col min="6" max="16384" width="9.140625" style="139" hidden="1"/>
  </cols>
  <sheetData>
    <row r="1" spans="1:5" s="1101" customFormat="1"/>
    <row r="2" spans="1:5" s="1102" customFormat="1" ht="26.25">
      <c r="B2" s="1106" t="s">
        <v>680</v>
      </c>
      <c r="C2" s="1101"/>
    </row>
    <row r="3" spans="1:5" s="140" customFormat="1" ht="17.25">
      <c r="A3" s="1102"/>
      <c r="B3" s="888" t="s">
        <v>581</v>
      </c>
      <c r="C3" s="888" t="s">
        <v>582</v>
      </c>
      <c r="D3" s="1102"/>
      <c r="E3" s="1102"/>
    </row>
    <row r="4" spans="1:5" s="140" customFormat="1" ht="65.25">
      <c r="A4" s="1102"/>
      <c r="B4" s="868" t="s">
        <v>1564</v>
      </c>
      <c r="C4" s="868" t="s">
        <v>1565</v>
      </c>
      <c r="D4" s="1102"/>
      <c r="E4" s="1102"/>
    </row>
    <row r="5" spans="1:5" s="140" customFormat="1" ht="25.5">
      <c r="A5" s="1102"/>
      <c r="B5" s="868" t="s">
        <v>995</v>
      </c>
      <c r="C5" s="868" t="s">
        <v>681</v>
      </c>
      <c r="D5" s="1102"/>
      <c r="E5" s="1102"/>
    </row>
    <row r="6" spans="1:5" s="140" customFormat="1" ht="63.75">
      <c r="A6" s="1102"/>
      <c r="B6" s="868" t="s">
        <v>997</v>
      </c>
      <c r="C6" s="868" t="s">
        <v>682</v>
      </c>
      <c r="D6" s="1102"/>
      <c r="E6" s="1102"/>
    </row>
    <row r="7" spans="1:5" s="140" customFormat="1" ht="38.25">
      <c r="A7" s="1102"/>
      <c r="B7" s="868" t="s">
        <v>1566</v>
      </c>
      <c r="C7" s="868" t="s">
        <v>683</v>
      </c>
      <c r="D7" s="1102"/>
      <c r="E7" s="1102"/>
    </row>
    <row r="8" spans="1:5" s="140" customFormat="1" ht="76.5">
      <c r="A8" s="1102"/>
      <c r="B8" s="868" t="s">
        <v>1000</v>
      </c>
      <c r="C8" s="868" t="s">
        <v>684</v>
      </c>
      <c r="D8" s="1102"/>
      <c r="E8" s="1102"/>
    </row>
    <row r="9" spans="1:5" s="140" customFormat="1" ht="51">
      <c r="A9" s="1102"/>
      <c r="B9" s="868" t="s">
        <v>1001</v>
      </c>
      <c r="C9" s="868" t="s">
        <v>685</v>
      </c>
      <c r="D9" s="1102"/>
      <c r="E9" s="1102"/>
    </row>
    <row r="10" spans="1:5" s="140" customFormat="1" ht="25.5">
      <c r="A10" s="1102"/>
      <c r="B10" s="889" t="s">
        <v>686</v>
      </c>
      <c r="C10" s="889" t="s">
        <v>687</v>
      </c>
      <c r="D10" s="1102"/>
      <c r="E10" s="1102"/>
    </row>
    <row r="11" spans="1:5" s="140" customFormat="1">
      <c r="A11" s="1102"/>
      <c r="D11" s="1102"/>
      <c r="E11" s="1102"/>
    </row>
    <row r="12" spans="1:5" s="140" customFormat="1">
      <c r="A12" s="1102"/>
      <c r="D12" s="1102"/>
      <c r="E12" s="1102"/>
    </row>
    <row r="13" spans="1:5" s="140" customFormat="1" ht="26.25">
      <c r="A13" s="1102"/>
      <c r="B13" s="908" t="s">
        <v>1567</v>
      </c>
      <c r="D13" s="1102"/>
      <c r="E13" s="1102"/>
    </row>
    <row r="14" spans="1:5" s="140" customFormat="1">
      <c r="A14" s="1102"/>
      <c r="B14" s="890"/>
      <c r="C14" s="890"/>
      <c r="D14" s="1102"/>
      <c r="E14" s="1102"/>
    </row>
    <row r="15" spans="1:5" s="140" customFormat="1">
      <c r="A15" s="1102"/>
      <c r="B15" s="2843" t="s">
        <v>1568</v>
      </c>
      <c r="C15" s="2844"/>
      <c r="D15" s="1102"/>
      <c r="E15" s="1102"/>
    </row>
    <row r="16" spans="1:5" s="140" customFormat="1" ht="25.5">
      <c r="A16" s="1102"/>
      <c r="B16" s="891" t="s">
        <v>1569</v>
      </c>
      <c r="C16" s="891" t="s">
        <v>1570</v>
      </c>
      <c r="D16" s="1102"/>
      <c r="E16" s="1102"/>
    </row>
    <row r="17" spans="1:5" s="140" customFormat="1">
      <c r="A17" s="1102"/>
      <c r="B17" s="892" t="s">
        <v>279</v>
      </c>
      <c r="C17" s="892" t="s">
        <v>1571</v>
      </c>
      <c r="D17" s="1102"/>
      <c r="E17" s="1102"/>
    </row>
    <row r="18" spans="1:5" s="140" customFormat="1">
      <c r="A18" s="1102"/>
      <c r="B18" s="891" t="s">
        <v>1572</v>
      </c>
      <c r="C18" s="891" t="s">
        <v>1573</v>
      </c>
      <c r="D18" s="1102"/>
      <c r="E18" s="1102"/>
    </row>
    <row r="19" spans="1:5" s="140" customFormat="1">
      <c r="A19" s="1102"/>
      <c r="B19" s="893" t="s">
        <v>42</v>
      </c>
      <c r="C19" s="2845" t="s">
        <v>1574</v>
      </c>
      <c r="D19" s="1102"/>
      <c r="E19" s="1102"/>
    </row>
    <row r="20" spans="1:5" s="140" customFormat="1">
      <c r="A20" s="1102"/>
      <c r="B20" s="894" t="s">
        <v>939</v>
      </c>
      <c r="C20" s="2846"/>
      <c r="D20" s="1102"/>
      <c r="E20" s="1102"/>
    </row>
    <row r="21" spans="1:5" s="140" customFormat="1">
      <c r="A21" s="1102"/>
      <c r="B21" s="895" t="s">
        <v>45</v>
      </c>
      <c r="C21" s="2846"/>
      <c r="D21" s="1102"/>
      <c r="E21" s="1102"/>
    </row>
    <row r="22" spans="1:5" s="140" customFormat="1">
      <c r="A22" s="1102"/>
      <c r="B22" s="895" t="s">
        <v>46</v>
      </c>
      <c r="C22" s="2846"/>
      <c r="D22" s="1102"/>
      <c r="E22" s="1102"/>
    </row>
    <row r="23" spans="1:5" s="140" customFormat="1">
      <c r="A23" s="1102"/>
      <c r="B23" s="896" t="s">
        <v>47</v>
      </c>
      <c r="C23" s="2846"/>
      <c r="D23" s="1102"/>
      <c r="E23" s="1102"/>
    </row>
    <row r="24" spans="1:5" s="140" customFormat="1">
      <c r="A24" s="1102"/>
      <c r="B24" s="896" t="s">
        <v>48</v>
      </c>
      <c r="C24" s="2846"/>
      <c r="D24" s="1102"/>
      <c r="E24" s="1102"/>
    </row>
    <row r="25" spans="1:5">
      <c r="B25" s="896" t="s">
        <v>49</v>
      </c>
      <c r="C25" s="2846"/>
    </row>
    <row r="26" spans="1:5">
      <c r="B26" s="897" t="s">
        <v>50</v>
      </c>
      <c r="C26" s="2846"/>
    </row>
    <row r="27" spans="1:5">
      <c r="B27" s="898" t="s">
        <v>841</v>
      </c>
      <c r="C27" s="2847"/>
    </row>
    <row r="28" spans="1:5">
      <c r="B28" s="899" t="s">
        <v>1575</v>
      </c>
      <c r="C28" s="2848" t="s">
        <v>1576</v>
      </c>
    </row>
    <row r="29" spans="1:5">
      <c r="B29" s="900" t="s">
        <v>123</v>
      </c>
      <c r="C29" s="2849"/>
    </row>
    <row r="30" spans="1:5">
      <c r="B30" s="901" t="s">
        <v>124</v>
      </c>
      <c r="C30" s="2849"/>
    </row>
    <row r="31" spans="1:5">
      <c r="B31" s="901" t="s">
        <v>125</v>
      </c>
      <c r="C31" s="2849"/>
    </row>
    <row r="32" spans="1:5">
      <c r="B32" s="902" t="s">
        <v>45</v>
      </c>
      <c r="C32" s="2849"/>
    </row>
    <row r="33" spans="2:3">
      <c r="B33" s="902" t="s">
        <v>127</v>
      </c>
      <c r="C33" s="2849"/>
    </row>
    <row r="34" spans="2:3">
      <c r="B34" s="902" t="s">
        <v>129</v>
      </c>
      <c r="C34" s="2849"/>
    </row>
    <row r="35" spans="2:3">
      <c r="B35" s="902" t="s">
        <v>319</v>
      </c>
      <c r="C35" s="2849"/>
    </row>
    <row r="36" spans="2:3">
      <c r="B36" s="902" t="s">
        <v>132</v>
      </c>
      <c r="C36" s="2849"/>
    </row>
    <row r="37" spans="2:3">
      <c r="B37" s="902" t="s">
        <v>318</v>
      </c>
      <c r="C37" s="2849"/>
    </row>
    <row r="38" spans="2:3">
      <c r="B38" s="902" t="s">
        <v>320</v>
      </c>
      <c r="C38" s="2849"/>
    </row>
    <row r="39" spans="2:3">
      <c r="B39" s="902" t="s">
        <v>48</v>
      </c>
      <c r="C39" s="2849"/>
    </row>
    <row r="40" spans="2:3">
      <c r="B40" s="903" t="s">
        <v>300</v>
      </c>
      <c r="C40" s="2850"/>
    </row>
    <row r="41" spans="2:3"/>
    <row r="42" spans="2:3" ht="25.5">
      <c r="B42" s="904" t="s">
        <v>1577</v>
      </c>
      <c r="C42" s="905" t="s">
        <v>1578</v>
      </c>
    </row>
    <row r="43" spans="2:3">
      <c r="B43" s="906" t="s">
        <v>1579</v>
      </c>
      <c r="C43" s="2851" t="s">
        <v>1580</v>
      </c>
    </row>
    <row r="44" spans="2:3">
      <c r="B44" s="906" t="s">
        <v>1581</v>
      </c>
      <c r="C44" s="2852"/>
    </row>
    <row r="45" spans="2:3">
      <c r="B45" s="907" t="s">
        <v>1582</v>
      </c>
      <c r="C45" s="2853"/>
    </row>
    <row r="46" spans="2:3" ht="15.75" thickBot="1"/>
    <row r="47" spans="2:3" ht="15.75" customHeight="1">
      <c r="B47" s="2834" t="s">
        <v>1482</v>
      </c>
      <c r="C47" s="2835"/>
    </row>
    <row r="48" spans="2:3" ht="15.75" thickBot="1">
      <c r="B48" s="2836"/>
      <c r="C48" s="2837"/>
    </row>
    <row r="49" spans="2:3">
      <c r="B49" s="2823" t="s">
        <v>1583</v>
      </c>
      <c r="C49" s="873" t="s">
        <v>1584</v>
      </c>
    </row>
    <row r="50" spans="2:3" ht="25.5">
      <c r="B50" s="2824"/>
      <c r="C50" s="859" t="s">
        <v>1585</v>
      </c>
    </row>
    <row r="51" spans="2:3">
      <c r="B51" s="2824"/>
      <c r="C51" s="859" t="s">
        <v>1586</v>
      </c>
    </row>
    <row r="52" spans="2:3" ht="25.5">
      <c r="B52" s="2824"/>
      <c r="C52" s="860" t="s">
        <v>1587</v>
      </c>
    </row>
    <row r="53" spans="2:3">
      <c r="B53" s="2824"/>
      <c r="C53" s="859" t="s">
        <v>1588</v>
      </c>
    </row>
    <row r="54" spans="2:3" ht="25.5">
      <c r="B54" s="2824"/>
      <c r="C54" s="859" t="s">
        <v>1589</v>
      </c>
    </row>
    <row r="55" spans="2:3" ht="26.25" thickBot="1">
      <c r="B55" s="2825"/>
      <c r="C55" s="876" t="s">
        <v>1590</v>
      </c>
    </row>
    <row r="56" spans="2:3" ht="15.75" thickBot="1"/>
    <row r="57" spans="2:3" ht="30.75" customHeight="1" thickBot="1">
      <c r="B57" s="2826" t="s">
        <v>1489</v>
      </c>
      <c r="C57" s="2827"/>
    </row>
    <row r="58" spans="2:3" s="1101" customFormat="1"/>
    <row r="59" spans="2:3" s="1101" customFormat="1"/>
    <row r="60" spans="2:3" s="1101" customFormat="1"/>
  </sheetData>
  <sheetProtection password="B61E" sheet="1" objects="1" scenarios="1"/>
  <mergeCells count="7">
    <mergeCell ref="B57:C57"/>
    <mergeCell ref="B15:C15"/>
    <mergeCell ref="C19:C27"/>
    <mergeCell ref="C28:C40"/>
    <mergeCell ref="C43:C45"/>
    <mergeCell ref="B49:B55"/>
    <mergeCell ref="B47:C48"/>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8753" r:id="rId4" name="CommandButtonReturn">
          <controlPr defaultSize="0" autoLine="0" r:id="rId5">
            <anchor moveWithCells="1">
              <from>
                <xdr:col>0</xdr:col>
                <xdr:colOff>123825</xdr:colOff>
                <xdr:row>3</xdr:row>
                <xdr:rowOff>47625</xdr:rowOff>
              </from>
              <to>
                <xdr:col>0</xdr:col>
                <xdr:colOff>685800</xdr:colOff>
                <xdr:row>17</xdr:row>
                <xdr:rowOff>142875</xdr:rowOff>
              </to>
            </anchor>
          </controlPr>
        </control>
      </mc:Choice>
      <mc:Fallback>
        <control shapeId="6218753" r:id="rId4" name="CommandButtonReturn"/>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E33"/>
  <sheetViews>
    <sheetView workbookViewId="0"/>
  </sheetViews>
  <sheetFormatPr defaultColWidth="0" defaultRowHeight="15" zeroHeight="1"/>
  <cols>
    <col min="1" max="1" width="11.85546875" style="1101" customWidth="1"/>
    <col min="2" max="2" width="39.7109375" style="1101" customWidth="1"/>
    <col min="3" max="3" width="84.7109375" style="1101" customWidth="1"/>
    <col min="4" max="5" width="9.140625" style="1101" customWidth="1"/>
    <col min="6" max="16384" width="9.140625" style="1101" hidden="1"/>
  </cols>
  <sheetData>
    <row r="1" spans="1:5"/>
    <row r="2" spans="1:5" s="1102" customFormat="1" ht="26.25">
      <c r="B2" s="1105" t="s">
        <v>688</v>
      </c>
      <c r="C2" s="1101"/>
    </row>
    <row r="3" spans="1:5" s="141" customFormat="1">
      <c r="A3" s="1103"/>
      <c r="B3" s="909" t="s">
        <v>581</v>
      </c>
      <c r="C3" s="909" t="s">
        <v>582</v>
      </c>
      <c r="D3" s="1103"/>
      <c r="E3" s="1103"/>
    </row>
    <row r="4" spans="1:5" s="140" customFormat="1">
      <c r="A4" s="1102"/>
      <c r="B4" s="910" t="s">
        <v>1297</v>
      </c>
      <c r="C4" s="911" t="s">
        <v>689</v>
      </c>
      <c r="D4" s="1102"/>
      <c r="E4" s="1102"/>
    </row>
    <row r="5" spans="1:5" s="140" customFormat="1" ht="25.5" hidden="1">
      <c r="A5" s="1102"/>
      <c r="B5" s="910" t="s">
        <v>1169</v>
      </c>
      <c r="C5" s="911" t="s">
        <v>690</v>
      </c>
      <c r="D5" s="1102"/>
      <c r="E5" s="1102"/>
    </row>
    <row r="6" spans="1:5" s="141" customFormat="1">
      <c r="A6" s="1103"/>
      <c r="B6" s="910" t="s">
        <v>1162</v>
      </c>
      <c r="C6" s="912" t="s">
        <v>690</v>
      </c>
      <c r="D6" s="1103"/>
      <c r="E6" s="1103"/>
    </row>
    <row r="7" spans="1:5" s="141" customFormat="1">
      <c r="A7" s="1103"/>
      <c r="B7" s="910" t="s">
        <v>1170</v>
      </c>
      <c r="C7" s="912" t="s">
        <v>691</v>
      </c>
      <c r="D7" s="1103"/>
      <c r="E7" s="1103"/>
    </row>
    <row r="8" spans="1:5" s="141" customFormat="1">
      <c r="A8" s="1103"/>
      <c r="B8" s="910" t="s">
        <v>1591</v>
      </c>
      <c r="C8" s="912" t="s">
        <v>692</v>
      </c>
      <c r="D8" s="1103"/>
      <c r="E8" s="1103"/>
    </row>
    <row r="9" spans="1:5" s="141" customFormat="1">
      <c r="A9" s="1103"/>
      <c r="B9" s="910" t="s">
        <v>1592</v>
      </c>
      <c r="C9" s="912" t="s">
        <v>693</v>
      </c>
      <c r="D9" s="1103"/>
      <c r="E9" s="1103"/>
    </row>
    <row r="10" spans="1:5" s="141" customFormat="1">
      <c r="A10" s="1103"/>
      <c r="B10" s="910" t="s">
        <v>1164</v>
      </c>
      <c r="C10" s="912" t="s">
        <v>694</v>
      </c>
      <c r="D10" s="1103"/>
      <c r="E10" s="1103"/>
    </row>
    <row r="11" spans="1:5" s="141" customFormat="1">
      <c r="A11" s="1103"/>
      <c r="B11" s="910" t="s">
        <v>1159</v>
      </c>
      <c r="C11" s="912" t="s">
        <v>695</v>
      </c>
      <c r="D11" s="1103"/>
      <c r="E11" s="1103"/>
    </row>
    <row r="12" spans="1:5" s="141" customFormat="1">
      <c r="A12" s="1103"/>
      <c r="B12" s="910" t="s">
        <v>1593</v>
      </c>
      <c r="C12" s="912" t="s">
        <v>696</v>
      </c>
      <c r="D12" s="1103"/>
      <c r="E12" s="1103"/>
    </row>
    <row r="13" spans="1:5" s="141" customFormat="1" ht="25.5">
      <c r="A13" s="1103"/>
      <c r="B13" s="910" t="s">
        <v>1594</v>
      </c>
      <c r="C13" s="912" t="s">
        <v>697</v>
      </c>
      <c r="D13" s="1103"/>
      <c r="E13" s="1103"/>
    </row>
    <row r="14" spans="1:5" s="141" customFormat="1">
      <c r="A14" s="1103"/>
      <c r="B14" s="910" t="s">
        <v>10</v>
      </c>
      <c r="C14" s="912" t="s">
        <v>698</v>
      </c>
      <c r="D14" s="1103"/>
      <c r="E14" s="1103"/>
    </row>
    <row r="15" spans="1:5" s="141" customFormat="1" ht="25.5">
      <c r="A15" s="1103"/>
      <c r="B15" s="910" t="s">
        <v>11</v>
      </c>
      <c r="C15" s="912" t="s">
        <v>699</v>
      </c>
      <c r="D15" s="1103"/>
      <c r="E15" s="1103"/>
    </row>
    <row r="16" spans="1:5" s="141" customFormat="1">
      <c r="A16" s="1103"/>
      <c r="B16" s="913" t="s">
        <v>1595</v>
      </c>
      <c r="C16" s="913" t="s">
        <v>700</v>
      </c>
      <c r="D16" s="1103"/>
      <c r="E16" s="1103"/>
    </row>
    <row r="17" spans="1:5" s="141" customFormat="1" ht="15.75" thickBot="1">
      <c r="A17" s="1103"/>
      <c r="B17" s="1121" t="s">
        <v>1596</v>
      </c>
      <c r="C17" s="1121" t="s">
        <v>701</v>
      </c>
      <c r="D17" s="1103"/>
      <c r="E17" s="1103"/>
    </row>
    <row r="18" spans="1:5" s="140" customFormat="1" ht="15.75" thickBot="1">
      <c r="A18" s="1102"/>
      <c r="B18" s="1107"/>
      <c r="C18" s="1107"/>
      <c r="D18" s="1102"/>
      <c r="E18" s="1102"/>
    </row>
    <row r="19" spans="1:5" s="140" customFormat="1" ht="15.75" customHeight="1">
      <c r="A19" s="1102"/>
      <c r="B19" s="2834" t="s">
        <v>1482</v>
      </c>
      <c r="C19" s="2835"/>
      <c r="D19" s="1102"/>
      <c r="E19" s="1102"/>
    </row>
    <row r="20" spans="1:5" s="140" customFormat="1" ht="15.75" thickBot="1">
      <c r="A20" s="1102"/>
      <c r="B20" s="2836"/>
      <c r="C20" s="2837"/>
      <c r="D20" s="1102"/>
      <c r="E20" s="1102"/>
    </row>
    <row r="21" spans="1:5" s="140" customFormat="1">
      <c r="A21" s="1102"/>
      <c r="B21" s="914" t="s">
        <v>688</v>
      </c>
      <c r="C21" s="858" t="s">
        <v>1597</v>
      </c>
      <c r="D21" s="1102"/>
      <c r="E21" s="1102"/>
    </row>
    <row r="22" spans="1:5" s="140" customFormat="1">
      <c r="A22" s="1102"/>
      <c r="B22" s="915"/>
      <c r="C22" s="860" t="s">
        <v>1598</v>
      </c>
      <c r="D22" s="1102"/>
      <c r="E22" s="1102"/>
    </row>
    <row r="23" spans="1:5" s="139" customFormat="1" ht="25.5">
      <c r="A23" s="1101"/>
      <c r="B23" s="915"/>
      <c r="C23" s="860" t="s">
        <v>1599</v>
      </c>
      <c r="D23" s="1101"/>
      <c r="E23" s="1101"/>
    </row>
    <row r="24" spans="1:5" s="139" customFormat="1" ht="15.75" thickBot="1">
      <c r="A24" s="1101"/>
      <c r="B24" s="916"/>
      <c r="C24" s="876" t="s">
        <v>1600</v>
      </c>
      <c r="D24" s="1101"/>
      <c r="E24" s="1101"/>
    </row>
    <row r="25" spans="1:5" s="139" customFormat="1" ht="16.5" thickBot="1">
      <c r="A25" s="1101"/>
      <c r="B25" s="1117"/>
      <c r="C25" s="1117"/>
      <c r="D25" s="1101"/>
      <c r="E25" s="1101"/>
    </row>
    <row r="26" spans="1:5" s="139" customFormat="1" ht="39" customHeight="1" thickBot="1">
      <c r="A26" s="1101"/>
      <c r="B26" s="2826" t="s">
        <v>1489</v>
      </c>
      <c r="C26" s="2827"/>
      <c r="D26" s="1101"/>
      <c r="E26" s="1101"/>
    </row>
    <row r="27" spans="1:5" ht="15.75">
      <c r="B27" s="1107"/>
      <c r="C27" s="1107"/>
    </row>
    <row r="28" spans="1:5" ht="15.75">
      <c r="B28" s="1108"/>
      <c r="C28" s="1108"/>
    </row>
    <row r="29" spans="1:5" ht="15.75">
      <c r="B29" s="1108"/>
      <c r="C29" s="1108"/>
    </row>
    <row r="30" spans="1:5" ht="15.75" hidden="1">
      <c r="B30" s="1112"/>
      <c r="C30" s="1112"/>
    </row>
    <row r="31" spans="1:5" ht="15.75" hidden="1">
      <c r="B31" s="1104"/>
      <c r="C31" s="1104"/>
    </row>
    <row r="32" spans="1:5" ht="15.75" hidden="1">
      <c r="B32" s="1104"/>
      <c r="C32" s="1104"/>
    </row>
    <row r="33" spans="2:3" ht="15.75" hidden="1">
      <c r="B33" s="1104"/>
      <c r="C33" s="1104"/>
    </row>
  </sheetData>
  <sheetProtection password="B61E" sheet="1" objects="1" scenarios="1"/>
  <mergeCells count="2">
    <mergeCell ref="B26:C26"/>
    <mergeCell ref="B19:C20"/>
  </mergeCells>
  <phoneticPr fontId="84"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219777" r:id="rId4" name="CommandButtonReturn">
          <controlPr defaultSize="0" autoLine="0" r:id="rId5">
            <anchor moveWithCells="1">
              <from>
                <xdr:col>0</xdr:col>
                <xdr:colOff>123825</xdr:colOff>
                <xdr:row>3</xdr:row>
                <xdr:rowOff>0</xdr:rowOff>
              </from>
              <to>
                <xdr:col>0</xdr:col>
                <xdr:colOff>685800</xdr:colOff>
                <xdr:row>20</xdr:row>
                <xdr:rowOff>38100</xdr:rowOff>
              </to>
            </anchor>
          </controlPr>
        </control>
      </mc:Choice>
      <mc:Fallback>
        <control shapeId="6219777" r:id="rId4" name="CommandButtonReturn"/>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Q80"/>
  <sheetViews>
    <sheetView workbookViewId="0"/>
  </sheetViews>
  <sheetFormatPr defaultRowHeight="12.75"/>
  <cols>
    <col min="2" max="2" width="24.85546875" customWidth="1"/>
    <col min="5" max="5" width="16.85546875" customWidth="1"/>
    <col min="6" max="6" width="13.5703125" customWidth="1"/>
    <col min="7" max="7" width="12.42578125" bestFit="1" customWidth="1"/>
    <col min="9" max="9" width="8.85546875" style="21" customWidth="1"/>
    <col min="10" max="10" width="10.7109375" style="21" customWidth="1"/>
    <col min="11" max="11" width="8.85546875" style="21" customWidth="1"/>
    <col min="15" max="15" width="11.42578125" customWidth="1"/>
    <col min="16" max="16" width="11.28515625" customWidth="1"/>
  </cols>
  <sheetData>
    <row r="1" spans="2:17" ht="13.5" thickBot="1"/>
    <row r="2" spans="2:17">
      <c r="B2" s="22" t="s">
        <v>1191</v>
      </c>
      <c r="C2" s="23">
        <v>60</v>
      </c>
    </row>
    <row r="3" spans="2:17" ht="13.5" thickBot="1">
      <c r="B3" s="24" t="s">
        <v>1192</v>
      </c>
      <c r="C3" s="25">
        <v>1000</v>
      </c>
    </row>
    <row r="4" spans="2:17" s="4" customFormat="1" ht="13.5" thickBot="1">
      <c r="I4" s="17"/>
      <c r="J4" s="17"/>
      <c r="K4" s="17"/>
    </row>
    <row r="5" spans="2:17" s="1" customFormat="1" ht="13.5" thickBot="1">
      <c r="I5" s="78"/>
      <c r="J5" s="78"/>
      <c r="K5" s="78"/>
      <c r="N5" s="2854" t="s">
        <v>782</v>
      </c>
      <c r="O5" s="2855"/>
    </row>
    <row r="6" spans="2:17" s="4" customFormat="1">
      <c r="B6" s="26"/>
      <c r="C6" s="27"/>
      <c r="D6" s="27"/>
      <c r="E6" s="27" t="s">
        <v>1193</v>
      </c>
      <c r="F6" s="27"/>
      <c r="G6" s="27" t="s">
        <v>1193</v>
      </c>
      <c r="H6" s="27" t="s">
        <v>1194</v>
      </c>
      <c r="I6" s="28" t="s">
        <v>1195</v>
      </c>
      <c r="J6" s="29" t="s">
        <v>1196</v>
      </c>
      <c r="K6" s="28" t="s">
        <v>1193</v>
      </c>
      <c r="L6" s="30" t="s">
        <v>1197</v>
      </c>
      <c r="M6" s="82" t="s">
        <v>1195</v>
      </c>
      <c r="N6" s="86" t="s">
        <v>1193</v>
      </c>
      <c r="O6" s="87" t="s">
        <v>1181</v>
      </c>
      <c r="P6" s="84" t="s">
        <v>1193</v>
      </c>
    </row>
    <row r="7" spans="2:17" s="4" customFormat="1">
      <c r="B7" s="31" t="s">
        <v>1198</v>
      </c>
      <c r="C7" s="32" t="s">
        <v>1199</v>
      </c>
      <c r="D7" s="32" t="s">
        <v>1200</v>
      </c>
      <c r="E7" s="32" t="s">
        <v>1201</v>
      </c>
      <c r="F7" s="32" t="s">
        <v>1202</v>
      </c>
      <c r="G7" s="32" t="s">
        <v>1203</v>
      </c>
      <c r="H7" s="32" t="s">
        <v>1204</v>
      </c>
      <c r="I7" s="33" t="s">
        <v>1205</v>
      </c>
      <c r="J7" s="34" t="s">
        <v>1206</v>
      </c>
      <c r="K7" s="74" t="s">
        <v>1234</v>
      </c>
      <c r="L7" s="35" t="s">
        <v>1207</v>
      </c>
      <c r="M7" s="83" t="s">
        <v>1179</v>
      </c>
      <c r="N7" s="88" t="s">
        <v>778</v>
      </c>
      <c r="O7" s="89" t="s">
        <v>1182</v>
      </c>
      <c r="P7" s="85" t="s">
        <v>1233</v>
      </c>
    </row>
    <row r="8" spans="2:17" s="4" customFormat="1">
      <c r="B8" s="36" t="s">
        <v>1208</v>
      </c>
      <c r="C8" s="37">
        <v>32</v>
      </c>
      <c r="D8" s="37">
        <f>460+C8</f>
        <v>492</v>
      </c>
      <c r="E8" s="38">
        <f>11.515-172/D8^0.5 +1530/D8</f>
        <v>6.8703972394210595</v>
      </c>
      <c r="F8" s="37">
        <v>32</v>
      </c>
      <c r="G8" s="39">
        <f>E8/F8</f>
        <v>0.21469991373190811</v>
      </c>
      <c r="H8" s="39">
        <f>378.2/F8</f>
        <v>11.81875</v>
      </c>
      <c r="I8" s="40">
        <f>1/H8</f>
        <v>8.4611316763617134E-2</v>
      </c>
      <c r="J8" s="40">
        <f>I8/0.0763</f>
        <v>1.1089294464432127</v>
      </c>
      <c r="K8" s="40">
        <f>G8/H8</f>
        <v>1.8166042409891749E-2</v>
      </c>
      <c r="L8" s="2599">
        <f>(K8+K9)/2</f>
        <v>1.9740741288504331E-2</v>
      </c>
      <c r="M8" s="76">
        <f>I8*16.018</f>
        <v>1.3553040719196192</v>
      </c>
      <c r="N8" s="90">
        <f>4.187*G8</f>
        <v>0.8989485387954993</v>
      </c>
      <c r="O8" s="81">
        <f>N9-O9*((C9 -32)/1.8)</f>
        <v>0.8989485387954993</v>
      </c>
      <c r="P8" s="75">
        <f>K8*$Q$8</f>
        <v>1.2182473380242129</v>
      </c>
      <c r="Q8" s="4">
        <f>1.055/(0.02832*0.5555)</f>
        <v>67.061790924855188</v>
      </c>
    </row>
    <row r="9" spans="2:17" s="4" customFormat="1">
      <c r="B9" s="41" t="s">
        <v>1208</v>
      </c>
      <c r="C9" s="42">
        <f>C3</f>
        <v>1000</v>
      </c>
      <c r="D9" s="42">
        <f>460+C9</f>
        <v>1460</v>
      </c>
      <c r="E9" s="43">
        <f>11.515-172/D9^0.5 +1530/D9</f>
        <v>8.0614994712036143</v>
      </c>
      <c r="F9" s="42">
        <v>32</v>
      </c>
      <c r="G9" s="44">
        <f>E9/F9</f>
        <v>0.25192185847511295</v>
      </c>
      <c r="H9" s="44">
        <f>378.2/F9</f>
        <v>11.81875</v>
      </c>
      <c r="I9" s="45">
        <f>1/H9</f>
        <v>8.4611316763617134E-2</v>
      </c>
      <c r="J9" s="40">
        <f>I9/0.0763</f>
        <v>1.1089294464432127</v>
      </c>
      <c r="K9" s="45">
        <f>G9/H9</f>
        <v>2.1315440167116909E-2</v>
      </c>
      <c r="L9" s="2600"/>
      <c r="M9" s="76">
        <f>I9*16.018</f>
        <v>1.3553040719196192</v>
      </c>
      <c r="N9" s="90">
        <f>4.187*G9</f>
        <v>1.0547968214352981</v>
      </c>
      <c r="O9" s="91">
        <f>(N9-N8)/((C9-C8)/1.8)</f>
        <v>2.8980052556987381E-4</v>
      </c>
      <c r="P9" s="75">
        <f t="shared" ref="P9:P33" si="0">K9*$Q$8</f>
        <v>1.4294515919584545</v>
      </c>
    </row>
    <row r="10" spans="2:17" s="4" customFormat="1">
      <c r="B10" s="46"/>
      <c r="C10" s="47"/>
      <c r="D10" s="47"/>
      <c r="E10" s="48"/>
      <c r="F10" s="47"/>
      <c r="G10" s="49"/>
      <c r="H10" s="49"/>
      <c r="I10" s="50"/>
      <c r="J10" s="50"/>
      <c r="K10" s="50"/>
      <c r="L10" s="51"/>
      <c r="M10" s="76"/>
      <c r="N10" s="90"/>
      <c r="O10" s="81"/>
      <c r="P10" s="75">
        <f t="shared" si="0"/>
        <v>0</v>
      </c>
    </row>
    <row r="11" spans="2:17" s="4" customFormat="1">
      <c r="B11" s="36" t="s">
        <v>1209</v>
      </c>
      <c r="C11" s="37">
        <f>C8</f>
        <v>32</v>
      </c>
      <c r="D11" s="37">
        <f>460+C11</f>
        <v>492</v>
      </c>
      <c r="E11" s="38">
        <f>9.47-3.47*10^3/D11 +1.07*10^6/D11^2</f>
        <v>6.837473064974553</v>
      </c>
      <c r="F11" s="37">
        <v>28</v>
      </c>
      <c r="G11" s="39">
        <f>E11/F11</f>
        <v>0.24419546660623404</v>
      </c>
      <c r="H11" s="39">
        <f>378.2/F11</f>
        <v>13.507142857142856</v>
      </c>
      <c r="I11" s="40">
        <f>1/H11</f>
        <v>7.4034902168164995E-2</v>
      </c>
      <c r="J11" s="40">
        <f>I11/0.0763</f>
        <v>0.97031326563781117</v>
      </c>
      <c r="K11" s="40">
        <f>G11/H11</f>
        <v>1.8078987480101939E-2</v>
      </c>
      <c r="L11" s="2599">
        <f>(K11+K12)/2</f>
        <v>1.9080818465253235E-2</v>
      </c>
      <c r="M11" s="76">
        <f>I11*16.018</f>
        <v>1.1858910629296668</v>
      </c>
      <c r="N11" s="90">
        <f>4.187*G11</f>
        <v>1.0224464186803019</v>
      </c>
      <c r="O11" s="81">
        <f>N12-O12*((C12 -32)/1.8)</f>
        <v>1.0224464186803019</v>
      </c>
      <c r="P11" s="75">
        <f t="shared" si="0"/>
        <v>1.2124092785236709</v>
      </c>
    </row>
    <row r="12" spans="2:17" s="4" customFormat="1">
      <c r="B12" s="41" t="s">
        <v>1209</v>
      </c>
      <c r="C12" s="42">
        <f>C9</f>
        <v>1000</v>
      </c>
      <c r="D12" s="42">
        <f>460+C12</f>
        <v>1460</v>
      </c>
      <c r="E12" s="43">
        <f>9.47-3.47*10^3/D12 +1.07*10^6/D12^2</f>
        <v>7.5952580221429917</v>
      </c>
      <c r="F12" s="42">
        <v>28</v>
      </c>
      <c r="G12" s="44">
        <f>E12/F12</f>
        <v>0.27125921507653544</v>
      </c>
      <c r="H12" s="44">
        <f>378.2/F12</f>
        <v>13.507142857142856</v>
      </c>
      <c r="I12" s="45">
        <f>1/H12</f>
        <v>7.4034902168164995E-2</v>
      </c>
      <c r="J12" s="40">
        <f>I12/0.0763</f>
        <v>0.97031326563781117</v>
      </c>
      <c r="K12" s="45">
        <f>G12/H12</f>
        <v>2.0082649450404531E-2</v>
      </c>
      <c r="L12" s="2600"/>
      <c r="M12" s="76">
        <f>I12*16.018</f>
        <v>1.1858910629296668</v>
      </c>
      <c r="N12" s="90">
        <f t="shared" ref="N12:N33" si="1">4.187*G12</f>
        <v>1.1357623335254541</v>
      </c>
      <c r="O12" s="91">
        <f>(N12-N11)/((C12-C11)/1.8)</f>
        <v>2.1071141190214242E-4</v>
      </c>
      <c r="P12" s="75">
        <f t="shared" si="0"/>
        <v>1.3467784386601866</v>
      </c>
    </row>
    <row r="13" spans="2:17" s="4" customFormat="1">
      <c r="B13" s="46"/>
      <c r="C13" s="47"/>
      <c r="D13" s="47"/>
      <c r="E13" s="48"/>
      <c r="F13" s="47"/>
      <c r="G13" s="49"/>
      <c r="H13" s="49"/>
      <c r="I13" s="50"/>
      <c r="J13" s="50"/>
      <c r="K13" s="50"/>
      <c r="L13" s="51"/>
      <c r="M13" s="76"/>
      <c r="N13" s="90" t="s">
        <v>1113</v>
      </c>
      <c r="O13" s="81"/>
      <c r="P13" s="75">
        <f t="shared" si="0"/>
        <v>0</v>
      </c>
    </row>
    <row r="14" spans="2:17" s="4" customFormat="1">
      <c r="B14" s="36" t="s">
        <v>1210</v>
      </c>
      <c r="C14" s="37">
        <f>C11</f>
        <v>32</v>
      </c>
      <c r="D14" s="37">
        <f>460+C14</f>
        <v>492</v>
      </c>
      <c r="E14" s="38">
        <f>9.46-3.29*10^3/D14+1.07*10^6/D14^2</f>
        <v>7.1933267235111389</v>
      </c>
      <c r="F14" s="37">
        <v>28</v>
      </c>
      <c r="G14" s="39">
        <f>E14/F14</f>
        <v>0.25690452583968354</v>
      </c>
      <c r="H14" s="39">
        <f>378.2/F14</f>
        <v>13.507142857142856</v>
      </c>
      <c r="I14" s="40">
        <f>1/H14</f>
        <v>7.4034902168164995E-2</v>
      </c>
      <c r="J14" s="40">
        <f>I14/0.0763</f>
        <v>0.97031326563781117</v>
      </c>
      <c r="K14" s="40">
        <f>G14/H14</f>
        <v>1.9019901437099786E-2</v>
      </c>
      <c r="L14" s="2599">
        <f>(K14+K15)/2</f>
        <v>1.9701047616191181E-2</v>
      </c>
      <c r="M14" s="76">
        <f>I14*16.018</f>
        <v>1.1858910629296668</v>
      </c>
      <c r="N14" s="90">
        <f t="shared" si="1"/>
        <v>1.0756592496907551</v>
      </c>
      <c r="O14" s="81">
        <f>N15-O15*((C15 -32)/1.8)</f>
        <v>1.0756592496907551</v>
      </c>
      <c r="P14" s="75">
        <f t="shared" si="0"/>
        <v>1.2755086535861386</v>
      </c>
    </row>
    <row r="15" spans="2:17" s="4" customFormat="1">
      <c r="B15" s="41" t="s">
        <v>1210</v>
      </c>
      <c r="C15" s="42">
        <f>C12</f>
        <v>1000</v>
      </c>
      <c r="D15" s="42">
        <f>460+C15</f>
        <v>1460</v>
      </c>
      <c r="E15" s="43">
        <f>9.46-3.29*10^3/D15+1.07*10^6/D15^2</f>
        <v>7.7085456933758687</v>
      </c>
      <c r="F15" s="42">
        <v>28</v>
      </c>
      <c r="G15" s="44">
        <f>E15/F15</f>
        <v>0.27530520333485248</v>
      </c>
      <c r="H15" s="44">
        <f>378.2/F15</f>
        <v>13.507142857142856</v>
      </c>
      <c r="I15" s="45">
        <f>1/H15</f>
        <v>7.4034902168164995E-2</v>
      </c>
      <c r="J15" s="40">
        <f>I15/0.0763</f>
        <v>0.97031326563781117</v>
      </c>
      <c r="K15" s="45">
        <f>G15/H15</f>
        <v>2.0382193795282576E-2</v>
      </c>
      <c r="L15" s="2600"/>
      <c r="M15" s="76">
        <f>I15*16.018</f>
        <v>1.1858910629296668</v>
      </c>
      <c r="N15" s="90">
        <f t="shared" si="1"/>
        <v>1.1527028863630273</v>
      </c>
      <c r="O15" s="91">
        <f>(N15-N14)/((C15-C14)/1.8)</f>
        <v>1.4326296075422521E-4</v>
      </c>
      <c r="P15" s="75">
        <f t="shared" si="0"/>
        <v>1.3668664188891209</v>
      </c>
    </row>
    <row r="16" spans="2:17" s="4" customFormat="1">
      <c r="B16" s="46"/>
      <c r="C16" s="47"/>
      <c r="D16" s="47"/>
      <c r="E16" s="48"/>
      <c r="F16" s="47"/>
      <c r="G16" s="49"/>
      <c r="H16" s="49"/>
      <c r="I16" s="50"/>
      <c r="J16" s="50"/>
      <c r="K16" s="50"/>
      <c r="L16" s="51"/>
      <c r="M16" s="76"/>
      <c r="N16" s="90" t="s">
        <v>1113</v>
      </c>
      <c r="O16" s="81"/>
      <c r="P16" s="75">
        <f t="shared" si="0"/>
        <v>0</v>
      </c>
    </row>
    <row r="17" spans="2:16" s="4" customFormat="1">
      <c r="B17" s="36" t="s">
        <v>1211</v>
      </c>
      <c r="C17" s="37">
        <f>C14</f>
        <v>32</v>
      </c>
      <c r="D17" s="37">
        <f>460+C17</f>
        <v>492</v>
      </c>
      <c r="E17" s="38">
        <f>5.76+0.578*D17/10^3+20/D17^0.5</f>
        <v>6.9460456346674322</v>
      </c>
      <c r="F17" s="37">
        <v>2</v>
      </c>
      <c r="G17" s="39">
        <f>E17/F17</f>
        <v>3.4730228173337161</v>
      </c>
      <c r="H17" s="39">
        <f>378.2/F17</f>
        <v>189.1</v>
      </c>
      <c r="I17" s="40">
        <f>1/H17</f>
        <v>5.2882072977260709E-3</v>
      </c>
      <c r="J17" s="40">
        <f>I17/0.0763</f>
        <v>6.9308090402700792E-2</v>
      </c>
      <c r="K17" s="40">
        <f>G17/H17</f>
        <v>1.8366064607793317E-2</v>
      </c>
      <c r="L17" s="2599">
        <f>(K17+K18)/2</f>
        <v>1.8605697458034962E-2</v>
      </c>
      <c r="M17" s="76">
        <f>I17*16.018</f>
        <v>8.4706504494976201E-2</v>
      </c>
      <c r="N17" s="90">
        <f t="shared" si="1"/>
        <v>14.54154653617627</v>
      </c>
      <c r="O17" s="81">
        <f>N18-O18*((C18 -32)/1.8)</f>
        <v>14.54154653617627</v>
      </c>
      <c r="P17" s="75">
        <f t="shared" si="0"/>
        <v>1.2316611848402179</v>
      </c>
    </row>
    <row r="18" spans="2:16" s="4" customFormat="1">
      <c r="B18" s="41" t="s">
        <v>1211</v>
      </c>
      <c r="C18" s="42">
        <f>C15</f>
        <v>1000</v>
      </c>
      <c r="D18" s="42">
        <f>460+C18</f>
        <v>1460</v>
      </c>
      <c r="E18" s="43">
        <f>5.76+0.578*D18/10^3+20/D18^0.5</f>
        <v>7.1273039225902135</v>
      </c>
      <c r="F18" s="42">
        <v>2</v>
      </c>
      <c r="G18" s="44">
        <f>E18/F18</f>
        <v>3.5636519612951068</v>
      </c>
      <c r="H18" s="44">
        <f>378.2/F18</f>
        <v>189.1</v>
      </c>
      <c r="I18" s="45">
        <f>1/H18</f>
        <v>5.2882072977260709E-3</v>
      </c>
      <c r="J18" s="40">
        <f>I18/0.0763</f>
        <v>6.9308090402700792E-2</v>
      </c>
      <c r="K18" s="45">
        <f>G18/H18</f>
        <v>1.884533030827661E-2</v>
      </c>
      <c r="L18" s="2600"/>
      <c r="M18" s="76">
        <f>I18*16.018</f>
        <v>8.4706504494976201E-2</v>
      </c>
      <c r="N18" s="90">
        <f t="shared" si="1"/>
        <v>14.921010761942613</v>
      </c>
      <c r="O18" s="91">
        <f>(N18-N17)/((C18-C17)/1.8)</f>
        <v>7.0561529584650565E-4</v>
      </c>
      <c r="P18" s="75">
        <f t="shared" si="0"/>
        <v>1.2638016010434827</v>
      </c>
    </row>
    <row r="19" spans="2:16" s="4" customFormat="1">
      <c r="B19" s="46"/>
      <c r="C19" s="47"/>
      <c r="D19" s="47"/>
      <c r="E19" s="48"/>
      <c r="F19" s="47"/>
      <c r="G19" s="49"/>
      <c r="H19" s="49"/>
      <c r="I19" s="50"/>
      <c r="J19" s="50"/>
      <c r="K19" s="50"/>
      <c r="L19" s="51"/>
      <c r="M19" s="76"/>
      <c r="N19" s="90" t="s">
        <v>1113</v>
      </c>
      <c r="O19" s="81"/>
      <c r="P19" s="75">
        <f t="shared" si="0"/>
        <v>0</v>
      </c>
    </row>
    <row r="20" spans="2:16" s="4" customFormat="1">
      <c r="B20" s="36" t="s">
        <v>1212</v>
      </c>
      <c r="C20" s="37">
        <f>C17</f>
        <v>32</v>
      </c>
      <c r="D20" s="37">
        <f>460+C20</f>
        <v>492</v>
      </c>
      <c r="E20" s="38">
        <f>19.86-597/D20^0.5+7500/D20</f>
        <v>8.1890638442015362</v>
      </c>
      <c r="F20" s="37">
        <v>18</v>
      </c>
      <c r="G20" s="39">
        <f>E20/F20</f>
        <v>0.45494799134452979</v>
      </c>
      <c r="H20" s="39">
        <f>378.2/F20</f>
        <v>21.011111111111109</v>
      </c>
      <c r="I20" s="40">
        <f>1/H20</f>
        <v>4.7593865679534643E-2</v>
      </c>
      <c r="J20" s="40">
        <f>I20/0.0763</f>
        <v>0.62377281362430714</v>
      </c>
      <c r="K20" s="40">
        <f>G20/H20</f>
        <v>2.1652733591225638E-2</v>
      </c>
      <c r="L20" s="2599">
        <f>(K20+K21)/2</f>
        <v>2.3217670619055421E-2</v>
      </c>
      <c r="M20" s="76">
        <f>I20*16.018</f>
        <v>0.7623585404547859</v>
      </c>
      <c r="N20" s="90">
        <f t="shared" si="1"/>
        <v>1.9048672397595463</v>
      </c>
      <c r="O20" s="81">
        <f>N21-O21*((C21 -32)/1.8)</f>
        <v>1.9048672397595463</v>
      </c>
      <c r="P20" s="75">
        <f t="shared" si="0"/>
        <v>1.4520710930463625</v>
      </c>
    </row>
    <row r="21" spans="2:16" s="4" customFormat="1">
      <c r="B21" s="41" t="s">
        <v>1212</v>
      </c>
      <c r="C21" s="42">
        <f>C18</f>
        <v>1000</v>
      </c>
      <c r="D21" s="42">
        <f>460+C21</f>
        <v>1460</v>
      </c>
      <c r="E21" s="43">
        <f>19.86-597/D21^0.5+7500/D21</f>
        <v>9.3727822120519821</v>
      </c>
      <c r="F21" s="42">
        <v>18</v>
      </c>
      <c r="G21" s="44">
        <f>E21/F21</f>
        <v>0.52071012289177676</v>
      </c>
      <c r="H21" s="44">
        <f>378.2/F21</f>
        <v>21.011111111111109</v>
      </c>
      <c r="I21" s="45">
        <f>1/H21</f>
        <v>4.7593865679534643E-2</v>
      </c>
      <c r="J21" s="40">
        <f>I21/0.0763</f>
        <v>0.62377281362430714</v>
      </c>
      <c r="K21" s="45">
        <f>G21/H21</f>
        <v>2.47826076468852E-2</v>
      </c>
      <c r="L21" s="2600"/>
      <c r="M21" s="76">
        <f>I21*16.018</f>
        <v>0.7623585404547859</v>
      </c>
      <c r="N21" s="90">
        <f t="shared" si="1"/>
        <v>2.1802132845478694</v>
      </c>
      <c r="O21" s="91">
        <f>(N21-N20)/((C21-C20)/1.8)</f>
        <v>5.1200710807746048E-4</v>
      </c>
      <c r="P21" s="75">
        <f t="shared" si="0"/>
        <v>1.6619660525881328</v>
      </c>
    </row>
    <row r="22" spans="2:16" s="4" customFormat="1">
      <c r="B22" s="46"/>
      <c r="C22" s="47"/>
      <c r="D22" s="47"/>
      <c r="E22" s="48"/>
      <c r="F22" s="47"/>
      <c r="G22" s="49"/>
      <c r="H22" s="49"/>
      <c r="I22" s="50"/>
      <c r="J22" s="50"/>
      <c r="K22" s="50"/>
      <c r="L22" s="51"/>
      <c r="M22" s="76"/>
      <c r="N22" s="90" t="s">
        <v>1113</v>
      </c>
      <c r="O22" s="81"/>
      <c r="P22" s="75">
        <f t="shared" si="0"/>
        <v>0</v>
      </c>
    </row>
    <row r="23" spans="2:16" s="4" customFormat="1">
      <c r="B23" s="36" t="s">
        <v>1213</v>
      </c>
      <c r="C23" s="37">
        <f>C20</f>
        <v>32</v>
      </c>
      <c r="D23" s="37">
        <f>460+C23</f>
        <v>492</v>
      </c>
      <c r="E23" s="38">
        <f>16.2-6.53*10^3/D23+1.41*10^6/D23^2</f>
        <v>8.7525480864564749</v>
      </c>
      <c r="F23" s="37">
        <v>44</v>
      </c>
      <c r="G23" s="39">
        <f>E23/F23</f>
        <v>0.19892154741946533</v>
      </c>
      <c r="H23" s="39">
        <f>378.2/F23</f>
        <v>8.5954545454545457</v>
      </c>
      <c r="I23" s="40">
        <f>1/H23</f>
        <v>0.11634056054997356</v>
      </c>
      <c r="J23" s="40">
        <f>I23/0.0763</f>
        <v>1.5247779888594175</v>
      </c>
      <c r="K23" s="40">
        <f>G23/H23</f>
        <v>2.3142644332248743E-2</v>
      </c>
      <c r="L23" s="2599">
        <f>(K23+K24)/2</f>
        <v>2.7950053272244868E-2</v>
      </c>
      <c r="M23" s="76">
        <f>I23*16.018</f>
        <v>1.8635430988894766</v>
      </c>
      <c r="N23" s="90">
        <f t="shared" si="1"/>
        <v>0.83288451904530136</v>
      </c>
      <c r="O23" s="81">
        <f>N24-O24*((C24 -32)/1.8)</f>
        <v>0.83288451904530136</v>
      </c>
      <c r="P23" s="75">
        <f t="shared" si="0"/>
        <v>1.5519871756575501</v>
      </c>
    </row>
    <row r="24" spans="2:16" s="4" customFormat="1">
      <c r="B24" s="41" t="s">
        <v>1213</v>
      </c>
      <c r="C24" s="42">
        <f>C21</f>
        <v>1000</v>
      </c>
      <c r="D24" s="42">
        <f>460+C24</f>
        <v>1460</v>
      </c>
      <c r="E24" s="43">
        <f>16.2-6.53*10^3/D24+1.41*10^6/D24^2</f>
        <v>12.388872208669543</v>
      </c>
      <c r="F24" s="42">
        <v>44</v>
      </c>
      <c r="G24" s="44">
        <f>E24/F24</f>
        <v>0.28156527746976234</v>
      </c>
      <c r="H24" s="44">
        <f>378.2/F24</f>
        <v>8.5954545454545457</v>
      </c>
      <c r="I24" s="45">
        <f>1/H24</f>
        <v>0.11634056054997356</v>
      </c>
      <c r="J24" s="40">
        <f>I24/0.0763</f>
        <v>1.5247779888594175</v>
      </c>
      <c r="K24" s="45">
        <f>G24/H24</f>
        <v>3.275746221224099E-2</v>
      </c>
      <c r="L24" s="2600"/>
      <c r="M24" s="76">
        <f>I24*16.018</f>
        <v>1.8635430988894766</v>
      </c>
      <c r="N24" s="90">
        <f t="shared" si="1"/>
        <v>1.178913816765895</v>
      </c>
      <c r="O24" s="91">
        <f>(N24-N23)/((C24-C23)/1.8)</f>
        <v>6.4344290898457504E-4</v>
      </c>
      <c r="P24" s="75">
        <f t="shared" si="0"/>
        <v>2.1967740821061494</v>
      </c>
    </row>
    <row r="25" spans="2:16" s="4" customFormat="1">
      <c r="B25" s="46"/>
      <c r="C25" s="47"/>
      <c r="D25" s="47"/>
      <c r="E25" s="48"/>
      <c r="F25" s="47"/>
      <c r="G25" s="49"/>
      <c r="H25" s="49"/>
      <c r="I25" s="50"/>
      <c r="J25" s="50"/>
      <c r="K25" s="50"/>
      <c r="L25" s="51"/>
      <c r="M25" s="76"/>
      <c r="N25" s="90" t="s">
        <v>1113</v>
      </c>
      <c r="O25" s="81"/>
      <c r="P25" s="75">
        <f t="shared" si="0"/>
        <v>0</v>
      </c>
    </row>
    <row r="26" spans="2:16" s="4" customFormat="1">
      <c r="B26" s="36" t="s">
        <v>1214</v>
      </c>
      <c r="C26" s="37">
        <f>C23</f>
        <v>32</v>
      </c>
      <c r="D26" s="37">
        <f>460+C26</f>
        <v>492</v>
      </c>
      <c r="E26" s="38">
        <f>4.23+0.01177*D26</f>
        <v>10.02084</v>
      </c>
      <c r="F26" s="37">
        <v>16</v>
      </c>
      <c r="G26" s="39">
        <f>E26/F26</f>
        <v>0.62630249999999998</v>
      </c>
      <c r="H26" s="39">
        <f>378.2/F26</f>
        <v>23.637499999999999</v>
      </c>
      <c r="I26" s="40">
        <f>1/H26</f>
        <v>4.2305658381808567E-2</v>
      </c>
      <c r="J26" s="40">
        <f>I26/0.0763</f>
        <v>0.55446472322160634</v>
      </c>
      <c r="K26" s="40">
        <f>G26/H26</f>
        <v>2.6496139608672659E-2</v>
      </c>
      <c r="L26" s="2599">
        <f>(K26+K27)/2</f>
        <v>4.1558751983077735E-2</v>
      </c>
      <c r="M26" s="76">
        <f>I26*16.018</f>
        <v>0.67765203595980961</v>
      </c>
      <c r="N26" s="90">
        <f t="shared" si="1"/>
        <v>2.6223285675000003</v>
      </c>
      <c r="O26" s="81">
        <f>N27-O27*((C27 -32)/1.8)</f>
        <v>2.6223285675000003</v>
      </c>
      <c r="P26" s="75">
        <f t="shared" si="0"/>
        <v>1.7768785747525802</v>
      </c>
    </row>
    <row r="27" spans="2:16" s="4" customFormat="1">
      <c r="B27" s="41" t="s">
        <v>1215</v>
      </c>
      <c r="C27" s="42">
        <f>C24</f>
        <v>1000</v>
      </c>
      <c r="D27" s="42">
        <f>460+C27</f>
        <v>1460</v>
      </c>
      <c r="E27" s="43">
        <f>4.23+0.01177*D27</f>
        <v>21.414200000000001</v>
      </c>
      <c r="F27" s="42">
        <v>16</v>
      </c>
      <c r="G27" s="44">
        <f>E27/F27</f>
        <v>1.3383875000000001</v>
      </c>
      <c r="H27" s="44">
        <f>378.2/F27</f>
        <v>23.637499999999999</v>
      </c>
      <c r="I27" s="45">
        <f>1/H27</f>
        <v>4.2305658381808567E-2</v>
      </c>
      <c r="J27" s="40">
        <f>I27/0.0763</f>
        <v>0.55446472322160634</v>
      </c>
      <c r="K27" s="45">
        <f>G27/H27</f>
        <v>5.6621364357482815E-2</v>
      </c>
      <c r="L27" s="2600"/>
      <c r="M27" s="76">
        <f>I27*16.018</f>
        <v>0.67765203595980961</v>
      </c>
      <c r="N27" s="90">
        <f t="shared" si="1"/>
        <v>5.603828462500001</v>
      </c>
      <c r="O27" s="91">
        <f>(N27-N26)/((C27-C26)/1.8)</f>
        <v>5.5441113750000015E-3</v>
      </c>
      <c r="P27" s="75">
        <f t="shared" si="0"/>
        <v>3.7971300984215599</v>
      </c>
    </row>
    <row r="28" spans="2:16" s="4" customFormat="1">
      <c r="B28" s="46"/>
      <c r="C28" s="47"/>
      <c r="D28" s="47"/>
      <c r="E28" s="48"/>
      <c r="F28" s="47"/>
      <c r="G28" s="49"/>
      <c r="H28" s="49"/>
      <c r="I28" s="50"/>
      <c r="J28" s="50"/>
      <c r="K28" s="50"/>
      <c r="L28" s="51"/>
      <c r="M28" s="76"/>
      <c r="N28" s="90" t="s">
        <v>1113</v>
      </c>
      <c r="O28" s="81"/>
      <c r="P28" s="75">
        <f t="shared" si="0"/>
        <v>0</v>
      </c>
    </row>
    <row r="29" spans="2:16" s="4" customFormat="1">
      <c r="B29" s="36" t="s">
        <v>1216</v>
      </c>
      <c r="C29" s="37">
        <f>C26</f>
        <v>32</v>
      </c>
      <c r="D29" s="37">
        <f>460+C29</f>
        <v>492</v>
      </c>
      <c r="E29" s="38">
        <f>4.52+0.00737*D29</f>
        <v>8.1460399999999993</v>
      </c>
      <c r="F29" s="37">
        <v>28</v>
      </c>
      <c r="G29" s="39">
        <f>E29/F29</f>
        <v>0.29092999999999997</v>
      </c>
      <c r="H29" s="39">
        <f>378.2/F29</f>
        <v>13.507142857142856</v>
      </c>
      <c r="I29" s="40">
        <f>1/H29</f>
        <v>7.4034902168164995E-2</v>
      </c>
      <c r="J29" s="40">
        <f>I29/0.0763</f>
        <v>0.97031326563781117</v>
      </c>
      <c r="K29" s="40">
        <f>G29/H29</f>
        <v>2.1538974087784241E-2</v>
      </c>
      <c r="L29" s="2599">
        <f>(K29+K30)/2</f>
        <v>3.09707033315706E-2</v>
      </c>
      <c r="M29" s="76">
        <f>I29*16.018</f>
        <v>1.1858910629296668</v>
      </c>
      <c r="N29" s="90">
        <f t="shared" si="1"/>
        <v>1.2181239099999999</v>
      </c>
      <c r="O29" s="81">
        <f>N30-O30*((C30 -32)/1.8)</f>
        <v>1.2181239099999999</v>
      </c>
      <c r="P29" s="75">
        <f t="shared" si="0"/>
        <v>1.4444421770108602</v>
      </c>
    </row>
    <row r="30" spans="2:16" s="4" customFormat="1">
      <c r="B30" s="41" t="s">
        <v>1217</v>
      </c>
      <c r="C30" s="42">
        <f>C27</f>
        <v>1000</v>
      </c>
      <c r="D30" s="42">
        <f>460+C30</f>
        <v>1460</v>
      </c>
      <c r="E30" s="43">
        <f>4.52+0.00737*D30</f>
        <v>15.280199999999999</v>
      </c>
      <c r="F30" s="42">
        <v>28</v>
      </c>
      <c r="G30" s="44">
        <f>E30/F30</f>
        <v>0.54572142857142858</v>
      </c>
      <c r="H30" s="44">
        <f>378.2/F30</f>
        <v>13.507142857142856</v>
      </c>
      <c r="I30" s="45">
        <f>1/H30</f>
        <v>7.4034902168164995E-2</v>
      </c>
      <c r="J30" s="40">
        <f>I30/0.0763</f>
        <v>0.97031326563781117</v>
      </c>
      <c r="K30" s="45">
        <f>G30/H30</f>
        <v>4.0402432575356959E-2</v>
      </c>
      <c r="L30" s="2600"/>
      <c r="M30" s="76">
        <f>I30*16.018</f>
        <v>1.1858910629296668</v>
      </c>
      <c r="N30" s="90">
        <f t="shared" si="1"/>
        <v>2.2849356214285717</v>
      </c>
      <c r="O30" s="91">
        <f>(N30-N29)/((C30-C29)/1.8)</f>
        <v>1.9837407857142865E-3</v>
      </c>
      <c r="P30" s="75">
        <f t="shared" si="0"/>
        <v>2.709459486224147</v>
      </c>
    </row>
    <row r="31" spans="2:16" s="4" customFormat="1">
      <c r="B31" s="46"/>
      <c r="C31" s="47"/>
      <c r="D31" s="47"/>
      <c r="E31" s="48"/>
      <c r="F31" s="47"/>
      <c r="G31" s="49"/>
      <c r="H31" s="49"/>
      <c r="I31" s="50"/>
      <c r="J31" s="50"/>
      <c r="K31" s="50"/>
      <c r="L31" s="51"/>
      <c r="M31" s="76"/>
      <c r="N31" s="90" t="s">
        <v>1113</v>
      </c>
      <c r="O31" s="81"/>
      <c r="P31" s="75">
        <f t="shared" si="0"/>
        <v>0</v>
      </c>
    </row>
    <row r="32" spans="2:16" s="4" customFormat="1">
      <c r="B32" s="36" t="s">
        <v>1218</v>
      </c>
      <c r="C32" s="37">
        <f>C29</f>
        <v>32</v>
      </c>
      <c r="D32" s="37">
        <f>460+C32</f>
        <v>492</v>
      </c>
      <c r="E32" s="38">
        <f>4.04+0.01636*D32</f>
        <v>12.089120000000001</v>
      </c>
      <c r="F32" s="37">
        <v>30</v>
      </c>
      <c r="G32" s="39">
        <f>E32/F32</f>
        <v>0.4029706666666667</v>
      </c>
      <c r="H32" s="39">
        <f>378.2/F32</f>
        <v>12.606666666666666</v>
      </c>
      <c r="I32" s="40">
        <f>1/H32</f>
        <v>7.9323109465891065E-2</v>
      </c>
      <c r="J32" s="40">
        <f>I32/0.0763</f>
        <v>1.0396213560405119</v>
      </c>
      <c r="K32" s="40">
        <f>G32/H32</f>
        <v>3.1964886303543105E-2</v>
      </c>
      <c r="L32" s="2599">
        <f>(K32+K33)/2</f>
        <v>5.2901533580116344E-2</v>
      </c>
      <c r="M32" s="76">
        <f>I32*16.018</f>
        <v>1.270597567424643</v>
      </c>
      <c r="N32" s="90">
        <f t="shared" si="1"/>
        <v>1.6872381813333335</v>
      </c>
      <c r="O32" s="81">
        <f>N33-O33*((C33 -32)/1.8)</f>
        <v>1.6872381813333335</v>
      </c>
      <c r="P32" s="75">
        <f t="shared" si="0"/>
        <v>2.143622522224975</v>
      </c>
    </row>
    <row r="33" spans="2:16" s="4" customFormat="1" ht="13.5" thickBot="1">
      <c r="B33" s="52" t="s">
        <v>1219</v>
      </c>
      <c r="C33" s="53">
        <f>C30</f>
        <v>1000</v>
      </c>
      <c r="D33" s="53">
        <f>460+C33</f>
        <v>1460</v>
      </c>
      <c r="E33" s="54">
        <f>4.04+0.01636*D33</f>
        <v>27.925599999999999</v>
      </c>
      <c r="F33" s="53">
        <v>30</v>
      </c>
      <c r="G33" s="55">
        <f>E33/F33</f>
        <v>0.93085333333333331</v>
      </c>
      <c r="H33" s="55">
        <f>378.2/F33</f>
        <v>12.606666666666666</v>
      </c>
      <c r="I33" s="56">
        <f>1/H33</f>
        <v>7.9323109465891065E-2</v>
      </c>
      <c r="J33" s="57">
        <f>I33/0.0763</f>
        <v>1.0396213560405119</v>
      </c>
      <c r="K33" s="56">
        <f>G33/H33</f>
        <v>7.3838180856689584E-2</v>
      </c>
      <c r="L33" s="2601"/>
      <c r="M33" s="77">
        <f>I33*16.018</f>
        <v>1.270597567424643</v>
      </c>
      <c r="N33" s="92">
        <f t="shared" si="1"/>
        <v>3.8974829066666667</v>
      </c>
      <c r="O33" s="93">
        <f>(N33-N32)/((C33-C32)/1.8)</f>
        <v>4.1099592000000008E-3</v>
      </c>
      <c r="P33" s="75">
        <f t="shared" si="0"/>
        <v>4.9517206468829613</v>
      </c>
    </row>
    <row r="34" spans="2:16" s="4" customFormat="1">
      <c r="E34" s="58"/>
      <c r="G34" s="59"/>
      <c r="H34" s="59"/>
      <c r="I34" s="17"/>
      <c r="J34" s="17"/>
      <c r="K34" s="17"/>
      <c r="M34" s="75"/>
      <c r="N34" s="75"/>
      <c r="O34" s="75"/>
    </row>
    <row r="35" spans="2:16" s="4" customFormat="1">
      <c r="B35" s="4" t="s">
        <v>1220</v>
      </c>
      <c r="E35" s="58"/>
      <c r="G35" s="59"/>
      <c r="H35" s="59"/>
      <c r="I35" s="17"/>
      <c r="J35" s="17"/>
      <c r="K35" s="17"/>
    </row>
    <row r="36" spans="2:16" s="4" customFormat="1" ht="13.5" thickBot="1">
      <c r="E36" s="58"/>
      <c r="G36" s="59"/>
      <c r="H36" s="59"/>
      <c r="I36" s="17"/>
      <c r="J36" s="17"/>
      <c r="K36" s="17"/>
    </row>
    <row r="37" spans="2:16" s="4" customFormat="1" ht="15.75" thickBot="1">
      <c r="B37" s="60" t="s">
        <v>1221</v>
      </c>
      <c r="C37" s="61"/>
      <c r="D37" s="61"/>
      <c r="E37" s="62"/>
      <c r="G37" s="59"/>
      <c r="H37" s="59"/>
      <c r="I37" s="17"/>
      <c r="J37" s="17"/>
      <c r="K37" s="17"/>
      <c r="L37" s="4" t="s">
        <v>779</v>
      </c>
    </row>
    <row r="38" spans="2:16" s="4" customFormat="1" ht="13.5" thickBot="1">
      <c r="B38" s="63" t="s">
        <v>1222</v>
      </c>
      <c r="C38" s="64" t="s">
        <v>1223</v>
      </c>
      <c r="D38" s="64" t="s">
        <v>1224</v>
      </c>
      <c r="E38" s="65" t="s">
        <v>1225</v>
      </c>
      <c r="F38" s="4" t="s">
        <v>1226</v>
      </c>
      <c r="G38" s="59" t="s">
        <v>1227</v>
      </c>
      <c r="H38" s="59"/>
      <c r="I38" s="17"/>
      <c r="J38" s="17"/>
      <c r="K38" s="17"/>
      <c r="M38" s="4" t="s">
        <v>1181</v>
      </c>
    </row>
    <row r="39" spans="2:16" s="4" customFormat="1">
      <c r="B39" s="63" t="s">
        <v>1228</v>
      </c>
      <c r="C39" s="64">
        <v>20.7</v>
      </c>
      <c r="D39" s="64"/>
      <c r="E39" s="66">
        <f>L8</f>
        <v>1.9740741288504331E-2</v>
      </c>
      <c r="F39" s="67">
        <f>K8</f>
        <v>1.8166042409891749E-2</v>
      </c>
      <c r="G39" s="59">
        <f>K9</f>
        <v>2.1315440167116909E-2</v>
      </c>
      <c r="H39" s="59"/>
      <c r="I39" s="17"/>
      <c r="J39" s="17"/>
      <c r="K39" s="17"/>
      <c r="M39" s="4" t="s">
        <v>1182</v>
      </c>
      <c r="N39" s="4">
        <f>(N9-N8)/(C9-C8)</f>
        <v>1.6100029198326321E-4</v>
      </c>
    </row>
    <row r="40" spans="2:16" s="4" customFormat="1">
      <c r="B40" s="68" t="s">
        <v>1213</v>
      </c>
      <c r="C40" s="18">
        <v>0</v>
      </c>
      <c r="D40" s="18"/>
      <c r="E40" s="69">
        <f>L23</f>
        <v>2.7950053272244868E-2</v>
      </c>
      <c r="F40" s="67">
        <f>K23</f>
        <v>2.3142644332248743E-2</v>
      </c>
      <c r="G40" s="59">
        <f>K24</f>
        <v>3.275746221224099E-2</v>
      </c>
      <c r="I40" s="17"/>
      <c r="J40" s="17"/>
      <c r="K40" s="80" t="s">
        <v>780</v>
      </c>
    </row>
    <row r="41" spans="2:16" s="4" customFormat="1">
      <c r="B41" s="68" t="s">
        <v>1229</v>
      </c>
      <c r="C41" s="18">
        <v>78.3</v>
      </c>
      <c r="D41" s="18"/>
      <c r="E41" s="69">
        <f>L11</f>
        <v>1.9080818465253235E-2</v>
      </c>
      <c r="F41" s="67">
        <f>K11</f>
        <v>1.8078987480101939E-2</v>
      </c>
      <c r="G41" s="59">
        <f>K12</f>
        <v>2.0082649450404531E-2</v>
      </c>
      <c r="I41" s="17"/>
      <c r="J41" s="17"/>
      <c r="K41" s="80">
        <f>(60-32)/1.8</f>
        <v>15.555555555555555</v>
      </c>
      <c r="M41" s="67">
        <f>O8+O9*K41</f>
        <v>0.90345654697103062</v>
      </c>
    </row>
    <row r="42" spans="2:16" s="4" customFormat="1">
      <c r="B42" s="68" t="s">
        <v>1230</v>
      </c>
      <c r="C42" s="18">
        <v>1</v>
      </c>
      <c r="D42" s="18"/>
      <c r="E42" s="69">
        <f>L20</f>
        <v>2.3217670619055421E-2</v>
      </c>
      <c r="F42" s="67">
        <f>K20</f>
        <v>2.1652733591225638E-2</v>
      </c>
      <c r="G42" s="59">
        <f>K21</f>
        <v>2.47826076468852E-2</v>
      </c>
      <c r="I42" s="17"/>
      <c r="J42" s="17"/>
      <c r="K42" s="80" t="s">
        <v>781</v>
      </c>
    </row>
    <row r="43" spans="2:16" s="4" customFormat="1">
      <c r="B43" s="68"/>
      <c r="C43" s="18"/>
      <c r="D43" s="18"/>
      <c r="E43" s="70"/>
      <c r="G43" s="59"/>
      <c r="I43" s="17"/>
      <c r="J43" s="17"/>
      <c r="K43" s="16">
        <f>(1000-32)/1.8</f>
        <v>537.77777777777771</v>
      </c>
      <c r="M43" s="75">
        <f>O8+O9*K43</f>
        <v>1.0547968214352981</v>
      </c>
    </row>
    <row r="44" spans="2:16" s="4" customFormat="1">
      <c r="B44" s="68" t="s">
        <v>1172</v>
      </c>
      <c r="C44" s="18">
        <f>SUM(C39:C43)</f>
        <v>100</v>
      </c>
      <c r="D44" s="18"/>
      <c r="E44" s="70"/>
      <c r="I44" s="17"/>
      <c r="J44" s="17"/>
      <c r="K44" s="17"/>
    </row>
    <row r="45" spans="2:16" s="4" customFormat="1" ht="13.5" thickBot="1">
      <c r="B45" s="71" t="s">
        <v>1231</v>
      </c>
      <c r="C45" s="72"/>
      <c r="D45" s="72"/>
      <c r="E45" s="73">
        <f>($C$39*E39+$C$40*E40+$C$41*E41+$C$42*E42)/100</f>
        <v>1.9258791011204233E-2</v>
      </c>
      <c r="F45" s="73">
        <f>($C$39*F39+$C$40*F40+$C$41*F41+$C$42*F42)/100</f>
        <v>1.8132745311679667E-2</v>
      </c>
      <c r="G45" s="73">
        <f>($C$39*G39+$C$40*G40+$C$41*G41+$C$42*G42)/100</f>
        <v>2.0384836710728802E-2</v>
      </c>
      <c r="I45" s="17"/>
      <c r="J45" s="17"/>
      <c r="K45" s="17"/>
    </row>
    <row r="46" spans="2:16" s="4" customFormat="1">
      <c r="I46" s="17"/>
      <c r="J46" s="17"/>
      <c r="K46" s="17"/>
    </row>
    <row r="47" spans="2:16" s="4" customFormat="1">
      <c r="F47" s="4" t="s">
        <v>1182</v>
      </c>
      <c r="G47" s="4">
        <f>(G45-F45)/(1000-60)</f>
        <v>2.3958419138820589E-6</v>
      </c>
      <c r="I47" s="17"/>
      <c r="J47" s="17"/>
      <c r="K47" s="17"/>
    </row>
    <row r="48" spans="2:16" s="4" customFormat="1">
      <c r="F48" s="4" t="s">
        <v>1181</v>
      </c>
      <c r="G48" s="4">
        <f>G45-G47*1000</f>
        <v>1.7988994796846743E-2</v>
      </c>
      <c r="I48" s="17"/>
      <c r="J48" s="17"/>
      <c r="K48" s="17"/>
    </row>
    <row r="49" spans="5:11" s="4" customFormat="1">
      <c r="F49" s="4" t="s">
        <v>1300</v>
      </c>
      <c r="G49" s="4">
        <f>67.06179</f>
        <v>67.061790000000002</v>
      </c>
      <c r="I49" s="17"/>
      <c r="J49" s="17"/>
      <c r="K49" s="17"/>
    </row>
    <row r="50" spans="5:11" s="4" customFormat="1">
      <c r="E50" s="4" t="s">
        <v>1232</v>
      </c>
      <c r="I50" s="17"/>
      <c r="J50" s="17"/>
      <c r="K50" s="17"/>
    </row>
    <row r="51" spans="5:11" s="1" customFormat="1" ht="25.5">
      <c r="E51" s="1" t="s">
        <v>1183</v>
      </c>
      <c r="F51" s="1" t="s">
        <v>1235</v>
      </c>
      <c r="G51" s="1" t="s">
        <v>1236</v>
      </c>
      <c r="H51" s="1" t="s">
        <v>1237</v>
      </c>
      <c r="I51" s="78"/>
      <c r="J51" s="78"/>
      <c r="K51" s="78"/>
    </row>
    <row r="52" spans="5:11" s="4" customFormat="1">
      <c r="E52" s="4">
        <v>60</v>
      </c>
      <c r="F52" s="4">
        <f t="shared" ref="F52:F68" si="2">$G$48+$G$47*E52</f>
        <v>1.8132745311679667E-2</v>
      </c>
      <c r="G52" s="59">
        <f>F52*$Q$8</f>
        <v>1.2160143749855099</v>
      </c>
      <c r="H52" s="79">
        <f>(E52-32)/1.8</f>
        <v>15.555555555555555</v>
      </c>
      <c r="I52" s="17"/>
      <c r="J52" s="17"/>
      <c r="K52" s="17"/>
    </row>
    <row r="53" spans="5:11" s="4" customFormat="1">
      <c r="E53" s="4">
        <v>100</v>
      </c>
      <c r="F53" s="4">
        <f t="shared" si="2"/>
        <v>1.8228578988234947E-2</v>
      </c>
      <c r="G53" s="59">
        <f t="shared" ref="G53:G68" si="3">F53*$Q$8</f>
        <v>1.2224411529662205</v>
      </c>
      <c r="H53" s="79">
        <f t="shared" ref="H53:H68" si="4">(E53-32)/1.8</f>
        <v>37.777777777777779</v>
      </c>
      <c r="I53" s="17"/>
      <c r="J53" s="17"/>
      <c r="K53" s="17"/>
    </row>
    <row r="54" spans="5:11" s="4" customFormat="1">
      <c r="E54" s="4">
        <f t="shared" ref="E54:E68" si="5">100+E53</f>
        <v>200</v>
      </c>
      <c r="F54" s="4">
        <f t="shared" si="2"/>
        <v>1.8468163179623156E-2</v>
      </c>
      <c r="G54" s="59">
        <f t="shared" si="3"/>
        <v>1.238508097917997</v>
      </c>
      <c r="H54" s="79">
        <f t="shared" si="4"/>
        <v>93.333333333333329</v>
      </c>
      <c r="I54" s="17"/>
      <c r="J54" s="17"/>
      <c r="K54" s="17"/>
    </row>
    <row r="55" spans="5:11" s="4" customFormat="1">
      <c r="E55" s="4">
        <f t="shared" si="5"/>
        <v>300</v>
      </c>
      <c r="F55" s="4">
        <f t="shared" si="2"/>
        <v>1.8707747371011361E-2</v>
      </c>
      <c r="G55" s="59">
        <f t="shared" si="3"/>
        <v>1.2545750428697733</v>
      </c>
      <c r="H55" s="79">
        <f t="shared" si="4"/>
        <v>148.88888888888889</v>
      </c>
      <c r="I55" s="17"/>
      <c r="J55" s="17"/>
      <c r="K55" s="17"/>
    </row>
    <row r="56" spans="5:11" s="4" customFormat="1">
      <c r="E56" s="4">
        <f t="shared" si="5"/>
        <v>400</v>
      </c>
      <c r="F56" s="4">
        <f t="shared" si="2"/>
        <v>1.8947331562399566E-2</v>
      </c>
      <c r="G56" s="59">
        <f t="shared" si="3"/>
        <v>1.2706419878215496</v>
      </c>
      <c r="H56" s="79">
        <f t="shared" si="4"/>
        <v>204.44444444444443</v>
      </c>
      <c r="I56" s="17"/>
      <c r="J56" s="17"/>
      <c r="K56" s="17"/>
    </row>
    <row r="57" spans="5:11" s="4" customFormat="1">
      <c r="E57" s="4">
        <f t="shared" si="5"/>
        <v>500</v>
      </c>
      <c r="F57" s="4">
        <f t="shared" si="2"/>
        <v>1.9186915753787771E-2</v>
      </c>
      <c r="G57" s="59">
        <f t="shared" si="3"/>
        <v>1.2867089327733257</v>
      </c>
      <c r="H57" s="79">
        <f t="shared" si="4"/>
        <v>260</v>
      </c>
      <c r="I57" s="17"/>
      <c r="J57" s="17"/>
      <c r="K57" s="17"/>
    </row>
    <row r="58" spans="5:11" s="4" customFormat="1">
      <c r="E58" s="4">
        <f t="shared" si="5"/>
        <v>600</v>
      </c>
      <c r="F58" s="4">
        <f t="shared" si="2"/>
        <v>1.9426499945175979E-2</v>
      </c>
      <c r="G58" s="59">
        <f t="shared" si="3"/>
        <v>1.3027758777251022</v>
      </c>
      <c r="H58" s="79">
        <f t="shared" si="4"/>
        <v>315.55555555555554</v>
      </c>
      <c r="I58" s="17"/>
      <c r="J58" s="17"/>
      <c r="K58" s="17"/>
    </row>
    <row r="59" spans="5:11" s="4" customFormat="1">
      <c r="E59" s="4">
        <f t="shared" si="5"/>
        <v>700</v>
      </c>
      <c r="F59" s="4">
        <f t="shared" si="2"/>
        <v>1.9666084136564184E-2</v>
      </c>
      <c r="G59" s="59">
        <f t="shared" si="3"/>
        <v>1.3188428226768785</v>
      </c>
      <c r="H59" s="79">
        <f t="shared" si="4"/>
        <v>371.11111111111109</v>
      </c>
      <c r="I59" s="17"/>
      <c r="J59" s="17"/>
      <c r="K59" s="17"/>
    </row>
    <row r="60" spans="5:11" s="4" customFormat="1">
      <c r="E60" s="4">
        <f t="shared" si="5"/>
        <v>800</v>
      </c>
      <c r="F60" s="4">
        <f t="shared" si="2"/>
        <v>1.9905668327952389E-2</v>
      </c>
      <c r="G60" s="59">
        <f t="shared" si="3"/>
        <v>1.3349097676286548</v>
      </c>
      <c r="H60" s="79">
        <f t="shared" si="4"/>
        <v>426.66666666666663</v>
      </c>
      <c r="I60" s="17"/>
      <c r="J60" s="17"/>
      <c r="K60" s="17"/>
    </row>
    <row r="61" spans="5:11" s="4" customFormat="1">
      <c r="E61" s="4">
        <f t="shared" si="5"/>
        <v>900</v>
      </c>
      <c r="F61" s="4">
        <f t="shared" si="2"/>
        <v>2.0145252519340594E-2</v>
      </c>
      <c r="G61" s="59">
        <f t="shared" si="3"/>
        <v>1.3509767125804311</v>
      </c>
      <c r="H61" s="79">
        <f t="shared" si="4"/>
        <v>482.22222222222223</v>
      </c>
      <c r="I61" s="17"/>
      <c r="J61" s="17"/>
      <c r="K61" s="17"/>
    </row>
    <row r="62" spans="5:11" s="4" customFormat="1">
      <c r="E62" s="4">
        <f t="shared" si="5"/>
        <v>1000</v>
      </c>
      <c r="F62" s="4">
        <f t="shared" si="2"/>
        <v>2.0384836710728802E-2</v>
      </c>
      <c r="G62" s="59">
        <f t="shared" si="3"/>
        <v>1.3670436575322076</v>
      </c>
      <c r="H62" s="79">
        <f t="shared" si="4"/>
        <v>537.77777777777771</v>
      </c>
      <c r="I62" s="17"/>
      <c r="J62" s="17"/>
      <c r="K62" s="17"/>
    </row>
    <row r="63" spans="5:11" s="4" customFormat="1">
      <c r="E63" s="4">
        <f t="shared" si="5"/>
        <v>1100</v>
      </c>
      <c r="F63" s="4">
        <f t="shared" si="2"/>
        <v>2.0624420902117007E-2</v>
      </c>
      <c r="G63" s="59">
        <f t="shared" si="3"/>
        <v>1.3831106024839839</v>
      </c>
      <c r="H63" s="79">
        <f t="shared" si="4"/>
        <v>593.33333333333337</v>
      </c>
      <c r="I63" s="17"/>
      <c r="J63" s="17"/>
      <c r="K63" s="17"/>
    </row>
    <row r="64" spans="5:11" s="4" customFormat="1">
      <c r="E64" s="4">
        <f t="shared" si="5"/>
        <v>1200</v>
      </c>
      <c r="F64" s="4">
        <f t="shared" si="2"/>
        <v>2.0864005093505212E-2</v>
      </c>
      <c r="G64" s="59">
        <f t="shared" si="3"/>
        <v>1.3991775474357602</v>
      </c>
      <c r="H64" s="79">
        <f t="shared" si="4"/>
        <v>648.88888888888891</v>
      </c>
      <c r="I64" s="17"/>
      <c r="J64" s="17"/>
      <c r="K64" s="17"/>
    </row>
    <row r="65" spans="5:11" s="4" customFormat="1">
      <c r="E65" s="4">
        <f t="shared" si="5"/>
        <v>1300</v>
      </c>
      <c r="F65" s="4">
        <f t="shared" si="2"/>
        <v>2.110358928489342E-2</v>
      </c>
      <c r="G65" s="59">
        <f t="shared" si="3"/>
        <v>1.4152444923875367</v>
      </c>
      <c r="H65" s="79">
        <f t="shared" si="4"/>
        <v>704.44444444444446</v>
      </c>
      <c r="I65" s="17"/>
      <c r="J65" s="17"/>
      <c r="K65" s="17"/>
    </row>
    <row r="66" spans="5:11" s="4" customFormat="1">
      <c r="E66" s="4">
        <f t="shared" si="5"/>
        <v>1400</v>
      </c>
      <c r="F66" s="4">
        <f t="shared" si="2"/>
        <v>2.1343173476281625E-2</v>
      </c>
      <c r="G66" s="59">
        <f t="shared" si="3"/>
        <v>1.431311437339313</v>
      </c>
      <c r="H66" s="79">
        <f t="shared" si="4"/>
        <v>760</v>
      </c>
      <c r="I66" s="17"/>
      <c r="J66" s="17"/>
      <c r="K66" s="17"/>
    </row>
    <row r="67" spans="5:11" s="4" customFormat="1">
      <c r="E67" s="4">
        <f t="shared" si="5"/>
        <v>1500</v>
      </c>
      <c r="F67" s="4">
        <f t="shared" si="2"/>
        <v>2.158275766766983E-2</v>
      </c>
      <c r="G67" s="59">
        <f t="shared" si="3"/>
        <v>1.4473783822910893</v>
      </c>
      <c r="H67" s="79">
        <f t="shared" si="4"/>
        <v>815.55555555555554</v>
      </c>
      <c r="I67" s="17"/>
      <c r="J67" s="17"/>
      <c r="K67" s="17"/>
    </row>
    <row r="68" spans="5:11" s="4" customFormat="1">
      <c r="E68" s="4">
        <f t="shared" si="5"/>
        <v>1600</v>
      </c>
      <c r="F68" s="4">
        <f t="shared" si="2"/>
        <v>2.1822341859058035E-2</v>
      </c>
      <c r="G68" s="59">
        <f t="shared" si="3"/>
        <v>1.4634453272428656</v>
      </c>
      <c r="H68" s="79">
        <f t="shared" si="4"/>
        <v>871.11111111111109</v>
      </c>
      <c r="I68" s="17"/>
      <c r="J68" s="17"/>
      <c r="K68" s="17"/>
    </row>
    <row r="69" spans="5:11" s="4" customFormat="1">
      <c r="I69" s="17"/>
      <c r="J69" s="17"/>
      <c r="K69" s="17"/>
    </row>
    <row r="70" spans="5:11" s="4" customFormat="1">
      <c r="I70" s="17"/>
      <c r="J70" s="17"/>
      <c r="K70" s="17"/>
    </row>
    <row r="71" spans="5:11" s="4" customFormat="1">
      <c r="I71" s="17"/>
      <c r="J71" s="17"/>
      <c r="K71" s="17"/>
    </row>
    <row r="72" spans="5:11" s="4" customFormat="1">
      <c r="I72" s="17"/>
      <c r="J72" s="17"/>
      <c r="K72" s="17"/>
    </row>
    <row r="73" spans="5:11" s="4" customFormat="1">
      <c r="I73" s="17"/>
      <c r="J73" s="17"/>
      <c r="K73" s="17"/>
    </row>
    <row r="74" spans="5:11" s="4" customFormat="1">
      <c r="I74" s="17"/>
      <c r="J74" s="17"/>
      <c r="K74" s="17"/>
    </row>
    <row r="75" spans="5:11" s="4" customFormat="1">
      <c r="I75" s="17"/>
      <c r="J75" s="17"/>
      <c r="K75" s="17"/>
    </row>
    <row r="76" spans="5:11" s="4" customFormat="1">
      <c r="I76" s="17"/>
      <c r="J76" s="17"/>
      <c r="K76" s="17"/>
    </row>
    <row r="77" spans="5:11" s="4" customFormat="1">
      <c r="I77" s="17"/>
      <c r="J77" s="17"/>
      <c r="K77" s="17"/>
    </row>
    <row r="78" spans="5:11" s="4" customFormat="1">
      <c r="I78" s="17"/>
      <c r="J78" s="17"/>
      <c r="K78" s="17"/>
    </row>
    <row r="79" spans="5:11" s="4" customFormat="1">
      <c r="I79" s="17"/>
      <c r="J79" s="17"/>
      <c r="K79" s="17"/>
    </row>
    <row r="80" spans="5:11" s="4" customFormat="1">
      <c r="I80" s="17"/>
      <c r="J80" s="17"/>
      <c r="K80" s="17"/>
    </row>
  </sheetData>
  <sheetProtection password="A0BB" sheet="1" objects="1" scenarios="1"/>
  <mergeCells count="10">
    <mergeCell ref="L32:L33"/>
    <mergeCell ref="L20:L21"/>
    <mergeCell ref="L23:L24"/>
    <mergeCell ref="L26:L27"/>
    <mergeCell ref="L29:L30"/>
    <mergeCell ref="N5:O5"/>
    <mergeCell ref="L8:L9"/>
    <mergeCell ref="L11:L12"/>
    <mergeCell ref="L14:L15"/>
    <mergeCell ref="L17:L18"/>
  </mergeCells>
  <phoneticPr fontId="5"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B4:I17"/>
  <sheetViews>
    <sheetView workbookViewId="0"/>
  </sheetViews>
  <sheetFormatPr defaultColWidth="9.140625" defaultRowHeight="12.75"/>
  <cols>
    <col min="1" max="1" width="9.140625" style="100"/>
    <col min="2" max="2" width="21.5703125" style="100" customWidth="1"/>
    <col min="3" max="3" width="18.28515625" style="100" customWidth="1"/>
    <col min="4" max="4" width="21.7109375" style="100" customWidth="1"/>
    <col min="5" max="7" width="9.140625" style="100"/>
    <col min="8" max="8" width="11.28515625" style="100" customWidth="1"/>
    <col min="9" max="9" width="14.28515625" style="100" customWidth="1"/>
    <col min="10" max="16384" width="9.140625" style="100"/>
  </cols>
  <sheetData>
    <row r="4" spans="2:9">
      <c r="B4" s="114" t="s">
        <v>1060</v>
      </c>
      <c r="C4" s="114" t="s">
        <v>1061</v>
      </c>
      <c r="D4" s="114" t="s">
        <v>1061</v>
      </c>
    </row>
    <row r="5" spans="2:9">
      <c r="B5" s="114"/>
      <c r="C5" s="114" t="s">
        <v>1062</v>
      </c>
      <c r="D5" s="114" t="s">
        <v>1053</v>
      </c>
    </row>
    <row r="6" spans="2:9">
      <c r="B6" s="115" t="s">
        <v>1063</v>
      </c>
      <c r="C6" s="116">
        <v>1</v>
      </c>
      <c r="D6" s="116">
        <v>70.804400000000001</v>
      </c>
      <c r="F6" s="117" t="s">
        <v>1064</v>
      </c>
      <c r="G6" s="117" t="s">
        <v>1065</v>
      </c>
      <c r="H6" s="117" t="s">
        <v>1066</v>
      </c>
      <c r="I6" s="117" t="s">
        <v>1067</v>
      </c>
    </row>
    <row r="7" spans="2:9">
      <c r="B7" s="118" t="s">
        <v>1209</v>
      </c>
      <c r="C7" s="119">
        <f>0.0185</f>
        <v>1.8499999999999999E-2</v>
      </c>
      <c r="D7" s="119">
        <f t="shared" ref="D7:D12" si="0">C7*$D$6</f>
        <v>1.3098813999999999</v>
      </c>
      <c r="F7" s="117">
        <v>1</v>
      </c>
      <c r="G7" s="117">
        <v>39.338000000000001</v>
      </c>
      <c r="H7" s="117">
        <v>1</v>
      </c>
      <c r="I7" s="117">
        <f>G7*1.8</f>
        <v>70.808400000000006</v>
      </c>
    </row>
    <row r="8" spans="2:9">
      <c r="B8" s="118" t="s">
        <v>1211</v>
      </c>
      <c r="C8" s="119">
        <v>1.8200000000000001E-2</v>
      </c>
      <c r="D8" s="119">
        <f t="shared" si="0"/>
        <v>1.2886400800000002</v>
      </c>
    </row>
    <row r="9" spans="2:9">
      <c r="B9" s="118" t="s">
        <v>1068</v>
      </c>
      <c r="C9" s="119">
        <v>1.8499999999999999E-2</v>
      </c>
      <c r="D9" s="119">
        <f t="shared" si="0"/>
        <v>1.3098813999999999</v>
      </c>
    </row>
    <row r="10" spans="2:9">
      <c r="B10" s="118" t="s">
        <v>1069</v>
      </c>
      <c r="C10" s="119">
        <f>0.0185</f>
        <v>1.8499999999999999E-2</v>
      </c>
      <c r="D10" s="119">
        <f t="shared" si="0"/>
        <v>1.3098813999999999</v>
      </c>
    </row>
    <row r="11" spans="2:9">
      <c r="B11" s="118" t="s">
        <v>1056</v>
      </c>
      <c r="C11" s="119">
        <v>1.84E-2</v>
      </c>
      <c r="D11" s="119">
        <f t="shared" si="0"/>
        <v>1.3028009599999999</v>
      </c>
    </row>
    <row r="12" spans="2:9">
      <c r="B12" s="118" t="s">
        <v>1230</v>
      </c>
      <c r="C12" s="119">
        <v>2.12E-2</v>
      </c>
      <c r="D12" s="119">
        <f t="shared" si="0"/>
        <v>1.50105328</v>
      </c>
    </row>
    <row r="13" spans="2:9">
      <c r="B13" s="118" t="s">
        <v>1292</v>
      </c>
      <c r="C13" s="119" t="s">
        <v>1070</v>
      </c>
      <c r="D13" s="119"/>
    </row>
    <row r="15" spans="2:9">
      <c r="B15" s="120" t="s">
        <v>1071</v>
      </c>
      <c r="C15" s="120"/>
      <c r="D15" s="120"/>
      <c r="E15" s="121"/>
      <c r="F15" s="121"/>
      <c r="G15" s="121"/>
      <c r="H15" s="107"/>
    </row>
    <row r="16" spans="2:9">
      <c r="B16" s="120" t="s">
        <v>1072</v>
      </c>
      <c r="C16" s="120"/>
      <c r="D16" s="120"/>
      <c r="E16" s="121"/>
      <c r="F16" s="121"/>
      <c r="G16" s="121"/>
      <c r="H16" s="107"/>
    </row>
    <row r="17" spans="2:8">
      <c r="B17" s="121" t="s">
        <v>1073</v>
      </c>
      <c r="C17" s="121"/>
      <c r="D17" s="121"/>
      <c r="E17" s="121"/>
      <c r="F17" s="121"/>
      <c r="G17" s="121"/>
      <c r="H17" s="107"/>
    </row>
  </sheetData>
  <phoneticPr fontId="5" type="noConversion"/>
  <pageMargins left="0.75" right="0.75" top="1" bottom="1" header="0.5" footer="0.5"/>
  <pageSetup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N66"/>
  <sheetViews>
    <sheetView workbookViewId="0"/>
  </sheetViews>
  <sheetFormatPr defaultRowHeight="12.75"/>
  <cols>
    <col min="1" max="1" width="3" bestFit="1" customWidth="1"/>
    <col min="2" max="2" width="30" bestFit="1" customWidth="1"/>
    <col min="3" max="3" width="11.5703125" bestFit="1" customWidth="1"/>
    <col min="4" max="4" width="37.42578125" customWidth="1"/>
    <col min="5" max="5" width="10" customWidth="1"/>
    <col min="6" max="6" width="12.85546875" customWidth="1"/>
    <col min="7" max="7" width="12.28515625" customWidth="1"/>
    <col min="8" max="8" width="13.28515625" customWidth="1"/>
    <col min="9" max="9" width="11" customWidth="1"/>
    <col min="10" max="10" width="13.7109375" customWidth="1"/>
    <col min="11" max="11" width="16.42578125" customWidth="1"/>
    <col min="12" max="12" width="12.28515625" customWidth="1"/>
    <col min="13" max="13" width="11.140625" customWidth="1"/>
    <col min="14" max="14" width="7.28515625" bestFit="1" customWidth="1"/>
  </cols>
  <sheetData>
    <row r="1" spans="1:14" s="96" customFormat="1" ht="51">
      <c r="A1" s="96" t="s">
        <v>822</v>
      </c>
      <c r="B1" s="96" t="s">
        <v>823</v>
      </c>
      <c r="C1" s="96" t="s">
        <v>824</v>
      </c>
      <c r="D1" s="96" t="s">
        <v>825</v>
      </c>
      <c r="E1" s="96" t="s">
        <v>826</v>
      </c>
      <c r="F1" s="96" t="s">
        <v>827</v>
      </c>
      <c r="G1" s="96" t="s">
        <v>828</v>
      </c>
      <c r="H1" s="96" t="s">
        <v>829</v>
      </c>
      <c r="I1" s="96" t="s">
        <v>830</v>
      </c>
      <c r="J1" s="96" t="s">
        <v>831</v>
      </c>
      <c r="K1" s="96" t="s">
        <v>832</v>
      </c>
      <c r="L1" s="96" t="s">
        <v>833</v>
      </c>
      <c r="M1" s="96" t="s">
        <v>834</v>
      </c>
      <c r="N1" s="96" t="s">
        <v>835</v>
      </c>
    </row>
    <row r="2" spans="1:14" s="99" customFormat="1">
      <c r="D2" s="99" t="s">
        <v>836</v>
      </c>
      <c r="E2" s="99">
        <f>16.02</f>
        <v>16.02</v>
      </c>
      <c r="F2" s="99">
        <v>4.1870000000000003</v>
      </c>
      <c r="G2" s="99">
        <v>2.3260000000000001</v>
      </c>
      <c r="H2" s="99">
        <f>F2</f>
        <v>4.1870000000000003</v>
      </c>
      <c r="I2" s="99" t="s">
        <v>837</v>
      </c>
      <c r="J2" s="99" t="s">
        <v>837</v>
      </c>
      <c r="K2" s="99">
        <v>2.3260000000000001</v>
      </c>
      <c r="L2" s="99">
        <f>K2</f>
        <v>2.3260000000000001</v>
      </c>
      <c r="M2" s="99">
        <f>L2</f>
        <v>2.3260000000000001</v>
      </c>
    </row>
    <row r="3" spans="1:14">
      <c r="A3">
        <v>1</v>
      </c>
      <c r="B3" t="s">
        <v>838</v>
      </c>
      <c r="C3" t="s">
        <v>783</v>
      </c>
      <c r="D3" t="s">
        <v>839</v>
      </c>
      <c r="E3">
        <v>2670.53</v>
      </c>
      <c r="F3">
        <v>1.038</v>
      </c>
      <c r="G3">
        <v>393.09399999999999</v>
      </c>
      <c r="H3">
        <v>1.089</v>
      </c>
      <c r="I3">
        <v>657.22</v>
      </c>
      <c r="J3">
        <v>748.89</v>
      </c>
      <c r="K3">
        <v>665.23599999999999</v>
      </c>
      <c r="L3">
        <v>1058.33</v>
      </c>
      <c r="M3">
        <v>1156.0219999999999</v>
      </c>
      <c r="N3" t="b">
        <v>0</v>
      </c>
    </row>
    <row r="4" spans="1:14">
      <c r="A4">
        <v>2</v>
      </c>
      <c r="B4" t="s">
        <v>840</v>
      </c>
      <c r="C4" t="s">
        <v>783</v>
      </c>
      <c r="D4" t="s">
        <v>842</v>
      </c>
      <c r="E4">
        <v>0</v>
      </c>
      <c r="F4">
        <v>0.16300000000000001</v>
      </c>
      <c r="G4">
        <v>60.941000000000003</v>
      </c>
      <c r="H4">
        <v>0.159</v>
      </c>
      <c r="I4">
        <v>238.89</v>
      </c>
      <c r="J4">
        <v>329.44</v>
      </c>
      <c r="K4">
        <v>36.750999999999998</v>
      </c>
      <c r="L4">
        <v>97.691999999999993</v>
      </c>
      <c r="M4">
        <v>111.648</v>
      </c>
      <c r="N4" t="b">
        <v>0</v>
      </c>
    </row>
    <row r="5" spans="1:14">
      <c r="A5">
        <v>3</v>
      </c>
      <c r="B5" t="s">
        <v>843</v>
      </c>
      <c r="C5" t="s">
        <v>783</v>
      </c>
      <c r="D5" t="s">
        <v>844</v>
      </c>
      <c r="E5">
        <v>7401.24</v>
      </c>
      <c r="F5">
        <v>0.29699999999999999</v>
      </c>
      <c r="G5">
        <v>79.316999999999993</v>
      </c>
      <c r="H5">
        <v>0.26400000000000001</v>
      </c>
      <c r="I5">
        <v>240</v>
      </c>
      <c r="J5">
        <v>491.11</v>
      </c>
      <c r="K5">
        <v>66.524000000000001</v>
      </c>
      <c r="L5">
        <v>157.47</v>
      </c>
      <c r="M5">
        <v>211.666</v>
      </c>
      <c r="N5" t="b">
        <v>0</v>
      </c>
    </row>
    <row r="6" spans="1:14">
      <c r="A6">
        <v>4</v>
      </c>
      <c r="B6" t="s">
        <v>845</v>
      </c>
      <c r="C6" t="s">
        <v>783</v>
      </c>
      <c r="D6" t="s">
        <v>846</v>
      </c>
      <c r="E6">
        <v>9804.24</v>
      </c>
      <c r="F6">
        <v>0.13800000000000001</v>
      </c>
      <c r="G6">
        <v>43.030999999999999</v>
      </c>
      <c r="H6">
        <v>0.14699999999999999</v>
      </c>
      <c r="I6">
        <v>270</v>
      </c>
      <c r="J6">
        <v>326.67</v>
      </c>
      <c r="K6">
        <v>35.122999999999998</v>
      </c>
      <c r="L6">
        <v>78.153999999999996</v>
      </c>
      <c r="M6">
        <v>86.527000000000001</v>
      </c>
      <c r="N6" t="b">
        <v>0</v>
      </c>
    </row>
    <row r="7" spans="1:14">
      <c r="A7">
        <v>5</v>
      </c>
      <c r="B7" t="s">
        <v>847</v>
      </c>
      <c r="C7" t="s">
        <v>783</v>
      </c>
      <c r="D7" t="s">
        <v>848</v>
      </c>
      <c r="E7">
        <v>8394.48</v>
      </c>
      <c r="F7">
        <v>0.44</v>
      </c>
      <c r="G7">
        <v>160.494</v>
      </c>
      <c r="H7">
        <v>0.52300000000000002</v>
      </c>
      <c r="I7">
        <v>887.78</v>
      </c>
      <c r="J7">
        <v>1010</v>
      </c>
      <c r="K7">
        <v>383.79</v>
      </c>
      <c r="L7">
        <v>544.28399999999999</v>
      </c>
      <c r="M7">
        <v>607.08600000000001</v>
      </c>
      <c r="N7" t="b">
        <v>0</v>
      </c>
    </row>
    <row r="8" spans="1:14">
      <c r="A8">
        <v>6</v>
      </c>
      <c r="B8" t="s">
        <v>849</v>
      </c>
      <c r="C8" t="s">
        <v>783</v>
      </c>
      <c r="D8" t="s">
        <v>850</v>
      </c>
      <c r="E8">
        <v>8746.92</v>
      </c>
      <c r="F8">
        <v>0.435</v>
      </c>
      <c r="G8">
        <v>201.19900000000001</v>
      </c>
      <c r="H8">
        <v>0.48199999999999998</v>
      </c>
      <c r="I8">
        <v>1066.67</v>
      </c>
      <c r="J8">
        <v>1232.22</v>
      </c>
      <c r="K8">
        <v>458.22199999999998</v>
      </c>
      <c r="L8">
        <v>659.42100000000005</v>
      </c>
      <c r="M8">
        <v>739.20299999999997</v>
      </c>
      <c r="N8" t="b">
        <v>0</v>
      </c>
    </row>
    <row r="9" spans="1:14">
      <c r="A9">
        <v>7</v>
      </c>
      <c r="B9" t="s">
        <v>851</v>
      </c>
      <c r="C9" t="s">
        <v>783</v>
      </c>
      <c r="D9" t="s">
        <v>852</v>
      </c>
      <c r="E9">
        <v>8458.56</v>
      </c>
      <c r="F9">
        <v>0.44</v>
      </c>
      <c r="G9">
        <v>165.14599999999999</v>
      </c>
      <c r="H9">
        <v>0.51500000000000001</v>
      </c>
      <c r="I9">
        <v>920</v>
      </c>
      <c r="J9">
        <v>1065.56</v>
      </c>
      <c r="K9">
        <v>397.74599999999998</v>
      </c>
      <c r="L9">
        <v>562.89200000000005</v>
      </c>
      <c r="M9">
        <v>637.78899999999999</v>
      </c>
      <c r="N9" t="b">
        <v>0</v>
      </c>
    </row>
    <row r="10" spans="1:14">
      <c r="A10">
        <v>8</v>
      </c>
      <c r="B10" t="s">
        <v>853</v>
      </c>
      <c r="C10" t="s">
        <v>783</v>
      </c>
      <c r="D10" t="s">
        <v>854</v>
      </c>
      <c r="E10">
        <v>8907.1200000000008</v>
      </c>
      <c r="F10">
        <v>0.39800000000000002</v>
      </c>
      <c r="G10">
        <v>185.84700000000001</v>
      </c>
      <c r="H10">
        <v>0.45600000000000002</v>
      </c>
      <c r="I10">
        <v>1000</v>
      </c>
      <c r="J10">
        <v>1121.1099999999999</v>
      </c>
      <c r="K10">
        <v>391.46600000000001</v>
      </c>
      <c r="L10">
        <v>577.31299999999999</v>
      </c>
      <c r="M10">
        <v>632.67200000000003</v>
      </c>
      <c r="N10" t="b">
        <v>0</v>
      </c>
    </row>
    <row r="11" spans="1:14">
      <c r="A11">
        <v>9</v>
      </c>
      <c r="B11" t="s">
        <v>855</v>
      </c>
      <c r="C11" t="s">
        <v>783</v>
      </c>
      <c r="D11" t="s">
        <v>856</v>
      </c>
      <c r="E11">
        <v>8170.2</v>
      </c>
      <c r="F11">
        <v>0.52800000000000002</v>
      </c>
      <c r="G11">
        <v>229.34399999999999</v>
      </c>
      <c r="H11">
        <v>0.52300000000000002</v>
      </c>
      <c r="I11">
        <v>1050</v>
      </c>
      <c r="J11">
        <v>1204.44</v>
      </c>
      <c r="K11">
        <v>546.61</v>
      </c>
      <c r="L11">
        <v>775.95399999999995</v>
      </c>
      <c r="M11">
        <v>855.96799999999996</v>
      </c>
      <c r="N11" t="b">
        <v>0</v>
      </c>
    </row>
    <row r="12" spans="1:14">
      <c r="A12">
        <v>10</v>
      </c>
      <c r="B12" t="s">
        <v>857</v>
      </c>
      <c r="C12" t="s">
        <v>783</v>
      </c>
      <c r="D12" t="s">
        <v>858</v>
      </c>
      <c r="E12">
        <v>8650.7999999999993</v>
      </c>
      <c r="F12">
        <v>0.41899999999999998</v>
      </c>
      <c r="G12">
        <v>177.47399999999999</v>
      </c>
      <c r="H12">
        <v>0.498</v>
      </c>
      <c r="I12">
        <v>890</v>
      </c>
      <c r="J12">
        <v>1037.78</v>
      </c>
      <c r="K12">
        <v>366.11200000000002</v>
      </c>
      <c r="L12">
        <v>543.58600000000001</v>
      </c>
      <c r="M12">
        <v>617.32000000000005</v>
      </c>
      <c r="N12" t="b">
        <v>0</v>
      </c>
    </row>
    <row r="13" spans="1:14">
      <c r="A13">
        <v>11</v>
      </c>
      <c r="B13" t="s">
        <v>859</v>
      </c>
      <c r="C13" t="s">
        <v>783</v>
      </c>
      <c r="D13" t="s">
        <v>860</v>
      </c>
      <c r="E13">
        <v>8811</v>
      </c>
      <c r="F13">
        <v>0.44800000000000001</v>
      </c>
      <c r="G13">
        <v>195.84899999999999</v>
      </c>
      <c r="H13">
        <v>0.44400000000000001</v>
      </c>
      <c r="I13">
        <v>1010</v>
      </c>
      <c r="J13">
        <v>1148.8900000000001</v>
      </c>
      <c r="K13">
        <v>445.42899999999997</v>
      </c>
      <c r="L13">
        <v>641.27800000000002</v>
      </c>
      <c r="M13">
        <v>702.452</v>
      </c>
      <c r="N13" t="b">
        <v>0</v>
      </c>
    </row>
    <row r="14" spans="1:14">
      <c r="A14">
        <v>12</v>
      </c>
      <c r="B14" t="s">
        <v>861</v>
      </c>
      <c r="C14" t="s">
        <v>783</v>
      </c>
      <c r="D14" t="s">
        <v>862</v>
      </c>
      <c r="E14">
        <v>8410.5</v>
      </c>
      <c r="F14">
        <v>0.44800000000000001</v>
      </c>
      <c r="G14">
        <v>170.96100000000001</v>
      </c>
      <c r="H14">
        <v>0.51900000000000002</v>
      </c>
      <c r="I14">
        <v>885</v>
      </c>
      <c r="J14">
        <v>1010</v>
      </c>
      <c r="K14">
        <v>389.60500000000002</v>
      </c>
      <c r="L14">
        <v>560.56600000000003</v>
      </c>
      <c r="M14">
        <v>625.46100000000001</v>
      </c>
      <c r="N14" t="b">
        <v>0</v>
      </c>
    </row>
    <row r="15" spans="1:14">
      <c r="A15">
        <v>13</v>
      </c>
      <c r="B15" t="s">
        <v>863</v>
      </c>
      <c r="C15" t="s">
        <v>783</v>
      </c>
      <c r="D15" t="s">
        <v>864</v>
      </c>
      <c r="E15">
        <v>7689.6</v>
      </c>
      <c r="F15">
        <v>0.628</v>
      </c>
      <c r="G15">
        <v>139.56</v>
      </c>
      <c r="H15">
        <v>0</v>
      </c>
      <c r="I15">
        <v>1537.78</v>
      </c>
      <c r="J15">
        <v>-17.78</v>
      </c>
      <c r="K15">
        <v>0</v>
      </c>
      <c r="L15">
        <v>0</v>
      </c>
      <c r="M15">
        <v>0</v>
      </c>
      <c r="N15" t="b">
        <v>0</v>
      </c>
    </row>
    <row r="16" spans="1:14">
      <c r="A16">
        <v>14</v>
      </c>
      <c r="B16" t="s">
        <v>865</v>
      </c>
      <c r="C16" t="s">
        <v>783</v>
      </c>
      <c r="D16" t="s">
        <v>866</v>
      </c>
      <c r="E16">
        <v>8955.18</v>
      </c>
      <c r="F16">
        <v>0.435</v>
      </c>
      <c r="G16">
        <v>211.666</v>
      </c>
      <c r="H16">
        <v>0.46500000000000002</v>
      </c>
      <c r="I16">
        <v>1083.33</v>
      </c>
      <c r="J16">
        <v>1204.44</v>
      </c>
      <c r="K16">
        <v>465.2</v>
      </c>
      <c r="L16">
        <v>676.86599999999999</v>
      </c>
      <c r="M16">
        <v>732.69</v>
      </c>
      <c r="N16" t="b">
        <v>0</v>
      </c>
    </row>
    <row r="17" spans="1:14">
      <c r="A17">
        <v>15</v>
      </c>
      <c r="B17" t="s">
        <v>867</v>
      </c>
      <c r="C17" t="s">
        <v>783</v>
      </c>
      <c r="D17" t="s">
        <v>868</v>
      </c>
      <c r="E17">
        <v>2819.52</v>
      </c>
      <c r="F17">
        <v>0.98799999999999999</v>
      </c>
      <c r="G17">
        <v>379.13799999999998</v>
      </c>
      <c r="H17">
        <v>1.0089999999999999</v>
      </c>
      <c r="I17">
        <v>621.11</v>
      </c>
      <c r="J17">
        <v>760</v>
      </c>
      <c r="K17">
        <v>598.48</v>
      </c>
      <c r="L17">
        <v>977.61800000000005</v>
      </c>
      <c r="M17">
        <v>1118.806</v>
      </c>
      <c r="N17" t="b">
        <v>0</v>
      </c>
    </row>
    <row r="18" spans="1:14">
      <c r="A18">
        <v>16</v>
      </c>
      <c r="B18" t="s">
        <v>867</v>
      </c>
      <c r="C18" t="s">
        <v>783</v>
      </c>
      <c r="D18" t="s">
        <v>869</v>
      </c>
      <c r="E18">
        <v>2819.52</v>
      </c>
      <c r="F18">
        <v>0.159</v>
      </c>
      <c r="G18">
        <v>40.704999999999998</v>
      </c>
      <c r="H18">
        <v>0.155</v>
      </c>
      <c r="I18">
        <v>315.56</v>
      </c>
      <c r="J18">
        <v>437.78</v>
      </c>
      <c r="K18">
        <v>47.683</v>
      </c>
      <c r="L18">
        <v>88.388000000000005</v>
      </c>
      <c r="M18">
        <v>339.596</v>
      </c>
      <c r="N18" t="b">
        <v>0</v>
      </c>
    </row>
    <row r="19" spans="1:14">
      <c r="A19">
        <v>17</v>
      </c>
      <c r="B19" t="s">
        <v>867</v>
      </c>
      <c r="C19" t="s">
        <v>783</v>
      </c>
      <c r="D19" t="s">
        <v>870</v>
      </c>
      <c r="E19">
        <v>2819.52</v>
      </c>
      <c r="F19">
        <v>0.29299999999999998</v>
      </c>
      <c r="G19">
        <v>70.245000000000005</v>
      </c>
      <c r="H19">
        <v>0.26</v>
      </c>
      <c r="I19">
        <v>232.22</v>
      </c>
      <c r="J19">
        <v>343.33</v>
      </c>
      <c r="K19">
        <v>64.197999999999993</v>
      </c>
      <c r="L19">
        <v>134.44300000000001</v>
      </c>
      <c r="M19">
        <v>162.82</v>
      </c>
      <c r="N19" t="b">
        <v>0</v>
      </c>
    </row>
    <row r="20" spans="1:14">
      <c r="A20">
        <v>18</v>
      </c>
      <c r="B20" t="s">
        <v>867</v>
      </c>
      <c r="C20" t="s">
        <v>783</v>
      </c>
      <c r="D20" t="s">
        <v>871</v>
      </c>
      <c r="E20">
        <v>2819.52</v>
      </c>
      <c r="F20">
        <v>0.43099999999999999</v>
      </c>
      <c r="G20">
        <v>111.648</v>
      </c>
      <c r="H20">
        <v>0.57799999999999996</v>
      </c>
      <c r="I20">
        <v>415.56</v>
      </c>
      <c r="J20">
        <v>526.66999999999996</v>
      </c>
      <c r="K20">
        <v>172.124</v>
      </c>
      <c r="L20">
        <v>283.77199999999999</v>
      </c>
      <c r="M20">
        <v>348.9</v>
      </c>
      <c r="N20" t="b">
        <v>0</v>
      </c>
    </row>
    <row r="21" spans="1:14">
      <c r="A21">
        <v>19</v>
      </c>
      <c r="B21" t="s">
        <v>872</v>
      </c>
      <c r="C21" t="s">
        <v>783</v>
      </c>
      <c r="D21" t="s">
        <v>873</v>
      </c>
      <c r="E21">
        <v>2819.52</v>
      </c>
      <c r="F21">
        <v>0.45600000000000002</v>
      </c>
      <c r="G21">
        <v>200.501</v>
      </c>
      <c r="H21">
        <v>0.51500000000000001</v>
      </c>
      <c r="I21">
        <v>1010</v>
      </c>
      <c r="J21">
        <v>1148.8900000000001</v>
      </c>
      <c r="K21">
        <v>451.24400000000003</v>
      </c>
      <c r="L21">
        <v>651.745</v>
      </c>
      <c r="M21">
        <v>723.38599999999997</v>
      </c>
      <c r="N21" t="b">
        <v>0</v>
      </c>
    </row>
    <row r="22" spans="1:14">
      <c r="A22">
        <v>20</v>
      </c>
      <c r="B22" t="s">
        <v>874</v>
      </c>
      <c r="C22" t="s">
        <v>783</v>
      </c>
      <c r="D22" t="s">
        <v>875</v>
      </c>
      <c r="E22">
        <v>19304.099999999999</v>
      </c>
      <c r="F22">
        <v>0.13800000000000001</v>
      </c>
      <c r="G22">
        <v>66.290999999999997</v>
      </c>
      <c r="H22">
        <v>0.14199999999999999</v>
      </c>
      <c r="I22">
        <v>1062.78</v>
      </c>
      <c r="J22">
        <v>1176.67</v>
      </c>
      <c r="K22">
        <v>144.67699999999999</v>
      </c>
      <c r="L22">
        <v>210.96799999999999</v>
      </c>
      <c r="M22">
        <v>227.25</v>
      </c>
      <c r="N22" t="b">
        <v>0</v>
      </c>
    </row>
    <row r="23" spans="1:14">
      <c r="A23">
        <v>21</v>
      </c>
      <c r="B23" t="s">
        <v>876</v>
      </c>
      <c r="C23" t="s">
        <v>783</v>
      </c>
      <c r="D23" t="s">
        <v>877</v>
      </c>
      <c r="E23">
        <v>7689.6</v>
      </c>
      <c r="F23">
        <v>0.58599999999999997</v>
      </c>
      <c r="G23">
        <v>0</v>
      </c>
      <c r="H23">
        <v>0</v>
      </c>
      <c r="I23">
        <v>1371.11</v>
      </c>
      <c r="J23">
        <v>-17.78</v>
      </c>
      <c r="K23">
        <v>0</v>
      </c>
      <c r="L23">
        <v>0</v>
      </c>
      <c r="M23">
        <v>0</v>
      </c>
      <c r="N23" t="b">
        <v>0</v>
      </c>
    </row>
    <row r="24" spans="1:14">
      <c r="A24">
        <v>22</v>
      </c>
      <c r="B24" t="s">
        <v>878</v>
      </c>
      <c r="C24" t="s">
        <v>783</v>
      </c>
      <c r="D24" t="s">
        <v>879</v>
      </c>
      <c r="E24">
        <v>7689.6</v>
      </c>
      <c r="F24">
        <v>0.79600000000000004</v>
      </c>
      <c r="G24">
        <v>96.296000000000006</v>
      </c>
      <c r="H24">
        <v>0</v>
      </c>
      <c r="I24">
        <v>1230</v>
      </c>
      <c r="J24">
        <v>1537.78</v>
      </c>
      <c r="K24">
        <v>965.29</v>
      </c>
      <c r="L24">
        <v>1060.6559999999999</v>
      </c>
      <c r="M24">
        <v>1356.058</v>
      </c>
      <c r="N24" t="b">
        <v>0</v>
      </c>
    </row>
    <row r="25" spans="1:14">
      <c r="A25">
        <v>23</v>
      </c>
      <c r="B25" t="s">
        <v>880</v>
      </c>
      <c r="C25" t="s">
        <v>783</v>
      </c>
      <c r="D25" t="s">
        <v>881</v>
      </c>
      <c r="E25">
        <v>7689.6</v>
      </c>
      <c r="F25">
        <v>0.754</v>
      </c>
      <c r="G25">
        <v>140.25800000000001</v>
      </c>
      <c r="H25">
        <v>0</v>
      </c>
      <c r="I25">
        <v>1150</v>
      </c>
      <c r="J25">
        <v>1593.33</v>
      </c>
      <c r="K25">
        <v>855.96799999999996</v>
      </c>
      <c r="L25">
        <v>995.52800000000002</v>
      </c>
      <c r="M25">
        <v>1423.5119999999999</v>
      </c>
      <c r="N25" t="b">
        <v>0</v>
      </c>
    </row>
    <row r="26" spans="1:14">
      <c r="A26">
        <v>24</v>
      </c>
      <c r="B26" t="s">
        <v>882</v>
      </c>
      <c r="C26" t="s">
        <v>783</v>
      </c>
      <c r="D26" t="s">
        <v>883</v>
      </c>
      <c r="E26">
        <v>7689.6</v>
      </c>
      <c r="F26">
        <v>0.64100000000000001</v>
      </c>
      <c r="G26">
        <v>194.45400000000001</v>
      </c>
      <c r="H26">
        <v>0</v>
      </c>
      <c r="I26">
        <v>1100</v>
      </c>
      <c r="J26">
        <v>1260</v>
      </c>
      <c r="K26">
        <v>695.47400000000005</v>
      </c>
      <c r="L26">
        <v>893.18399999999997</v>
      </c>
      <c r="M26">
        <v>1046.7</v>
      </c>
      <c r="N26" t="b">
        <v>0</v>
      </c>
    </row>
    <row r="27" spans="1:14">
      <c r="A27">
        <v>25</v>
      </c>
      <c r="B27" t="s">
        <v>884</v>
      </c>
      <c r="C27" t="s">
        <v>783</v>
      </c>
      <c r="D27" t="s">
        <v>885</v>
      </c>
      <c r="E27">
        <v>7865.82</v>
      </c>
      <c r="F27">
        <v>0.70299999999999996</v>
      </c>
      <c r="G27">
        <v>272.142</v>
      </c>
      <c r="H27">
        <v>0.628</v>
      </c>
      <c r="I27">
        <v>1538.89</v>
      </c>
      <c r="J27">
        <v>1704.44</v>
      </c>
      <c r="K27">
        <v>1049.0260000000001</v>
      </c>
      <c r="L27">
        <v>1321.1679999999999</v>
      </c>
      <c r="M27">
        <v>1456.076</v>
      </c>
      <c r="N27" t="b">
        <v>0</v>
      </c>
    </row>
    <row r="28" spans="1:14">
      <c r="A28">
        <v>26</v>
      </c>
      <c r="B28" t="s">
        <v>886</v>
      </c>
      <c r="C28" t="s">
        <v>783</v>
      </c>
      <c r="D28" t="s">
        <v>887</v>
      </c>
      <c r="E28">
        <v>11342.16</v>
      </c>
      <c r="F28">
        <v>0.13400000000000001</v>
      </c>
      <c r="G28">
        <v>23.26</v>
      </c>
      <c r="H28">
        <v>0.14199999999999999</v>
      </c>
      <c r="I28">
        <v>327.22000000000003</v>
      </c>
      <c r="J28">
        <v>382.22</v>
      </c>
      <c r="K28">
        <v>41.868000000000002</v>
      </c>
      <c r="L28">
        <v>65.128</v>
      </c>
      <c r="M28">
        <v>72.105999999999995</v>
      </c>
      <c r="N28" t="b">
        <v>0</v>
      </c>
    </row>
    <row r="29" spans="1:14">
      <c r="A29">
        <v>27</v>
      </c>
      <c r="B29" t="s">
        <v>888</v>
      </c>
      <c r="C29" t="s">
        <v>783</v>
      </c>
      <c r="D29" t="s">
        <v>889</v>
      </c>
      <c r="E29">
        <v>11214</v>
      </c>
      <c r="F29">
        <v>0.151</v>
      </c>
      <c r="G29">
        <v>50.009</v>
      </c>
      <c r="H29">
        <v>0.151</v>
      </c>
      <c r="I29">
        <v>252.22</v>
      </c>
      <c r="J29">
        <v>326.67</v>
      </c>
      <c r="K29">
        <v>35.588000000000001</v>
      </c>
      <c r="L29">
        <v>85.596999999999994</v>
      </c>
      <c r="M29">
        <v>96.762</v>
      </c>
      <c r="N29" t="b">
        <v>0</v>
      </c>
    </row>
    <row r="30" spans="1:14">
      <c r="A30">
        <v>28</v>
      </c>
      <c r="B30" t="s">
        <v>890</v>
      </c>
      <c r="C30" t="s">
        <v>783</v>
      </c>
      <c r="D30" t="s">
        <v>891</v>
      </c>
      <c r="E30">
        <v>1739.77</v>
      </c>
      <c r="F30">
        <v>1.139</v>
      </c>
      <c r="G30">
        <v>194.68600000000001</v>
      </c>
      <c r="H30">
        <v>1.1140000000000001</v>
      </c>
      <c r="I30">
        <v>651.11</v>
      </c>
      <c r="J30">
        <v>748.89</v>
      </c>
      <c r="K30">
        <v>723.851</v>
      </c>
      <c r="L30">
        <v>918.53700000000003</v>
      </c>
      <c r="M30">
        <v>1027.394</v>
      </c>
      <c r="N30" t="b">
        <v>0</v>
      </c>
    </row>
    <row r="31" spans="1:14">
      <c r="A31">
        <v>29</v>
      </c>
      <c r="B31" t="s">
        <v>892</v>
      </c>
      <c r="C31" t="s">
        <v>783</v>
      </c>
      <c r="D31" t="s">
        <v>893</v>
      </c>
      <c r="E31">
        <v>7433.28</v>
      </c>
      <c r="F31">
        <v>0.71599999999999997</v>
      </c>
      <c r="G31">
        <v>153.51599999999999</v>
      </c>
      <c r="H31">
        <v>0.80400000000000005</v>
      </c>
      <c r="I31">
        <v>1230</v>
      </c>
      <c r="J31">
        <v>1315.56</v>
      </c>
      <c r="K31">
        <v>869.92399999999998</v>
      </c>
      <c r="L31">
        <v>1023.44</v>
      </c>
      <c r="M31">
        <v>1090.894</v>
      </c>
      <c r="N31" t="b">
        <v>0</v>
      </c>
    </row>
    <row r="32" spans="1:14">
      <c r="A32">
        <v>30</v>
      </c>
      <c r="B32" t="s">
        <v>894</v>
      </c>
      <c r="C32" t="s">
        <v>783</v>
      </c>
      <c r="D32" t="s">
        <v>895</v>
      </c>
      <c r="E32">
        <v>8811</v>
      </c>
      <c r="F32">
        <v>0.54</v>
      </c>
      <c r="G32">
        <v>273.072</v>
      </c>
      <c r="H32">
        <v>0.58199999999999996</v>
      </c>
      <c r="I32">
        <v>1323.89</v>
      </c>
      <c r="J32">
        <v>1510</v>
      </c>
      <c r="K32">
        <v>707.10400000000004</v>
      </c>
      <c r="L32">
        <v>980.17600000000004</v>
      </c>
      <c r="M32">
        <v>1088.568</v>
      </c>
      <c r="N32" t="b">
        <v>0</v>
      </c>
    </row>
    <row r="33" spans="1:14">
      <c r="A33">
        <v>31</v>
      </c>
      <c r="B33" t="s">
        <v>896</v>
      </c>
      <c r="C33" t="s">
        <v>783</v>
      </c>
      <c r="D33" t="s">
        <v>897</v>
      </c>
      <c r="E33">
        <v>8907.1200000000008</v>
      </c>
      <c r="F33">
        <v>0.56100000000000005</v>
      </c>
      <c r="G33">
        <v>305.86900000000003</v>
      </c>
      <c r="H33">
        <v>0.55700000000000005</v>
      </c>
      <c r="I33">
        <v>1451.11</v>
      </c>
      <c r="J33">
        <v>1565.56</v>
      </c>
      <c r="K33">
        <v>804.79600000000005</v>
      </c>
      <c r="L33">
        <v>1110.665</v>
      </c>
      <c r="M33">
        <v>1174.6300000000001</v>
      </c>
      <c r="N33" t="b">
        <v>0</v>
      </c>
    </row>
    <row r="34" spans="1:14">
      <c r="A34">
        <v>32</v>
      </c>
      <c r="B34" t="s">
        <v>898</v>
      </c>
      <c r="C34" t="s">
        <v>783</v>
      </c>
      <c r="D34" t="s">
        <v>899</v>
      </c>
      <c r="E34">
        <v>10493.1</v>
      </c>
      <c r="F34">
        <v>0.26400000000000001</v>
      </c>
      <c r="G34">
        <v>108.857</v>
      </c>
      <c r="H34">
        <v>0.29299999999999998</v>
      </c>
      <c r="I34">
        <v>961.11</v>
      </c>
      <c r="J34">
        <v>1065.56</v>
      </c>
      <c r="K34">
        <v>248.88200000000001</v>
      </c>
      <c r="L34">
        <v>357.73899999999998</v>
      </c>
      <c r="M34">
        <v>388.44200000000001</v>
      </c>
      <c r="N34" t="b">
        <v>0</v>
      </c>
    </row>
    <row r="35" spans="1:14">
      <c r="A35">
        <v>33</v>
      </c>
      <c r="B35" t="s">
        <v>900</v>
      </c>
      <c r="C35" t="s">
        <v>783</v>
      </c>
      <c r="D35" t="s">
        <v>901</v>
      </c>
      <c r="E35">
        <v>9291.6</v>
      </c>
      <c r="F35">
        <v>0.16700000000000001</v>
      </c>
      <c r="G35">
        <v>38.146000000000001</v>
      </c>
      <c r="H35">
        <v>0.16300000000000001</v>
      </c>
      <c r="I35">
        <v>111.11</v>
      </c>
      <c r="J35">
        <v>165.56</v>
      </c>
      <c r="K35">
        <v>21.632000000000001</v>
      </c>
      <c r="L35">
        <v>59.777999999999999</v>
      </c>
      <c r="M35">
        <v>68.617000000000004</v>
      </c>
      <c r="N35" t="b">
        <v>0</v>
      </c>
    </row>
    <row r="36" spans="1:14">
      <c r="A36">
        <v>34</v>
      </c>
      <c r="B36" t="s">
        <v>902</v>
      </c>
      <c r="C36" t="s">
        <v>783</v>
      </c>
      <c r="D36" t="s">
        <v>903</v>
      </c>
      <c r="E36">
        <v>9291.6</v>
      </c>
      <c r="F36">
        <v>0.214</v>
      </c>
      <c r="G36">
        <v>53.497999999999998</v>
      </c>
      <c r="H36">
        <v>0.20499999999999999</v>
      </c>
      <c r="I36">
        <v>212.22</v>
      </c>
      <c r="J36">
        <v>260</v>
      </c>
      <c r="K36">
        <v>41.868000000000002</v>
      </c>
      <c r="L36">
        <v>95.366</v>
      </c>
      <c r="M36">
        <v>104.67</v>
      </c>
      <c r="N36" t="b">
        <v>0</v>
      </c>
    </row>
    <row r="37" spans="1:14">
      <c r="A37">
        <v>35</v>
      </c>
      <c r="B37" t="s">
        <v>904</v>
      </c>
      <c r="C37" t="s">
        <v>783</v>
      </c>
      <c r="D37" t="s">
        <v>905</v>
      </c>
      <c r="E37">
        <v>7689.6</v>
      </c>
      <c r="F37">
        <v>0.58599999999999997</v>
      </c>
      <c r="G37">
        <v>0</v>
      </c>
      <c r="H37">
        <v>0</v>
      </c>
      <c r="I37">
        <v>1398.89</v>
      </c>
      <c r="J37">
        <v>-17.78</v>
      </c>
      <c r="K37">
        <v>0</v>
      </c>
      <c r="L37">
        <v>0</v>
      </c>
      <c r="M37">
        <v>0</v>
      </c>
      <c r="N37" t="b">
        <v>0</v>
      </c>
    </row>
    <row r="38" spans="1:14">
      <c r="A38">
        <v>36</v>
      </c>
      <c r="B38" t="s">
        <v>906</v>
      </c>
      <c r="C38" t="s">
        <v>783</v>
      </c>
      <c r="D38" t="s">
        <v>907</v>
      </c>
      <c r="E38">
        <v>7689.6</v>
      </c>
      <c r="F38">
        <v>1.0469999999999999</v>
      </c>
      <c r="G38">
        <v>111.648</v>
      </c>
      <c r="H38">
        <v>0</v>
      </c>
      <c r="I38">
        <v>1537.78</v>
      </c>
      <c r="J38">
        <v>1537.78</v>
      </c>
      <c r="K38">
        <v>1744.5</v>
      </c>
      <c r="L38">
        <v>293.07600000000002</v>
      </c>
      <c r="M38">
        <v>330.29199999999997</v>
      </c>
      <c r="N38" t="b">
        <v>0</v>
      </c>
    </row>
    <row r="39" spans="1:14">
      <c r="A39">
        <v>37</v>
      </c>
      <c r="B39" t="s">
        <v>908</v>
      </c>
      <c r="C39" t="s">
        <v>783</v>
      </c>
      <c r="D39" t="s">
        <v>909</v>
      </c>
      <c r="E39">
        <v>7289.1</v>
      </c>
      <c r="F39">
        <v>0.28899999999999998</v>
      </c>
      <c r="G39">
        <v>58.15</v>
      </c>
      <c r="H39">
        <v>0.26700000000000002</v>
      </c>
      <c r="I39">
        <v>232.22</v>
      </c>
      <c r="J39">
        <v>343.33</v>
      </c>
      <c r="K39">
        <v>62.802</v>
      </c>
      <c r="L39">
        <v>120.952</v>
      </c>
      <c r="M39">
        <v>148.864</v>
      </c>
      <c r="N39" t="b">
        <v>0</v>
      </c>
    </row>
    <row r="40" spans="1:14">
      <c r="A40">
        <v>38</v>
      </c>
      <c r="B40" t="s">
        <v>910</v>
      </c>
      <c r="C40" t="s">
        <v>783</v>
      </c>
      <c r="D40" t="s">
        <v>911</v>
      </c>
      <c r="E40">
        <v>7128.9</v>
      </c>
      <c r="F40">
        <v>0.44800000000000001</v>
      </c>
      <c r="G40">
        <v>111.648</v>
      </c>
      <c r="H40">
        <v>0.61099999999999999</v>
      </c>
      <c r="I40">
        <v>418.89</v>
      </c>
      <c r="J40">
        <v>482.22</v>
      </c>
      <c r="K40">
        <v>180.96299999999999</v>
      </c>
      <c r="L40">
        <v>292.61099999999999</v>
      </c>
      <c r="M40">
        <v>330.29199999999997</v>
      </c>
      <c r="N40" t="b">
        <v>0</v>
      </c>
    </row>
    <row r="41" spans="1:14">
      <c r="A41">
        <v>39</v>
      </c>
      <c r="B41" t="s">
        <v>912</v>
      </c>
      <c r="C41" t="s">
        <v>783</v>
      </c>
      <c r="E41">
        <v>0</v>
      </c>
      <c r="F41">
        <v>1.0469999999999999</v>
      </c>
      <c r="G41">
        <v>0</v>
      </c>
      <c r="H41">
        <v>0</v>
      </c>
      <c r="I41">
        <v>2760</v>
      </c>
      <c r="J41">
        <v>-17.78</v>
      </c>
      <c r="K41">
        <v>0</v>
      </c>
      <c r="L41">
        <v>0</v>
      </c>
      <c r="M41">
        <v>0</v>
      </c>
      <c r="N41" t="b">
        <v>0</v>
      </c>
    </row>
    <row r="42" spans="1:14">
      <c r="A42">
        <v>40</v>
      </c>
      <c r="B42" t="s">
        <v>913</v>
      </c>
      <c r="C42" t="s">
        <v>783</v>
      </c>
      <c r="E42">
        <v>0</v>
      </c>
      <c r="F42">
        <v>1.0469999999999999</v>
      </c>
      <c r="G42">
        <v>0</v>
      </c>
      <c r="H42">
        <v>0</v>
      </c>
      <c r="I42">
        <v>2760</v>
      </c>
      <c r="J42">
        <v>-17.78</v>
      </c>
      <c r="K42">
        <v>0</v>
      </c>
      <c r="L42">
        <v>0</v>
      </c>
      <c r="M42">
        <v>0</v>
      </c>
      <c r="N42" t="b">
        <v>0</v>
      </c>
    </row>
    <row r="43" spans="1:14">
      <c r="A43">
        <v>41</v>
      </c>
      <c r="B43" t="s">
        <v>914</v>
      </c>
      <c r="C43" t="s">
        <v>800</v>
      </c>
      <c r="E43">
        <v>0</v>
      </c>
      <c r="F43">
        <v>2.722</v>
      </c>
      <c r="G43">
        <v>0</v>
      </c>
      <c r="H43">
        <v>0</v>
      </c>
      <c r="I43">
        <v>482.22</v>
      </c>
      <c r="J43">
        <v>-17.78</v>
      </c>
      <c r="K43">
        <v>0</v>
      </c>
      <c r="L43">
        <v>0</v>
      </c>
      <c r="M43">
        <v>0</v>
      </c>
      <c r="N43" t="b">
        <v>0</v>
      </c>
    </row>
    <row r="44" spans="1:14">
      <c r="A44">
        <v>42</v>
      </c>
      <c r="B44" t="s">
        <v>915</v>
      </c>
      <c r="C44" t="s">
        <v>800</v>
      </c>
      <c r="E44">
        <v>0</v>
      </c>
      <c r="F44">
        <v>4.1870000000000003</v>
      </c>
      <c r="G44">
        <v>2256.9180000000001</v>
      </c>
      <c r="H44">
        <v>1.968</v>
      </c>
      <c r="I44">
        <v>100</v>
      </c>
      <c r="J44">
        <v>-17.78</v>
      </c>
      <c r="K44">
        <v>0</v>
      </c>
      <c r="L44">
        <v>0</v>
      </c>
      <c r="M44">
        <v>0</v>
      </c>
      <c r="N44" t="b">
        <v>0</v>
      </c>
    </row>
    <row r="45" spans="1:14">
      <c r="A45">
        <v>43</v>
      </c>
      <c r="B45" t="s">
        <v>916</v>
      </c>
      <c r="C45" t="s">
        <v>800</v>
      </c>
      <c r="E45">
        <v>0</v>
      </c>
      <c r="F45">
        <v>4.3959999999999999</v>
      </c>
      <c r="G45">
        <v>2018.9680000000001</v>
      </c>
      <c r="H45">
        <v>2.2610000000000001</v>
      </c>
      <c r="I45">
        <v>185</v>
      </c>
      <c r="J45">
        <v>-17.78</v>
      </c>
      <c r="K45">
        <v>0</v>
      </c>
      <c r="L45">
        <v>0</v>
      </c>
      <c r="M45">
        <v>0</v>
      </c>
      <c r="N45" t="b">
        <v>0</v>
      </c>
    </row>
    <row r="46" spans="1:14">
      <c r="A46">
        <v>44</v>
      </c>
      <c r="B46" t="s">
        <v>917</v>
      </c>
      <c r="C46" t="s">
        <v>800</v>
      </c>
      <c r="E46">
        <v>0</v>
      </c>
      <c r="F46">
        <v>2.1349999999999998</v>
      </c>
      <c r="G46">
        <v>404.72399999999999</v>
      </c>
      <c r="H46">
        <v>1.675</v>
      </c>
      <c r="I46">
        <v>118</v>
      </c>
      <c r="J46">
        <v>-17.78</v>
      </c>
      <c r="K46">
        <v>0</v>
      </c>
      <c r="L46">
        <v>0</v>
      </c>
      <c r="M46">
        <v>0</v>
      </c>
      <c r="N46" t="b">
        <v>0</v>
      </c>
    </row>
    <row r="47" spans="1:14">
      <c r="A47">
        <v>45</v>
      </c>
      <c r="B47" t="s">
        <v>918</v>
      </c>
      <c r="C47" t="s">
        <v>800</v>
      </c>
      <c r="E47">
        <v>0</v>
      </c>
      <c r="F47">
        <v>1.4530000000000001</v>
      </c>
      <c r="G47">
        <v>555.91399999999999</v>
      </c>
      <c r="H47">
        <v>1.675</v>
      </c>
      <c r="I47">
        <v>54.44</v>
      </c>
      <c r="J47">
        <v>-17.78</v>
      </c>
      <c r="K47">
        <v>0</v>
      </c>
      <c r="L47">
        <v>0</v>
      </c>
      <c r="M47">
        <v>0</v>
      </c>
      <c r="N47" t="b">
        <v>0</v>
      </c>
    </row>
    <row r="48" spans="1:14">
      <c r="A48">
        <v>46</v>
      </c>
      <c r="B48" t="s">
        <v>919</v>
      </c>
      <c r="C48" t="s">
        <v>800</v>
      </c>
      <c r="E48">
        <v>0</v>
      </c>
      <c r="F48">
        <v>2.7130000000000001</v>
      </c>
      <c r="G48">
        <v>858.29399999999998</v>
      </c>
      <c r="H48">
        <v>1.8839999999999999</v>
      </c>
      <c r="I48">
        <v>77.78</v>
      </c>
      <c r="J48">
        <v>-17.78</v>
      </c>
      <c r="K48">
        <v>0</v>
      </c>
      <c r="L48">
        <v>0</v>
      </c>
      <c r="M48">
        <v>0</v>
      </c>
      <c r="N48" t="b">
        <v>0</v>
      </c>
    </row>
    <row r="49" spans="1:14">
      <c r="A49">
        <v>47</v>
      </c>
      <c r="B49" t="s">
        <v>920</v>
      </c>
      <c r="C49" t="s">
        <v>800</v>
      </c>
      <c r="E49">
        <v>0</v>
      </c>
      <c r="F49">
        <v>2.516</v>
      </c>
      <c r="G49">
        <v>1118.806</v>
      </c>
      <c r="H49">
        <v>1.3819999999999999</v>
      </c>
      <c r="I49">
        <v>66.11</v>
      </c>
      <c r="J49">
        <v>-17.78</v>
      </c>
      <c r="K49">
        <v>0</v>
      </c>
      <c r="L49">
        <v>0</v>
      </c>
      <c r="M49">
        <v>0</v>
      </c>
      <c r="N49" t="b">
        <v>0</v>
      </c>
    </row>
    <row r="50" spans="1:14">
      <c r="A50">
        <v>48</v>
      </c>
      <c r="B50" t="s">
        <v>921</v>
      </c>
      <c r="C50" t="s">
        <v>800</v>
      </c>
      <c r="E50">
        <v>0</v>
      </c>
      <c r="F50">
        <v>1.7709999999999999</v>
      </c>
      <c r="G50">
        <v>395.42</v>
      </c>
      <c r="H50">
        <v>1.3819999999999999</v>
      </c>
      <c r="I50">
        <v>80</v>
      </c>
      <c r="J50">
        <v>-17.78</v>
      </c>
      <c r="K50">
        <v>0</v>
      </c>
      <c r="L50">
        <v>0</v>
      </c>
      <c r="M50">
        <v>0</v>
      </c>
      <c r="N50" t="b">
        <v>0</v>
      </c>
    </row>
    <row r="51" spans="1:14">
      <c r="A51">
        <v>49</v>
      </c>
      <c r="B51" t="s">
        <v>922</v>
      </c>
      <c r="C51" t="s">
        <v>800</v>
      </c>
      <c r="E51">
        <v>0</v>
      </c>
      <c r="F51">
        <v>0.44800000000000001</v>
      </c>
      <c r="G51">
        <v>190.732</v>
      </c>
      <c r="H51">
        <v>0.23</v>
      </c>
      <c r="I51">
        <v>61.11</v>
      </c>
      <c r="J51">
        <v>-17.78</v>
      </c>
      <c r="K51">
        <v>0</v>
      </c>
      <c r="L51">
        <v>0</v>
      </c>
      <c r="M51">
        <v>0</v>
      </c>
      <c r="N51" t="b">
        <v>0</v>
      </c>
    </row>
    <row r="52" spans="1:14">
      <c r="A52">
        <v>50</v>
      </c>
      <c r="B52" t="s">
        <v>923</v>
      </c>
      <c r="C52" t="s">
        <v>800</v>
      </c>
      <c r="E52">
        <v>0</v>
      </c>
      <c r="F52">
        <v>0.9</v>
      </c>
      <c r="G52">
        <v>194.221</v>
      </c>
      <c r="H52">
        <v>1.0469999999999999</v>
      </c>
      <c r="I52">
        <v>76.67</v>
      </c>
      <c r="J52">
        <v>-17.78</v>
      </c>
      <c r="K52">
        <v>0</v>
      </c>
      <c r="L52">
        <v>0</v>
      </c>
      <c r="M52">
        <v>0</v>
      </c>
      <c r="N52" t="b">
        <v>0</v>
      </c>
    </row>
    <row r="53" spans="1:14">
      <c r="A53">
        <v>51</v>
      </c>
      <c r="B53" t="s">
        <v>924</v>
      </c>
      <c r="C53" t="s">
        <v>800</v>
      </c>
      <c r="E53">
        <v>0</v>
      </c>
      <c r="F53">
        <v>2.387</v>
      </c>
      <c r="G53">
        <v>244.23</v>
      </c>
      <c r="H53">
        <v>2.3029999999999999</v>
      </c>
      <c r="I53">
        <v>190.56</v>
      </c>
      <c r="J53">
        <v>-17.78</v>
      </c>
      <c r="K53">
        <v>0</v>
      </c>
      <c r="L53">
        <v>0</v>
      </c>
      <c r="M53">
        <v>0</v>
      </c>
      <c r="N53" t="b">
        <v>0</v>
      </c>
    </row>
    <row r="54" spans="1:14">
      <c r="A54">
        <v>52</v>
      </c>
      <c r="B54" t="s">
        <v>925</v>
      </c>
      <c r="C54" t="s">
        <v>800</v>
      </c>
      <c r="E54">
        <v>0</v>
      </c>
      <c r="F54">
        <v>2.4279999999999999</v>
      </c>
      <c r="G54">
        <v>251.208</v>
      </c>
      <c r="H54">
        <v>2.3029999999999999</v>
      </c>
      <c r="I54">
        <v>315.56</v>
      </c>
      <c r="J54">
        <v>-17.78</v>
      </c>
      <c r="K54">
        <v>0</v>
      </c>
      <c r="L54">
        <v>0</v>
      </c>
      <c r="M54">
        <v>0</v>
      </c>
      <c r="N54" t="b">
        <v>0</v>
      </c>
    </row>
    <row r="55" spans="1:14">
      <c r="A55">
        <v>53</v>
      </c>
      <c r="B55" t="s">
        <v>926</v>
      </c>
      <c r="C55" t="s">
        <v>800</v>
      </c>
      <c r="E55">
        <v>0</v>
      </c>
      <c r="F55">
        <v>2.387</v>
      </c>
      <c r="G55">
        <v>604.76</v>
      </c>
      <c r="H55">
        <v>2.5960000000000001</v>
      </c>
      <c r="I55">
        <v>126.67</v>
      </c>
      <c r="J55">
        <v>-17.78</v>
      </c>
      <c r="K55">
        <v>0</v>
      </c>
      <c r="L55">
        <v>0</v>
      </c>
      <c r="M55">
        <v>0</v>
      </c>
      <c r="N55" t="b">
        <v>0</v>
      </c>
    </row>
    <row r="56" spans="1:14">
      <c r="A56">
        <v>54</v>
      </c>
      <c r="B56" t="s">
        <v>927</v>
      </c>
      <c r="C56" t="s">
        <v>800</v>
      </c>
      <c r="E56">
        <v>0</v>
      </c>
      <c r="F56">
        <v>2.512</v>
      </c>
      <c r="G56">
        <v>1093.22</v>
      </c>
      <c r="H56">
        <v>2.512</v>
      </c>
      <c r="I56">
        <v>64.44</v>
      </c>
      <c r="J56">
        <v>-17.78</v>
      </c>
      <c r="K56">
        <v>0</v>
      </c>
      <c r="L56">
        <v>0</v>
      </c>
      <c r="M56">
        <v>0</v>
      </c>
      <c r="N56" t="b">
        <v>0</v>
      </c>
    </row>
    <row r="57" spans="1:14">
      <c r="A57">
        <v>55</v>
      </c>
      <c r="B57" t="s">
        <v>928</v>
      </c>
      <c r="C57" t="s">
        <v>1198</v>
      </c>
      <c r="E57">
        <v>0</v>
      </c>
      <c r="F57">
        <v>1.968</v>
      </c>
      <c r="G57">
        <v>0</v>
      </c>
      <c r="H57">
        <v>0</v>
      </c>
      <c r="I57">
        <v>-17.78</v>
      </c>
      <c r="J57">
        <v>-17.78</v>
      </c>
      <c r="K57">
        <v>0</v>
      </c>
      <c r="L57">
        <v>0</v>
      </c>
      <c r="M57">
        <v>0</v>
      </c>
      <c r="N57" t="b">
        <v>0</v>
      </c>
    </row>
    <row r="58" spans="1:14">
      <c r="A58">
        <v>56</v>
      </c>
      <c r="B58" t="s">
        <v>929</v>
      </c>
      <c r="C58" t="s">
        <v>1198</v>
      </c>
      <c r="E58">
        <v>0</v>
      </c>
      <c r="F58">
        <v>2.052</v>
      </c>
      <c r="G58">
        <v>0</v>
      </c>
      <c r="H58">
        <v>0</v>
      </c>
      <c r="I58">
        <v>-17.78</v>
      </c>
      <c r="J58">
        <v>-17.78</v>
      </c>
      <c r="K58">
        <v>0</v>
      </c>
      <c r="L58">
        <v>0</v>
      </c>
      <c r="M58">
        <v>0</v>
      </c>
      <c r="N58" t="b">
        <v>0</v>
      </c>
    </row>
    <row r="59" spans="1:14">
      <c r="A59">
        <v>57</v>
      </c>
      <c r="B59" t="s">
        <v>930</v>
      </c>
      <c r="C59" t="s">
        <v>1198</v>
      </c>
      <c r="E59">
        <v>0</v>
      </c>
      <c r="F59">
        <v>2.1349999999999998</v>
      </c>
      <c r="G59">
        <v>0</v>
      </c>
      <c r="H59">
        <v>0</v>
      </c>
      <c r="I59">
        <v>-17.78</v>
      </c>
      <c r="J59">
        <v>-17.78</v>
      </c>
      <c r="K59">
        <v>0</v>
      </c>
      <c r="L59">
        <v>0</v>
      </c>
      <c r="M59">
        <v>0</v>
      </c>
      <c r="N59" t="b">
        <v>0</v>
      </c>
    </row>
    <row r="60" spans="1:14">
      <c r="A60">
        <v>58</v>
      </c>
      <c r="B60" t="s">
        <v>931</v>
      </c>
      <c r="C60" t="s">
        <v>1198</v>
      </c>
      <c r="E60">
        <v>0</v>
      </c>
      <c r="F60">
        <v>2.4700000000000002</v>
      </c>
      <c r="G60">
        <v>0</v>
      </c>
      <c r="H60">
        <v>0</v>
      </c>
      <c r="I60">
        <v>-17.78</v>
      </c>
      <c r="J60">
        <v>-17.78</v>
      </c>
      <c r="K60">
        <v>0</v>
      </c>
      <c r="L60">
        <v>0</v>
      </c>
      <c r="M60">
        <v>0</v>
      </c>
      <c r="N60" t="b">
        <v>0</v>
      </c>
    </row>
    <row r="61" spans="1:14">
      <c r="A61">
        <v>59</v>
      </c>
      <c r="B61" t="s">
        <v>932</v>
      </c>
      <c r="C61" t="s">
        <v>1198</v>
      </c>
      <c r="E61">
        <v>0</v>
      </c>
      <c r="F61">
        <v>1.026</v>
      </c>
      <c r="G61">
        <v>0</v>
      </c>
      <c r="H61">
        <v>0</v>
      </c>
      <c r="I61">
        <v>-17.78</v>
      </c>
      <c r="J61">
        <v>-17.78</v>
      </c>
      <c r="K61">
        <v>0</v>
      </c>
      <c r="L61">
        <v>0</v>
      </c>
      <c r="M61">
        <v>0</v>
      </c>
      <c r="N61" t="b">
        <v>0</v>
      </c>
    </row>
    <row r="62" spans="1:14">
      <c r="A62">
        <v>60</v>
      </c>
      <c r="B62" t="s">
        <v>933</v>
      </c>
      <c r="C62" t="s">
        <v>1198</v>
      </c>
      <c r="E62">
        <v>0</v>
      </c>
      <c r="F62">
        <v>1.0469999999999999</v>
      </c>
      <c r="G62">
        <v>0</v>
      </c>
      <c r="H62">
        <v>0</v>
      </c>
      <c r="I62">
        <v>-17.78</v>
      </c>
      <c r="J62">
        <v>-17.78</v>
      </c>
      <c r="K62">
        <v>0</v>
      </c>
      <c r="L62">
        <v>0</v>
      </c>
      <c r="M62">
        <v>0</v>
      </c>
      <c r="N62" t="b">
        <v>0</v>
      </c>
    </row>
    <row r="63" spans="1:14">
      <c r="A63">
        <v>61</v>
      </c>
      <c r="B63" t="s">
        <v>934</v>
      </c>
      <c r="C63" t="s">
        <v>1198</v>
      </c>
      <c r="E63">
        <v>0</v>
      </c>
      <c r="F63">
        <v>0.96299999999999997</v>
      </c>
      <c r="G63">
        <v>0</v>
      </c>
      <c r="H63">
        <v>0</v>
      </c>
      <c r="I63">
        <v>-17.78</v>
      </c>
      <c r="J63">
        <v>-17.78</v>
      </c>
      <c r="K63">
        <v>0</v>
      </c>
      <c r="L63">
        <v>0</v>
      </c>
      <c r="M63">
        <v>0</v>
      </c>
      <c r="N63" t="b">
        <v>0</v>
      </c>
    </row>
    <row r="64" spans="1:14">
      <c r="A64">
        <v>62</v>
      </c>
      <c r="B64" t="s">
        <v>935</v>
      </c>
      <c r="C64" t="s">
        <v>1198</v>
      </c>
      <c r="E64">
        <v>0</v>
      </c>
      <c r="F64">
        <v>1.0049999999999999</v>
      </c>
      <c r="G64">
        <v>0</v>
      </c>
      <c r="H64">
        <v>0</v>
      </c>
      <c r="I64">
        <v>-17.78</v>
      </c>
      <c r="J64">
        <v>-17.78</v>
      </c>
      <c r="K64">
        <v>0</v>
      </c>
      <c r="L64">
        <v>0</v>
      </c>
      <c r="M64">
        <v>0</v>
      </c>
      <c r="N64" t="b">
        <v>0</v>
      </c>
    </row>
    <row r="65" spans="1:14">
      <c r="A65">
        <v>63</v>
      </c>
      <c r="B65" t="s">
        <v>936</v>
      </c>
      <c r="C65" t="s">
        <v>1198</v>
      </c>
      <c r="E65">
        <v>0</v>
      </c>
      <c r="F65">
        <v>1.0469999999999999</v>
      </c>
      <c r="G65">
        <v>0</v>
      </c>
      <c r="H65">
        <v>0</v>
      </c>
      <c r="I65">
        <v>-17.78</v>
      </c>
      <c r="J65">
        <v>-17.78</v>
      </c>
      <c r="K65">
        <v>0</v>
      </c>
      <c r="L65">
        <v>0</v>
      </c>
      <c r="M65">
        <v>0</v>
      </c>
      <c r="N65" t="b">
        <v>0</v>
      </c>
    </row>
    <row r="66" spans="1:14">
      <c r="A66">
        <v>64</v>
      </c>
      <c r="B66" t="s">
        <v>937</v>
      </c>
      <c r="C66" t="s">
        <v>1198</v>
      </c>
      <c r="E66">
        <v>0</v>
      </c>
      <c r="F66">
        <v>14.445</v>
      </c>
      <c r="G66">
        <v>0</v>
      </c>
      <c r="H66">
        <v>0</v>
      </c>
      <c r="I66">
        <v>-17.78</v>
      </c>
      <c r="J66">
        <v>-17.78</v>
      </c>
      <c r="K66">
        <v>0</v>
      </c>
      <c r="L66">
        <v>0</v>
      </c>
      <c r="M66">
        <v>0</v>
      </c>
      <c r="N66" t="b">
        <v>0</v>
      </c>
    </row>
  </sheetData>
  <phoneticPr fontId="5" type="noConversion"/>
  <pageMargins left="0.75" right="0.75" top="1" bottom="1" header="0.5" footer="0.5"/>
  <pageSetup orientation="portrait" verticalDpi="12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U194"/>
  <sheetViews>
    <sheetView workbookViewId="0">
      <selection sqref="A1:A42"/>
    </sheetView>
  </sheetViews>
  <sheetFormatPr defaultColWidth="0" defaultRowHeight="12.75" zeroHeight="1"/>
  <cols>
    <col min="1" max="1" width="9.140625" customWidth="1"/>
    <col min="2" max="10" width="9.140625" style="854" customWidth="1"/>
    <col min="11" max="11" width="0" style="854" hidden="1" customWidth="1"/>
    <col min="12" max="15" width="9.140625" style="854" customWidth="1"/>
    <col min="16" max="16" width="0" style="854" hidden="1" customWidth="1"/>
    <col min="17" max="18" width="9.140625" style="854" customWidth="1"/>
    <col min="19" max="21" width="0" hidden="1" customWidth="1"/>
    <col min="22" max="16384" width="9.140625" hidden="1"/>
  </cols>
  <sheetData>
    <row r="1" spans="1:16">
      <c r="A1" s="2856"/>
    </row>
    <row r="2" spans="1:16">
      <c r="A2" s="2856"/>
    </row>
    <row r="3" spans="1:16">
      <c r="A3" s="2856"/>
    </row>
    <row r="4" spans="1:16">
      <c r="A4" s="2856"/>
    </row>
    <row r="5" spans="1:16">
      <c r="A5" s="2856"/>
      <c r="K5" s="934">
        <f>'Control page'!J2</f>
        <v>0</v>
      </c>
    </row>
    <row r="6" spans="1:16">
      <c r="A6" s="2856"/>
      <c r="P6" s="854" t="s">
        <v>1094</v>
      </c>
    </row>
    <row r="7" spans="1:16">
      <c r="A7" s="2856"/>
    </row>
    <row r="8" spans="1:16">
      <c r="A8" s="2856"/>
    </row>
    <row r="9" spans="1:16">
      <c r="A9" s="2856"/>
    </row>
    <row r="10" spans="1:16">
      <c r="A10" s="2856"/>
    </row>
    <row r="11" spans="1:16">
      <c r="A11" s="2856"/>
    </row>
    <row r="12" spans="1:16">
      <c r="A12" s="2856"/>
    </row>
    <row r="13" spans="1:16">
      <c r="A13" s="2856"/>
    </row>
    <row r="14" spans="1:16">
      <c r="A14" s="2856"/>
    </row>
    <row r="15" spans="1:16">
      <c r="A15" s="2856"/>
    </row>
    <row r="16" spans="1:16">
      <c r="A16" s="2856"/>
    </row>
    <row r="17" spans="1:1">
      <c r="A17" s="2856"/>
    </row>
    <row r="18" spans="1:1">
      <c r="A18" s="2856"/>
    </row>
    <row r="19" spans="1:1">
      <c r="A19" s="2856"/>
    </row>
    <row r="20" spans="1:1">
      <c r="A20" s="2856"/>
    </row>
    <row r="21" spans="1:1">
      <c r="A21" s="2856"/>
    </row>
    <row r="22" spans="1:1">
      <c r="A22" s="2856"/>
    </row>
    <row r="23" spans="1:1">
      <c r="A23" s="2856"/>
    </row>
    <row r="24" spans="1:1">
      <c r="A24" s="2856"/>
    </row>
    <row r="25" spans="1:1">
      <c r="A25" s="2856"/>
    </row>
    <row r="26" spans="1:1">
      <c r="A26" s="2856"/>
    </row>
    <row r="27" spans="1:1">
      <c r="A27" s="2856"/>
    </row>
    <row r="28" spans="1:1">
      <c r="A28" s="2856"/>
    </row>
    <row r="29" spans="1:1">
      <c r="A29" s="2856"/>
    </row>
    <row r="30" spans="1:1">
      <c r="A30" s="2856"/>
    </row>
    <row r="31" spans="1:1">
      <c r="A31" s="2856"/>
    </row>
    <row r="32" spans="1:1">
      <c r="A32" s="2856"/>
    </row>
    <row r="33" spans="1:21">
      <c r="A33" s="2856"/>
    </row>
    <row r="34" spans="1:21">
      <c r="A34" s="2856"/>
    </row>
    <row r="35" spans="1:21">
      <c r="A35" s="2856"/>
    </row>
    <row r="36" spans="1:21">
      <c r="A36" s="2856"/>
    </row>
    <row r="37" spans="1:21">
      <c r="A37" s="2856"/>
    </row>
    <row r="38" spans="1:21">
      <c r="A38" s="2856"/>
    </row>
    <row r="39" spans="1:21">
      <c r="A39" s="2856"/>
    </row>
    <row r="40" spans="1:21">
      <c r="A40" s="2856"/>
    </row>
    <row r="41" spans="1:21">
      <c r="A41" s="2856"/>
    </row>
    <row r="42" spans="1:21">
      <c r="A42" s="2856"/>
    </row>
    <row r="43" spans="1:21">
      <c r="A43" s="2856" t="str">
        <f>$P$6</f>
        <v>Return To Control Page</v>
      </c>
    </row>
    <row r="44" spans="1:21">
      <c r="A44" s="2856"/>
    </row>
    <row r="45" spans="1:21">
      <c r="A45" s="2856"/>
      <c r="U45" s="8"/>
    </row>
    <row r="46" spans="1:21">
      <c r="A46" s="2856"/>
    </row>
    <row r="47" spans="1:21">
      <c r="A47" s="2856"/>
    </row>
    <row r="48" spans="1:21">
      <c r="A48" s="2856"/>
    </row>
    <row r="49" spans="1:1">
      <c r="A49" s="2856"/>
    </row>
    <row r="50" spans="1:1">
      <c r="A50" s="2856"/>
    </row>
    <row r="51" spans="1:1">
      <c r="A51" s="2856"/>
    </row>
    <row r="52" spans="1:1">
      <c r="A52" s="2856"/>
    </row>
    <row r="53" spans="1:1">
      <c r="A53" s="2856"/>
    </row>
    <row r="54" spans="1:1">
      <c r="A54" s="2856"/>
    </row>
    <row r="55" spans="1:1">
      <c r="A55" s="2856"/>
    </row>
    <row r="56" spans="1:1">
      <c r="A56" s="2856"/>
    </row>
    <row r="57" spans="1:1">
      <c r="A57" s="2856"/>
    </row>
    <row r="58" spans="1:1">
      <c r="A58" s="2856"/>
    </row>
    <row r="59" spans="1:1">
      <c r="A59" s="2856"/>
    </row>
    <row r="60" spans="1:1">
      <c r="A60" s="2856"/>
    </row>
    <row r="61" spans="1:1">
      <c r="A61" s="2856"/>
    </row>
    <row r="62" spans="1:1">
      <c r="A62" s="2856"/>
    </row>
    <row r="63" spans="1:1">
      <c r="A63" s="2856"/>
    </row>
    <row r="64" spans="1:1">
      <c r="A64" s="2856"/>
    </row>
    <row r="65" spans="1:1">
      <c r="A65" s="2856"/>
    </row>
    <row r="66" spans="1:1">
      <c r="A66" s="2856"/>
    </row>
    <row r="67" spans="1:1">
      <c r="A67" s="2856"/>
    </row>
    <row r="68" spans="1:1">
      <c r="A68" s="2856"/>
    </row>
    <row r="69" spans="1:1">
      <c r="A69" s="2856"/>
    </row>
    <row r="70" spans="1:1">
      <c r="A70" s="2856"/>
    </row>
    <row r="71" spans="1:1">
      <c r="A71" s="2856"/>
    </row>
    <row r="72" spans="1:1">
      <c r="A72" s="2856"/>
    </row>
    <row r="73" spans="1:1">
      <c r="A73" s="2856"/>
    </row>
    <row r="74" spans="1:1">
      <c r="A74" s="2856"/>
    </row>
    <row r="75" spans="1:1">
      <c r="A75" s="2856"/>
    </row>
    <row r="76" spans="1:1">
      <c r="A76" s="2856"/>
    </row>
    <row r="77" spans="1:1">
      <c r="A77" s="2856"/>
    </row>
    <row r="78" spans="1:1">
      <c r="A78" s="2856"/>
    </row>
    <row r="79" spans="1:1">
      <c r="A79" s="2856"/>
    </row>
    <row r="80" spans="1:1">
      <c r="A80" s="2856"/>
    </row>
    <row r="81" spans="1:1">
      <c r="A81" s="2856"/>
    </row>
    <row r="82" spans="1:1">
      <c r="A82" s="2856"/>
    </row>
    <row r="83" spans="1:1">
      <c r="A83" s="2856"/>
    </row>
    <row r="84" spans="1:1">
      <c r="A84" s="2856"/>
    </row>
    <row r="85" spans="1:1">
      <c r="A85" s="2856"/>
    </row>
    <row r="86" spans="1:1">
      <c r="A86" s="2856"/>
    </row>
    <row r="87" spans="1:1">
      <c r="A87" s="2856"/>
    </row>
    <row r="88" spans="1:1">
      <c r="A88" s="2856"/>
    </row>
    <row r="89" spans="1:1">
      <c r="A89" s="2856"/>
    </row>
    <row r="90" spans="1:1">
      <c r="A90" s="2856"/>
    </row>
    <row r="91" spans="1:1">
      <c r="A91" s="2856"/>
    </row>
    <row r="92" spans="1:1">
      <c r="A92" s="2856"/>
    </row>
    <row r="93" spans="1:1">
      <c r="A93" s="2856"/>
    </row>
    <row r="94" spans="1:1">
      <c r="A94" s="2856"/>
    </row>
    <row r="95" spans="1:1">
      <c r="A95" s="1173"/>
    </row>
    <row r="96" spans="1:1">
      <c r="A96" s="2856" t="str">
        <f>$P$6</f>
        <v>Return To Control Page</v>
      </c>
    </row>
    <row r="97" spans="1:1">
      <c r="A97" s="2856"/>
    </row>
    <row r="98" spans="1:1">
      <c r="A98" s="2856"/>
    </row>
    <row r="99" spans="1:1">
      <c r="A99" s="2856"/>
    </row>
    <row r="100" spans="1:1">
      <c r="A100" s="2856"/>
    </row>
    <row r="101" spans="1:1">
      <c r="A101" s="2856"/>
    </row>
    <row r="102" spans="1:1">
      <c r="A102" s="2856"/>
    </row>
    <row r="103" spans="1:1">
      <c r="A103" s="2856"/>
    </row>
    <row r="104" spans="1:1">
      <c r="A104" s="2856"/>
    </row>
    <row r="105" spans="1:1">
      <c r="A105" s="2856"/>
    </row>
    <row r="106" spans="1:1">
      <c r="A106" s="2856"/>
    </row>
    <row r="107" spans="1:1">
      <c r="A107" s="2856"/>
    </row>
    <row r="108" spans="1:1">
      <c r="A108" s="2856"/>
    </row>
    <row r="109" spans="1:1">
      <c r="A109" s="2856"/>
    </row>
    <row r="110" spans="1:1">
      <c r="A110" s="2856"/>
    </row>
    <row r="111" spans="1:1">
      <c r="A111" s="2856"/>
    </row>
    <row r="112" spans="1:1">
      <c r="A112" s="2856"/>
    </row>
    <row r="113" spans="1:1">
      <c r="A113" s="2856"/>
    </row>
    <row r="114" spans="1:1">
      <c r="A114" s="2856"/>
    </row>
    <row r="115" spans="1:1">
      <c r="A115" s="2856"/>
    </row>
    <row r="116" spans="1:1">
      <c r="A116" s="2856"/>
    </row>
    <row r="117" spans="1:1">
      <c r="A117" s="2856"/>
    </row>
    <row r="118" spans="1:1">
      <c r="A118" s="2856"/>
    </row>
    <row r="119" spans="1:1">
      <c r="A119" s="2856"/>
    </row>
    <row r="120" spans="1:1">
      <c r="A120" s="2856"/>
    </row>
    <row r="121" spans="1:1">
      <c r="A121" s="2856"/>
    </row>
    <row r="122" spans="1:1">
      <c r="A122" s="2856"/>
    </row>
    <row r="123" spans="1:1">
      <c r="A123" s="2856"/>
    </row>
    <row r="124" spans="1:1">
      <c r="A124" s="2856"/>
    </row>
    <row r="125" spans="1:1">
      <c r="A125" s="2856"/>
    </row>
    <row r="126" spans="1:1">
      <c r="A126" s="2856"/>
    </row>
    <row r="127" spans="1:1">
      <c r="A127" s="2856"/>
    </row>
    <row r="128" spans="1:1">
      <c r="A128" s="2856"/>
    </row>
    <row r="129" spans="1:1">
      <c r="A129" s="2856"/>
    </row>
    <row r="130" spans="1:1">
      <c r="A130" s="2856"/>
    </row>
    <row r="131" spans="1:1">
      <c r="A131" s="2856"/>
    </row>
    <row r="132" spans="1:1">
      <c r="A132" s="2856"/>
    </row>
    <row r="133" spans="1:1">
      <c r="A133" s="2856"/>
    </row>
    <row r="134" spans="1:1">
      <c r="A134" s="2856"/>
    </row>
    <row r="135" spans="1:1">
      <c r="A135" s="2856"/>
    </row>
    <row r="136" spans="1:1">
      <c r="A136" s="2856"/>
    </row>
    <row r="137" spans="1:1">
      <c r="A137" s="2856"/>
    </row>
    <row r="138" spans="1:1">
      <c r="A138" s="1173"/>
    </row>
    <row r="139" spans="1:1">
      <c r="A139" s="2856" t="str">
        <f>$P$6</f>
        <v>Return To Control Page</v>
      </c>
    </row>
    <row r="140" spans="1:1">
      <c r="A140" s="2856"/>
    </row>
    <row r="141" spans="1:1">
      <c r="A141" s="2856"/>
    </row>
    <row r="142" spans="1:1">
      <c r="A142" s="2856"/>
    </row>
    <row r="143" spans="1:1">
      <c r="A143" s="2856"/>
    </row>
    <row r="144" spans="1:1">
      <c r="A144" s="2856"/>
    </row>
    <row r="145" spans="1:1">
      <c r="A145" s="2856"/>
    </row>
    <row r="146" spans="1:1">
      <c r="A146" s="2856"/>
    </row>
    <row r="147" spans="1:1">
      <c r="A147" s="2856"/>
    </row>
    <row r="148" spans="1:1">
      <c r="A148" s="2856"/>
    </row>
    <row r="149" spans="1:1">
      <c r="A149" s="2856"/>
    </row>
    <row r="150" spans="1:1">
      <c r="A150" s="2856"/>
    </row>
    <row r="151" spans="1:1">
      <c r="A151" s="2856"/>
    </row>
    <row r="152" spans="1:1">
      <c r="A152" s="2856"/>
    </row>
    <row r="153" spans="1:1">
      <c r="A153" s="2856"/>
    </row>
    <row r="154" spans="1:1">
      <c r="A154" s="2856"/>
    </row>
    <row r="155" spans="1:1">
      <c r="A155" s="2856"/>
    </row>
    <row r="156" spans="1:1">
      <c r="A156" s="2856"/>
    </row>
    <row r="157" spans="1:1">
      <c r="A157" s="2856"/>
    </row>
    <row r="158" spans="1:1">
      <c r="A158" s="2856"/>
    </row>
    <row r="159" spans="1:1">
      <c r="A159" s="854"/>
    </row>
    <row r="160" spans="1:1">
      <c r="A160" s="854"/>
    </row>
    <row r="161" spans="1:1">
      <c r="A161" s="854"/>
    </row>
    <row r="162" spans="1:1">
      <c r="A162" s="854"/>
    </row>
    <row r="163" spans="1:1">
      <c r="A163" s="854"/>
    </row>
    <row r="164" spans="1:1">
      <c r="A164" s="854"/>
    </row>
    <row r="165" spans="1:1">
      <c r="A165" s="854"/>
    </row>
    <row r="166" spans="1:1">
      <c r="A166" s="854"/>
    </row>
    <row r="167" spans="1:1">
      <c r="A167" s="854"/>
    </row>
    <row r="168" spans="1:1">
      <c r="A168" s="854"/>
    </row>
    <row r="169" spans="1:1">
      <c r="A169" s="854"/>
    </row>
    <row r="170" spans="1:1">
      <c r="A170" s="854"/>
    </row>
    <row r="171" spans="1:1">
      <c r="A171" s="854"/>
    </row>
    <row r="172" spans="1:1">
      <c r="A172" s="854"/>
    </row>
    <row r="173" spans="1:1">
      <c r="A173" s="854"/>
    </row>
    <row r="174" spans="1:1">
      <c r="A174" s="854"/>
    </row>
    <row r="175" spans="1:1">
      <c r="A175" s="854"/>
    </row>
    <row r="176" spans="1:1">
      <c r="A176" s="854"/>
    </row>
    <row r="177" spans="1:1">
      <c r="A177" s="854"/>
    </row>
    <row r="178" spans="1:1">
      <c r="A178" s="854"/>
    </row>
    <row r="179" spans="1:1">
      <c r="A179" s="854"/>
    </row>
    <row r="180" spans="1:1">
      <c r="A180" s="854"/>
    </row>
    <row r="181" spans="1:1">
      <c r="A181" s="854"/>
    </row>
    <row r="182" spans="1:1">
      <c r="A182" s="854"/>
    </row>
    <row r="183" spans="1:1">
      <c r="A183" s="854"/>
    </row>
    <row r="184" spans="1:1">
      <c r="A184" s="854"/>
    </row>
    <row r="185" spans="1:1">
      <c r="A185" s="854"/>
    </row>
    <row r="186" spans="1:1">
      <c r="A186" s="854"/>
    </row>
    <row r="187" spans="1:1">
      <c r="A187" s="854"/>
    </row>
    <row r="188" spans="1:1">
      <c r="A188" s="854"/>
    </row>
    <row r="189" spans="1:1">
      <c r="A189" s="854"/>
    </row>
    <row r="190" spans="1:1">
      <c r="A190" s="854"/>
    </row>
    <row r="191" spans="1:1">
      <c r="A191" s="854"/>
    </row>
    <row r="192" spans="1:1">
      <c r="A192" s="854"/>
    </row>
    <row r="193" spans="1:1">
      <c r="A193" s="854"/>
    </row>
    <row r="194" spans="1:1">
      <c r="A194" s="854"/>
    </row>
  </sheetData>
  <sheetProtection password="B61E" sheet="1" objects="1" scenarios="1"/>
  <mergeCells count="4">
    <mergeCell ref="A1:A42"/>
    <mergeCell ref="A43:A94"/>
    <mergeCell ref="A96:A137"/>
    <mergeCell ref="A139:A158"/>
  </mergeCells>
  <phoneticPr fontId="5" type="noConversion"/>
  <hyperlinks>
    <hyperlink ref="A43:A94" location="'Control page'!A1" display="=$p$6"/>
    <hyperlink ref="A96:A137" location="'Control page'!A1" display="=$p$6"/>
    <hyperlink ref="A139:A158" location="'Control page'!A1" display="=$p$6"/>
  </hyperlinks>
  <pageMargins left="0.75" right="0.75" top="1" bottom="1" header="0.5" footer="0.5"/>
  <pageSetup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13</vt:i4>
      </vt:variant>
    </vt:vector>
  </HeadingPairs>
  <TitlesOfParts>
    <vt:vector size="60" baseType="lpstr">
      <vt:lpstr>Control page</vt:lpstr>
      <vt:lpstr>Plant general info</vt:lpstr>
      <vt:lpstr>Process Heating Equipment</vt:lpstr>
      <vt:lpstr>PHASTEx summary report</vt:lpstr>
      <vt:lpstr>Sankey Diagram</vt:lpstr>
      <vt:lpstr>Energy Usage Distribution</vt:lpstr>
      <vt:lpstr>Energy Usage Distribution pg2</vt:lpstr>
      <vt:lpstr>Notes On Current v Modified</vt:lpstr>
      <vt:lpstr>Load Charge Solid-1</vt:lpstr>
      <vt:lpstr>Load Charge Liquid-1</vt:lpstr>
      <vt:lpstr>Load Charge Gas-1</vt:lpstr>
      <vt:lpstr>Fixture losses </vt:lpstr>
      <vt:lpstr>Wall losses</vt:lpstr>
      <vt:lpstr>Water-Air cooling</vt:lpstr>
      <vt:lpstr>Atmosphere losses</vt:lpstr>
      <vt:lpstr>Cp calculationsHTcurrent</vt:lpstr>
      <vt:lpstr>Cp calculationsHTmod</vt:lpstr>
      <vt:lpstr>Radiation losses from opening</vt:lpstr>
      <vt:lpstr>8- Power- Motor driven  systems</vt:lpstr>
      <vt:lpstr>9- Other heat loss</vt:lpstr>
      <vt:lpstr>Flue gases</vt:lpstr>
      <vt:lpstr>Av.Ht.Solid - current </vt:lpstr>
      <vt:lpstr>Av.Ht.Solid - modified</vt:lpstr>
      <vt:lpstr>Data Input &amp; RESULTS </vt:lpstr>
      <vt:lpstr>Data-Results vol current </vt:lpstr>
      <vt:lpstr>Calculations - vol current</vt:lpstr>
      <vt:lpstr>Cp calculations  (2)</vt:lpstr>
      <vt:lpstr>Data-Results vol mod </vt:lpstr>
      <vt:lpstr>Calculations vol mod</vt:lpstr>
      <vt:lpstr>Cp calculations  (3)</vt:lpstr>
      <vt:lpstr>radiation_vf</vt:lpstr>
      <vt:lpstr>unit conversion</vt:lpstr>
      <vt:lpstr>Help Chg Solid</vt:lpstr>
      <vt:lpstr>Help Chg Liquid</vt:lpstr>
      <vt:lpstr>Help Chg Gas</vt:lpstr>
      <vt:lpstr>Help Fixtures</vt:lpstr>
      <vt:lpstr>Help Atmos Loss</vt:lpstr>
      <vt:lpstr>Help Water Cooling</vt:lpstr>
      <vt:lpstr>Help Wall Losses</vt:lpstr>
      <vt:lpstr>Help Opening Losses</vt:lpstr>
      <vt:lpstr>Help Other Losses</vt:lpstr>
      <vt:lpstr>Help Flue Gas </vt:lpstr>
      <vt:lpstr>Help Power</vt:lpstr>
      <vt:lpstr>Cp calculations </vt:lpstr>
      <vt:lpstr>gas atm specific heat (3)</vt:lpstr>
      <vt:lpstr>MaterialHeatData</vt:lpstr>
      <vt:lpstr>What is PHAST</vt:lpstr>
      <vt:lpstr>'8- Power- Motor driven  systems'!Print_Area</vt:lpstr>
      <vt:lpstr>'9- Other heat loss'!Print_Area</vt:lpstr>
      <vt:lpstr>'Atmosphere losses'!Print_Area</vt:lpstr>
      <vt:lpstr>'Fixture losses '!Print_Area</vt:lpstr>
      <vt:lpstr>'Flue gases'!Print_Area</vt:lpstr>
      <vt:lpstr>'Load Charge Gas-1'!Print_Area</vt:lpstr>
      <vt:lpstr>'Load Charge Liquid-1'!Print_Area</vt:lpstr>
      <vt:lpstr>'Load Charge Solid-1'!Print_Area</vt:lpstr>
      <vt:lpstr>'Notes On Current v Modified'!Print_Area</vt:lpstr>
      <vt:lpstr>'Radiation losses from opening'!Print_Area</vt:lpstr>
      <vt:lpstr>'Sankey Diagram'!Print_Area</vt:lpstr>
      <vt:lpstr>'Wall losses'!Print_Area</vt:lpstr>
      <vt:lpstr>'Water-Air cooling'!Print_Area</vt:lpstr>
    </vt:vector>
  </TitlesOfParts>
  <Company>E3M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HP_Administrator</dc:creator>
  <cp:lastModifiedBy>Thirumaran, Kiran</cp:lastModifiedBy>
  <cp:lastPrinted>2016-08-12T18:37:42Z</cp:lastPrinted>
  <dcterms:created xsi:type="dcterms:W3CDTF">2009-05-05T13:39:52Z</dcterms:created>
  <dcterms:modified xsi:type="dcterms:W3CDTF">2016-09-29T14:20:49Z</dcterms:modified>
</cp:coreProperties>
</file>