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7rp\Dropbox (ORNL)\ORNL Documents\Python Scripts\EnPI Sample Data\"/>
    </mc:Choice>
  </mc:AlternateContent>
  <xr:revisionPtr revIDLastSave="0" documentId="13_ncr:1_{9F8D8AB1-ABD8-4E3F-A90C-A6C4E3C7120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Hastings" sheetId="1" r:id="rId1"/>
    <sheet name="1 Detail Data" sheetId="2" state="hidden" r:id="rId2"/>
    <sheet name="stateData" sheetId="4" state="veryHidden" r:id="rId3"/>
    <sheet name="1 EnPI Actual Resul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C10" i="3"/>
  <c r="D10" i="3"/>
  <c r="B6" i="3"/>
  <c r="C6" i="3"/>
  <c r="D6" i="3"/>
  <c r="B5" i="3"/>
  <c r="C5" i="3"/>
  <c r="D5" i="3"/>
  <c r="N15" i="2"/>
  <c r="N16" i="2"/>
  <c r="B9" i="3" s="1"/>
  <c r="N17" i="2"/>
  <c r="N18" i="2"/>
  <c r="N19" i="2"/>
  <c r="N20" i="2"/>
  <c r="N21" i="2"/>
  <c r="N22" i="2"/>
  <c r="N23" i="2"/>
  <c r="N24" i="2"/>
  <c r="N25" i="2"/>
  <c r="N26" i="2"/>
  <c r="M15" i="2"/>
  <c r="M16" i="2"/>
  <c r="M17" i="2"/>
  <c r="B8" i="3" s="1"/>
  <c r="M18" i="2"/>
  <c r="M19" i="2"/>
  <c r="M20" i="2"/>
  <c r="M21" i="2"/>
  <c r="M22" i="2"/>
  <c r="M23" i="2"/>
  <c r="M24" i="2"/>
  <c r="M25" i="2"/>
  <c r="M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G15" i="2"/>
  <c r="O15" i="2" s="1"/>
  <c r="G16" i="2"/>
  <c r="O16" i="2" s="1"/>
  <c r="G17" i="2"/>
  <c r="O17" i="2" s="1"/>
  <c r="G18" i="2"/>
  <c r="O18" i="2" s="1"/>
  <c r="G19" i="2"/>
  <c r="O19" i="2" s="1"/>
  <c r="G20" i="2"/>
  <c r="O20" i="2" s="1"/>
  <c r="G21" i="2"/>
  <c r="O21" i="2" s="1"/>
  <c r="G22" i="2"/>
  <c r="O22" i="2" s="1"/>
  <c r="G23" i="2"/>
  <c r="O23" i="2" s="1"/>
  <c r="G24" i="2"/>
  <c r="O24" i="2" s="1"/>
  <c r="G25" i="2"/>
  <c r="O25" i="2" s="1"/>
  <c r="G26" i="2"/>
  <c r="O26" i="2" s="1"/>
  <c r="G27" i="2"/>
  <c r="C7" i="3" s="1"/>
  <c r="C11" i="3" s="1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D7" i="3" s="1"/>
  <c r="D11" i="3" s="1"/>
  <c r="G41" i="2"/>
  <c r="G42" i="2"/>
  <c r="G43" i="2"/>
  <c r="G44" i="2"/>
  <c r="G45" i="2"/>
  <c r="G46" i="2"/>
  <c r="G47" i="2"/>
  <c r="G48" i="2"/>
  <c r="G49" i="2"/>
  <c r="G5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9" i="2"/>
  <c r="K27" i="2"/>
  <c r="K15" i="2"/>
  <c r="L15" i="2"/>
  <c r="B7" i="3" l="1"/>
  <c r="K40" i="2"/>
  <c r="K16" i="2"/>
  <c r="K28" i="2"/>
  <c r="L16" i="2"/>
  <c r="B11" i="3" l="1"/>
  <c r="C14" i="3"/>
  <c r="D14" i="3"/>
  <c r="K17" i="2"/>
  <c r="K18" i="2" s="1"/>
  <c r="L17" i="2"/>
  <c r="K29" i="2"/>
  <c r="K30" i="2"/>
  <c r="K41" i="2"/>
  <c r="D15" i="3"/>
  <c r="C15" i="3"/>
  <c r="K42" i="2"/>
  <c r="D12" i="3" l="1"/>
  <c r="C12" i="3"/>
  <c r="K19" i="2"/>
  <c r="K20" i="2" s="1"/>
  <c r="K31" i="2"/>
  <c r="K43" i="2"/>
  <c r="D13" i="3"/>
  <c r="L18" i="2"/>
  <c r="C13" i="3"/>
  <c r="K21" i="2"/>
  <c r="K32" i="2"/>
  <c r="K22" i="2"/>
  <c r="L19" i="2"/>
  <c r="K44" i="2"/>
  <c r="L20" i="2"/>
  <c r="K33" i="2"/>
  <c r="K23" i="2"/>
  <c r="L21" i="2"/>
  <c r="K24" i="2"/>
  <c r="L22" i="2"/>
  <c r="L23" i="2"/>
  <c r="L24" i="2" s="1"/>
  <c r="L25" i="2"/>
  <c r="K45" i="2"/>
  <c r="K34" i="2"/>
  <c r="K46" i="2"/>
  <c r="K35" i="2"/>
  <c r="K47" i="2"/>
  <c r="K36" i="2"/>
  <c r="K48" i="2"/>
  <c r="K37" i="2"/>
  <c r="K49" i="2"/>
  <c r="K38" i="2"/>
  <c r="K50" i="2"/>
  <c r="L26" i="2"/>
  <c r="K25" i="2"/>
  <c r="O50" i="2" l="1"/>
  <c r="M38" i="2"/>
  <c r="O49" i="2"/>
  <c r="O48" i="2"/>
  <c r="M36" i="2"/>
  <c r="O47" i="2"/>
  <c r="N46" i="2"/>
  <c r="O34" i="2"/>
  <c r="N45" i="2"/>
  <c r="M33" i="2"/>
  <c r="O44" i="2"/>
  <c r="M43" i="2"/>
  <c r="M31" i="2"/>
  <c r="M41" i="2"/>
  <c r="O28" i="2"/>
  <c r="M40" i="2"/>
  <c r="O40" i="2"/>
  <c r="N31" i="2"/>
  <c r="M32" i="2"/>
  <c r="N50" i="2"/>
  <c r="N38" i="2"/>
  <c r="M37" i="2"/>
  <c r="N48" i="2"/>
  <c r="N36" i="2"/>
  <c r="N35" i="2"/>
  <c r="M46" i="2"/>
  <c r="N34" i="2"/>
  <c r="N33" i="2"/>
  <c r="O39" i="2"/>
  <c r="N32" i="2"/>
  <c r="O31" i="2"/>
  <c r="N39" i="2"/>
  <c r="O30" i="2"/>
  <c r="M39" i="2"/>
  <c r="O32" i="2"/>
  <c r="N27" i="2"/>
  <c r="M28" i="2"/>
  <c r="M50" i="2"/>
  <c r="M49" i="2"/>
  <c r="O37" i="2"/>
  <c r="M48" i="2"/>
  <c r="M47" i="2"/>
  <c r="O35" i="2"/>
  <c r="O46" i="2"/>
  <c r="O45" i="2"/>
  <c r="M44" i="2"/>
  <c r="N40" i="2"/>
  <c r="O43" i="2"/>
  <c r="N42" i="2"/>
  <c r="O27" i="2"/>
  <c r="O42" i="2"/>
  <c r="M42" i="2"/>
  <c r="N28" i="2"/>
  <c r="O29" i="2"/>
  <c r="O38" i="2"/>
  <c r="N49" i="2"/>
  <c r="N37" i="2"/>
  <c r="O36" i="2"/>
  <c r="N47" i="2"/>
  <c r="M35" i="2"/>
  <c r="M34" i="2"/>
  <c r="M45" i="2"/>
  <c r="O33" i="2"/>
  <c r="N44" i="2"/>
  <c r="N29" i="2"/>
  <c r="N43" i="2"/>
  <c r="O41" i="2"/>
  <c r="N30" i="2"/>
  <c r="M27" i="2"/>
  <c r="N41" i="2"/>
  <c r="M30" i="2"/>
  <c r="M29" i="2"/>
  <c r="K26" i="2"/>
  <c r="D8" i="3" l="1"/>
  <c r="C8" i="3"/>
  <c r="C9" i="3"/>
  <c r="D9" i="3"/>
</calcChain>
</file>

<file path=xl/sharedStrings.xml><?xml version="1.0" encoding="utf-8"?>
<sst xmlns="http://schemas.openxmlformats.org/spreadsheetml/2006/main" count="48" uniqueCount="40">
  <si>
    <t>Date</t>
  </si>
  <si>
    <t>Purchased electricity (kWh)</t>
  </si>
  <si>
    <t>Natural Gas (MMBtu)</t>
  </si>
  <si>
    <t>Production (tons)</t>
  </si>
  <si>
    <t>Column1</t>
  </si>
  <si>
    <t>Period</t>
  </si>
  <si>
    <t>Purchased electricity (MMBTU)</t>
  </si>
  <si>
    <t>TOTAL  (MMBTU)</t>
  </si>
  <si>
    <t>Total Production</t>
  </si>
  <si>
    <t>Baseline Year</t>
  </si>
  <si>
    <t>Model Year</t>
  </si>
  <si>
    <t>Period Count</t>
  </si>
  <si>
    <t>Baseline Count</t>
  </si>
  <si>
    <t>Energy Savings: Purchased electricity (MMBTU)</t>
  </si>
  <si>
    <t>Energy Savings: Natural Gas (MMBtu)</t>
  </si>
  <si>
    <t>Energy Savings: TOTAL  (MMBTU)</t>
  </si>
  <si>
    <t>General Energy Performance Results</t>
  </si>
  <si>
    <t>2007</t>
  </si>
  <si>
    <t>2008</t>
  </si>
  <si>
    <t>2009</t>
  </si>
  <si>
    <t xml:space="preserve"> </t>
  </si>
  <si>
    <t>Purchased electricity (MMBTU) Annual Savings</t>
  </si>
  <si>
    <t>Natural Gas (MMBtu) Annual Savings</t>
  </si>
  <si>
    <t>Total Production Output</t>
  </si>
  <si>
    <t>Production Energy Intensity (MMBtu/unit production)</t>
  </si>
  <si>
    <t>Total Improvement in Energy Intensity (%)</t>
  </si>
  <si>
    <t>Annual Improvement in Energy Intensity (%)</t>
  </si>
  <si>
    <t>Total Savings Since Baseline Year (MMBtu/Year)</t>
  </si>
  <si>
    <t>New Energy Savings for Current Year (MMBtu/year)</t>
  </si>
  <si>
    <t>ac729979-7901-4d6d-b3b6-04107ac7eb01</t>
  </si>
  <si>
    <t>1 Detail Data</t>
  </si>
  <si>
    <t>9afcef79-b422-4228-a757-95592f011e1e</t>
  </si>
  <si>
    <t>1 EnPI Actual Results</t>
  </si>
  <si>
    <t>regressionIteration</t>
  </si>
  <si>
    <t>plantName</t>
  </si>
  <si>
    <t>Hastings</t>
  </si>
  <si>
    <t>Column2</t>
  </si>
  <si>
    <t>Column3</t>
  </si>
  <si>
    <t>Column4</t>
  </si>
  <si>
    <t>Electricity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</si>
</sst>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###"/>
    <numFmt numFmtId="165" formatCode="##,##0"/>
    <numFmt numFmtId="166" formatCode="###,##0"/>
    <numFmt numFmtId="167" formatCode="##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008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166" fontId="3" fillId="4" borderId="0" xfId="1" applyNumberFormat="1" applyFont="1" applyFill="1"/>
    <xf numFmtId="166" fontId="0" fillId="3" borderId="0" xfId="1" applyNumberFormat="1" applyFont="1" applyFill="1"/>
    <xf numFmtId="0" fontId="3" fillId="4" borderId="0" xfId="1" applyNumberFormat="1" applyFont="1" applyFill="1"/>
    <xf numFmtId="167" fontId="3" fillId="4" borderId="0" xfId="2" applyNumberFormat="1" applyFont="1" applyFill="1"/>
    <xf numFmtId="167" fontId="0" fillId="3" borderId="0" xfId="2" applyNumberFormat="1" applyFont="1" applyFill="1"/>
    <xf numFmtId="10" fontId="3" fillId="4" borderId="0" xfId="3" applyNumberFormat="1" applyFont="1" applyFill="1"/>
    <xf numFmtId="10" fontId="0" fillId="3" borderId="0" xfId="3" applyNumberFormat="1" applyFont="1" applyFill="1"/>
    <xf numFmtId="166" fontId="0" fillId="5" borderId="0" xfId="1" applyNumberFormat="1" applyFont="1" applyFill="1"/>
    <xf numFmtId="0" fontId="4" fillId="0" borderId="0" xfId="0" applyFont="1"/>
    <xf numFmtId="0" fontId="0" fillId="0" borderId="0" xfId="0" applyAlignment="1">
      <alignment wrapText="1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30">
    <dxf>
      <numFmt numFmtId="166" formatCode="###,##0"/>
      <fill>
        <patternFill patternType="solid">
          <fgColor indexed="64"/>
          <bgColor rgb="FFD8E4BC"/>
        </patternFill>
      </fill>
    </dxf>
    <dxf>
      <numFmt numFmtId="166" formatCode="###,##0"/>
      <fill>
        <patternFill patternType="solid">
          <fgColor indexed="64"/>
          <bgColor rgb="FFD8E4BC"/>
        </patternFill>
      </fill>
    </dxf>
    <dxf>
      <numFmt numFmtId="166" formatCode="###,##0"/>
      <fill>
        <patternFill patternType="solid">
          <fgColor indexed="64"/>
          <bgColor rgb="FFD8E4BC"/>
        </patternFill>
      </fill>
    </dxf>
    <dxf>
      <font>
        <b/>
        <color rgb="FFFFFFFF"/>
      </font>
      <numFmt numFmtId="166" formatCode="###,##0"/>
      <fill>
        <patternFill patternType="solid">
          <fgColor indexed="64"/>
          <bgColor rgb="FF4F6228"/>
        </patternFill>
      </fill>
    </dxf>
    <dxf>
      <numFmt numFmtId="166" formatCode="###,##0"/>
      <fill>
        <patternFill patternType="solid">
          <fgColor indexed="64"/>
          <bgColor rgb="FFD8E4BC"/>
        </patternFill>
      </fill>
    </dxf>
    <dxf>
      <alignment horizontal="center" vertical="bottom" textRotation="0" wrapText="1" indent="0" justifyLastLine="0" shrinkToFit="0" readingOrder="0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64" formatCode="####"/>
    </dxf>
    <dxf>
      <numFmt numFmtId="165" formatCode="##,##0"/>
    </dxf>
    <dxf>
      <numFmt numFmtId="165" formatCode="##,##0"/>
    </dxf>
    <dxf>
      <numFmt numFmtId="165" formatCode="##,##0"/>
    </dxf>
    <dxf>
      <numFmt numFmtId="165" formatCode="##,##0"/>
    </dxf>
    <dxf>
      <numFmt numFmtId="19" formatCode="m/d/yyyy"/>
    </dxf>
    <dxf>
      <font>
        <b/>
        <color rgb="FFFFFFFF"/>
      </font>
      <fill>
        <patternFill patternType="solid">
          <fgColor indexed="64"/>
          <bgColor rgb="FF000000"/>
        </patternFill>
      </fill>
      <alignment horizontal="center" vertical="bottom" textRotation="0" wrapText="1" indent="0" justifyLastLine="0" shrinkToFit="0" readingOrder="0"/>
    </dxf>
    <dxf>
      <numFmt numFmtId="164" formatCode="####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Detail Data'!$G$14</c:f>
              <c:strCache>
                <c:ptCount val="1"/>
                <c:pt idx="0">
                  <c:v>TOTAL  (MMBTU)</c:v>
                </c:pt>
              </c:strCache>
            </c:strRef>
          </c:tx>
          <c:spPr>
            <a:ln w="19050" cap="rnd" cmpd="sng" algn="ctr">
              <a:solidFill>
                <a:srgbClr val="1E90FF">
                  <a:alpha val="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pPr>
              <a:solidFill>
                <a:srgbClr val="000080"/>
              </a:solidFill>
              <a:ln w="19050" cap="rnd" cmpd="sng" algn="ctr">
                <a:solidFill>
                  <a:srgbClr val="1E90FF">
                    <a:alpha val="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val>
            <c:numRef>
              <c:f>'1 Detail Data'!$G$15:$G$50</c:f>
              <c:numCache>
                <c:formatCode>##,##0</c:formatCode>
                <c:ptCount val="36"/>
                <c:pt idx="0">
                  <c:v>240514.563916616</c:v>
                </c:pt>
                <c:pt idx="1">
                  <c:v>211027.48368471401</c:v>
                </c:pt>
                <c:pt idx="2">
                  <c:v>216427.90660380601</c:v>
                </c:pt>
                <c:pt idx="3">
                  <c:v>225890.19124732999</c:v>
                </c:pt>
                <c:pt idx="4">
                  <c:v>207727.148847262</c:v>
                </c:pt>
                <c:pt idx="5">
                  <c:v>215143.335545496</c:v>
                </c:pt>
                <c:pt idx="6">
                  <c:v>214454.61000847199</c:v>
                </c:pt>
                <c:pt idx="7">
                  <c:v>224770.65266955999</c:v>
                </c:pt>
                <c:pt idx="8">
                  <c:v>219023.812294426</c:v>
                </c:pt>
                <c:pt idx="9">
                  <c:v>220944.08280459401</c:v>
                </c:pt>
                <c:pt idx="10">
                  <c:v>201350.69175061601</c:v>
                </c:pt>
                <c:pt idx="11">
                  <c:v>236433.68151418999</c:v>
                </c:pt>
                <c:pt idx="12">
                  <c:v>247921.16693342599</c:v>
                </c:pt>
                <c:pt idx="13">
                  <c:v>226946.14146368601</c:v>
                </c:pt>
                <c:pt idx="14">
                  <c:v>235059.497407786</c:v>
                </c:pt>
                <c:pt idx="15">
                  <c:v>218922.97924699</c:v>
                </c:pt>
                <c:pt idx="16">
                  <c:v>210271.39260096001</c:v>
                </c:pt>
                <c:pt idx="17">
                  <c:v>202190.279795132</c:v>
                </c:pt>
                <c:pt idx="18">
                  <c:v>207959.95877413801</c:v>
                </c:pt>
                <c:pt idx="19">
                  <c:v>207950.681197292</c:v>
                </c:pt>
                <c:pt idx="20">
                  <c:v>198433.35342651801</c:v>
                </c:pt>
                <c:pt idx="21">
                  <c:v>211549.022541874</c:v>
                </c:pt>
                <c:pt idx="22">
                  <c:v>224078.97691617999</c:v>
                </c:pt>
                <c:pt idx="23">
                  <c:v>242151.024350644</c:v>
                </c:pt>
                <c:pt idx="24">
                  <c:v>232404.16693342599</c:v>
                </c:pt>
                <c:pt idx="25">
                  <c:v>208923.14146368601</c:v>
                </c:pt>
                <c:pt idx="26">
                  <c:v>218336.497407786</c:v>
                </c:pt>
                <c:pt idx="27">
                  <c:v>214839.97924699</c:v>
                </c:pt>
                <c:pt idx="28">
                  <c:v>202385.39260096001</c:v>
                </c:pt>
                <c:pt idx="29">
                  <c:v>170986.279795132</c:v>
                </c:pt>
                <c:pt idx="30">
                  <c:v>207653.95877413801</c:v>
                </c:pt>
                <c:pt idx="31">
                  <c:v>198595.681197292</c:v>
                </c:pt>
                <c:pt idx="32">
                  <c:v>194954.35342651801</c:v>
                </c:pt>
                <c:pt idx="33">
                  <c:v>189641.022541874</c:v>
                </c:pt>
                <c:pt idx="34">
                  <c:v>207073.97691617999</c:v>
                </c:pt>
                <c:pt idx="35">
                  <c:v>237451.024350644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8-4659-AB2B-0DBDCCC2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2528"/>
        <c:axId val="363041872"/>
      </c:lineChart>
      <c:catAx>
        <c:axId val="3630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3041872"/>
        <c:crosses val="autoZero"/>
        <c:auto val="1"/>
        <c:lblAlgn val="ctr"/>
        <c:lblOffset val="100"/>
        <c:noMultiLvlLbl val="0"/>
      </c:catAx>
      <c:valAx>
        <c:axId val="36304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Consumption (MMBtu)</a:t>
                </a:r>
              </a:p>
            </c:rich>
          </c:tx>
          <c:overlay val="0"/>
        </c:title>
        <c:numFmt formatCode="##,##0" sourceLinked="1"/>
        <c:majorTickMark val="out"/>
        <c:minorTickMark val="none"/>
        <c:tickLblPos val="nextTo"/>
        <c:crossAx val="3630425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EnPI Actual Results'!$A$11</c:f>
              <c:strCache>
                <c:ptCount val="1"/>
                <c:pt idx="0">
                  <c:v>Production Energy Intensity (MMBtu/unit production)</c:v>
                </c:pt>
              </c:strCache>
            </c:strRef>
          </c:tx>
          <c:invertIfNegative val="0"/>
          <c:val>
            <c:numRef>
              <c:f>'1 EnPI Actual Results'!$B$11:$D$11</c:f>
              <c:numCache>
                <c:formatCode>###,##0.000</c:formatCode>
                <c:ptCount val="3"/>
                <c:pt idx="0">
                  <c:v>18.009615498513266</c:v>
                </c:pt>
                <c:pt idx="1">
                  <c:v>16.613889990755204</c:v>
                </c:pt>
                <c:pt idx="2">
                  <c:v>16.02228235048505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A-4F9B-A8AB-71ECF8AF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517416"/>
        <c:axId val="814515776"/>
      </c:barChart>
      <c:lineChart>
        <c:grouping val="standard"/>
        <c:varyColors val="0"/>
        <c:ser>
          <c:idx val="1"/>
          <c:order val="1"/>
          <c:tx>
            <c:strRef>
              <c:f>'1 EnPI Actual Results'!$A$13</c:f>
              <c:strCache>
                <c:ptCount val="1"/>
                <c:pt idx="0">
                  <c:v>Annual Improvement in Energy Intensity (%)</c:v>
                </c:pt>
              </c:strCache>
            </c:strRef>
          </c:tx>
          <c:spPr>
            <a:ln>
              <a:solidFill>
                <a:srgbClr val="006400"/>
              </a:solidFill>
            </a:ln>
          </c:spPr>
          <c:marker>
            <c:spPr>
              <a:solidFill>
                <a:srgbClr val="006400"/>
              </a:solidFill>
              <a:ln>
                <a:solidFill>
                  <a:srgbClr val="006400"/>
                </a:solidFill>
              </a:ln>
            </c:spPr>
          </c:marker>
          <c:val>
            <c:numRef>
              <c:f>'1 EnPI Actual Results'!$B$13:$D$13</c:f>
              <c:numCache>
                <c:formatCode>0.00%</c:formatCode>
                <c:ptCount val="3"/>
                <c:pt idx="0">
                  <c:v>0</c:v>
                </c:pt>
                <c:pt idx="1">
                  <c:v>7.7498906507653217E-2</c:v>
                </c:pt>
                <c:pt idx="2">
                  <c:v>3.2849543085414198E-2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A-4F9B-A8AB-71ECF8AF36E1}"/>
            </c:ext>
          </c:extLst>
        </c:ser>
        <c:ser>
          <c:idx val="2"/>
          <c:order val="2"/>
          <c:tx>
            <c:strRef>
              <c:f>'1 EnPI Actual Results'!$A$12</c:f>
              <c:strCache>
                <c:ptCount val="1"/>
                <c:pt idx="0">
                  <c:v>Total Improvement in Energy Intensity (%)</c:v>
                </c:pt>
              </c:strCache>
            </c:strRef>
          </c:tx>
          <c:spPr>
            <a:ln>
              <a:solidFill>
                <a:srgbClr val="9ACD32"/>
              </a:solidFill>
            </a:ln>
          </c:spPr>
          <c:marker>
            <c:spPr>
              <a:solidFill>
                <a:srgbClr val="9ACD32"/>
              </a:solidFill>
              <a:ln>
                <a:solidFill>
                  <a:srgbClr val="9ACD32"/>
                </a:solidFill>
              </a:ln>
            </c:spPr>
          </c:marker>
          <c:val>
            <c:numRef>
              <c:f>'1 EnPI Actual Results'!$B$12:$D$12</c:f>
              <c:numCache>
                <c:formatCode>0.00%</c:formatCode>
                <c:ptCount val="3"/>
                <c:pt idx="0">
                  <c:v>0</c:v>
                </c:pt>
                <c:pt idx="1">
                  <c:v>7.7498906507653217E-2</c:v>
                </c:pt>
                <c:pt idx="2">
                  <c:v>0.11034844959306742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F9B-A8AB-71ECF8AF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707520"/>
        <c:axId val="814707192"/>
      </c:lineChart>
      <c:catAx>
        <c:axId val="81451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Reporting 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4515776"/>
        <c:crosses val="autoZero"/>
        <c:auto val="1"/>
        <c:lblAlgn val="ctr"/>
        <c:lblOffset val="100"/>
        <c:noMultiLvlLbl val="0"/>
      </c:catAx>
      <c:valAx>
        <c:axId val="81451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Intensity (MMBtu/unit)</a:t>
                </a:r>
              </a:p>
            </c:rich>
          </c:tx>
          <c:overlay val="0"/>
        </c:title>
        <c:numFmt formatCode="###,##0.000" sourceLinked="1"/>
        <c:majorTickMark val="out"/>
        <c:minorTickMark val="none"/>
        <c:tickLblPos val="nextTo"/>
        <c:crossAx val="814517416"/>
        <c:crosses val="autoZero"/>
        <c:crossBetween val="between"/>
      </c:valAx>
      <c:valAx>
        <c:axId val="8147071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Improvement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814707520"/>
        <c:crosses val="max"/>
        <c:crossBetween val="between"/>
      </c:valAx>
      <c:catAx>
        <c:axId val="81470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81470719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12</xdr:col>
      <xdr:colOff>444500</xdr:colOff>
      <xdr:row>0</xdr:row>
      <xdr:rowOff>2501900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C24D-17D7-4C8C-8529-5C01BEAA2BE4}"/>
            </a:ext>
          </a:extLst>
        </xdr:cNvPr>
        <xdr:cNvSpPr txBox="1"/>
      </xdr:nvSpPr>
      <xdr:spPr>
        <a:xfrm>
          <a:off x="12700" y="12700"/>
          <a:ext cx="8890000" cy="248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Hastings
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16</xdr:row>
      <xdr:rowOff>0</xdr:rowOff>
    </xdr:from>
    <xdr:to>
      <xdr:col>3</xdr:col>
      <xdr:colOff>73025</xdr:colOff>
      <xdr:row>16</xdr:row>
      <xdr:rowOff>3098800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7A0CC-0583-4065-BEC8-7D6CD42B2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225425</xdr:colOff>
      <xdr:row>16</xdr:row>
      <xdr:rowOff>0</xdr:rowOff>
    </xdr:from>
    <xdr:to>
      <xdr:col>11</xdr:col>
      <xdr:colOff>504825</xdr:colOff>
      <xdr:row>16</xdr:row>
      <xdr:rowOff>3098800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05740-97CB-42D0-B99D-FC930DCB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1660C-FCC8-4D63-8207-AA37B86E7ED1}" name="Table1" displayName="Table1" ref="A1:F37" totalsRowShown="0" headerRowDxfId="29" dataDxfId="28">
  <autoFilter ref="A1:F37" xr:uid="{A9E3D608-9E1F-4F89-A809-B3B0F3080633}"/>
  <tableColumns count="6">
    <tableColumn id="1" xr3:uid="{53A8767F-6463-4175-8A8B-366904B24B1D}" name="Date" dataDxfId="27"/>
    <tableColumn id="2" xr3:uid="{42D58EB0-7D8D-4AB5-BE10-3CC8098C1BEF}" name="Purchased electricity (kWh)" dataDxfId="26"/>
    <tableColumn id="7" xr3:uid="{28E7B343-17E7-4183-A35C-C94AD72F0684}" name="Electricity (MMBTU)" dataDxfId="25" dataCellStyle="Comma">
      <calculatedColumnFormula>Table1[[#This Row],[Purchased electricity (kWh)]]*0.003412142*3</calculatedColumnFormula>
    </tableColumn>
    <tableColumn id="3" xr3:uid="{0353955F-1BC4-44C5-A298-198F69CCB6B9}" name="Natural Gas (MMBtu)" dataDxfId="24"/>
    <tableColumn id="4" xr3:uid="{9C5AEE8D-6DBF-4FBA-BB37-CF5D42DFA4B9}" name="Production (tons)" dataDxfId="23"/>
    <tableColumn id="5" xr3:uid="{AB18EB99-49E1-421E-A5CC-E438E3E079E6}" name="Period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743AA-D600-41C4-A9C9-5E083B983AB3}" name="DetailTable2" displayName="DetailTable2" ref="A14:O50" headerRowDxfId="21">
  <autoFilter ref="A14:O50" xr:uid="{73BDD53F-47B5-4D5A-B828-268FBD712BF6}"/>
  <tableColumns count="15">
    <tableColumn id="1" xr3:uid="{257D4FD8-134E-48F6-AE55-D1E7112F22AB}" name="Date" dataDxfId="20"/>
    <tableColumn id="2" xr3:uid="{7DA08FE5-2E18-4F98-AF06-56C08352554D}" name="Purchased electricity (kWh)" dataDxfId="19"/>
    <tableColumn id="3" xr3:uid="{E3862167-ED1F-4930-9BE3-943ADD9815C4}" name="Purchased electricity (MMBTU)" dataDxfId="18"/>
    <tableColumn id="4" xr3:uid="{A336D308-2C5B-4035-83FD-F82D9536ED1B}" name="Natural Gas (MMBtu)" dataDxfId="17"/>
    <tableColumn id="5" xr3:uid="{BAAD3B16-9B2A-4C67-BB9F-1AB8167AE9A5}" name="Production (tons)" dataDxfId="16"/>
    <tableColumn id="6" xr3:uid="{238DE17F-5B50-4ECB-BB4E-2FF3B03AAB30}" name="Period" dataDxfId="15"/>
    <tableColumn id="7" xr3:uid="{70ACB3B3-7E72-4C53-97A7-42B1C0247DF7}" name="TOTAL  (MMBTU)" totalsRowFunction="sum" dataDxfId="14">
      <calculatedColumnFormula>DetailTable2[[#This Row],[Purchased electricity (MMBTU)]]+DetailTable2[[#This Row],[Natural Gas (MMBtu)]]</calculatedColumnFormula>
    </tableColumn>
    <tableColumn id="8" xr3:uid="{B531936B-8AA9-42E6-9194-E72707A39EF6}" name="Total Production" dataDxfId="13">
      <calculatedColumnFormula>SUM(SUMIFS(DetailTable2[Production (tons)],DetailTable2[Period],DetailTable2[[#This Row],[Period]]))</calculatedColumnFormula>
    </tableColumn>
    <tableColumn id="9" xr3:uid="{F206AD7F-B12D-4FEC-A190-359C26344355}" name="Baseline Year" dataDxfId="12"/>
    <tableColumn id="10" xr3:uid="{34A17230-6A78-4A4B-B484-140001C8AD84}" name="Model Year" dataDxfId="11"/>
    <tableColumn id="11" xr3:uid="{EA24DF44-B0DD-470A-8793-5DD5F452624C}" name="Period Count" dataDxfId="10">
      <calculatedColumnFormula>IF(OFFSET(INDIRECT(ADDRESS(ROW(),COLUMN(DetailTable2[Period]))),-1,0,1,1) = OFFSET(INDIRECT(ADDRESS(ROW(),COLUMN(DetailTable2[Period]))),0,0,1,1),OFFSET(INDIRECT(ADDRESS(ROW(),COLUMN())),-1,0,1,1) + 1,1)</calculatedColumnFormula>
    </tableColumn>
    <tableColumn id="12" xr3:uid="{4A83209C-5711-43C5-95C7-27EAFE82DEBB}" name="Baseline Count" dataDxfId="9">
      <calculatedColumnFormula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calculatedColumnFormula>
    </tableColumn>
    <tableColumn id="13" xr3:uid="{C576E9AB-63E0-4618-A26F-5AB8FEA91DA5}" name="Energy Savings: Purchased electricity (MMBTU)" dataDxfId="8">
      <calculatedColumnFormula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calculatedColumnFormula>
    </tableColumn>
    <tableColumn id="14" xr3:uid="{F0308F26-7172-4BF8-AB50-954556BCBCB0}" name="Energy Savings: Natural Gas (MMBtu)" dataDxfId="7">
      <calculatedColumnFormula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calculatedColumnFormula>
    </tableColumn>
    <tableColumn id="15" xr3:uid="{E1697135-D161-4EB8-8E4A-2F4001680036}" name="Energy Savings: TOTAL  (MMBTU)" dataDxfId="6">
      <calculatedColumnFormula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BCA4CE-8ED0-4C44-B919-1B637459FF41}" name="Table4" displayName="Table4" ref="A1:D5" totalsRowShown="0">
  <autoFilter ref="A1:D5" xr:uid="{FAF38DBE-9D5A-4B53-85ED-7E05CF350E8C}"/>
  <tableColumns count="4">
    <tableColumn id="1" xr3:uid="{F8AFF8DE-4638-4BAC-8FB6-C123FE69FFB7}" name="Column1"/>
    <tableColumn id="2" xr3:uid="{A656E350-B9E4-4C17-9802-CBF65833E4AF}" name="Column2"/>
    <tableColumn id="3" xr3:uid="{55503D2F-71D0-400D-8BCE-8530EC566B22}" name="Column3"/>
    <tableColumn id="4" xr3:uid="{78D657EF-4E13-4C8D-B76A-7E84A454A696}" name="Column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BB1A9C-DF88-45BE-B110-10927BEA6561}" name="AnnualTable3" displayName="AnnualTable3" ref="A4:D15" totalsRowShown="0" headerRowDxfId="5" dataDxfId="4" dataCellStyle="Comma">
  <autoFilter ref="A4:D15" xr:uid="{32AB47F2-A421-424F-BD0B-4D180607EDFE}"/>
  <tableColumns count="4">
    <tableColumn id="1" xr3:uid="{06D94713-80FD-4547-B0CE-131DE71EBE44}" name=" " dataDxfId="3" dataCellStyle="Comma"/>
    <tableColumn id="2" xr3:uid="{D111DEF3-CA14-4398-AA3B-E48BDB1B3E70}" name="2007" dataDxfId="2" dataCellStyle="Comma">
      <calculatedColumnFormula>SUMIF(DetailTable2[Period],AnnualTable3[#Headers],DetailTable2[Purchased electricity (MMBTU)])</calculatedColumnFormula>
    </tableColumn>
    <tableColumn id="3" xr3:uid="{7785A8F1-E75F-4643-943F-14AA3256B9ED}" name="2008" dataDxfId="1" dataCellStyle="Comma">
      <calculatedColumnFormula>SUMIF(DetailTable2[Period],AnnualTable3[#Headers],DetailTable2[Purchased electricity (MMBTU)])</calculatedColumnFormula>
    </tableColumn>
    <tableColumn id="4" xr3:uid="{EA3E97A9-EB03-43B1-8EB5-13676D054D30}" name="2009" dataDxfId="0" dataCellStyle="Comma">
      <calculatedColumnFormula>SUMIF(DetailTable2[Period],AnnualTable3[#Headers],DetailTable2[Purchased electricity (MMBTU)])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5" Type="http://schemas.openxmlformats.org/officeDocument/2006/relationships/table" Target="../tables/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C2" sqref="C2"/>
    </sheetView>
  </sheetViews>
  <sheetFormatPr defaultRowHeight="15" x14ac:dyDescent="0.25"/>
  <cols>
    <col min="1" max="1" width="9.7109375" style="5" bestFit="1" customWidth="1"/>
    <col min="2" max="2" width="27.5703125" style="8" customWidth="1"/>
    <col min="3" max="3" width="33.7109375" style="8" bestFit="1" customWidth="1"/>
    <col min="4" max="4" width="24.7109375" style="8" bestFit="1" customWidth="1"/>
    <col min="5" max="5" width="21.140625" style="8" bestFit="1" customWidth="1"/>
    <col min="6" max="6" width="11.42578125" style="5" bestFit="1" customWidth="1"/>
  </cols>
  <sheetData>
    <row r="1" spans="1:6" x14ac:dyDescent="0.25">
      <c r="A1" s="3" t="s">
        <v>0</v>
      </c>
      <c r="B1" s="7" t="s">
        <v>1</v>
      </c>
      <c r="C1" s="7" t="s">
        <v>39</v>
      </c>
      <c r="D1" s="7" t="s">
        <v>2</v>
      </c>
      <c r="E1" s="7" t="s">
        <v>3</v>
      </c>
      <c r="F1" s="3" t="s">
        <v>5</v>
      </c>
    </row>
    <row r="2" spans="1:6" x14ac:dyDescent="0.25">
      <c r="A2" s="4">
        <v>39083</v>
      </c>
      <c r="B2" s="8">
        <v>31316</v>
      </c>
      <c r="C2" s="9">
        <f>Table1[[#This Row],[Purchased electricity (kWh)]]*0.003412142*3</f>
        <v>320.56391661599997</v>
      </c>
      <c r="D2" s="8">
        <v>240194</v>
      </c>
      <c r="E2" s="8">
        <v>11912</v>
      </c>
      <c r="F2" s="6">
        <f>YEAR(Table1[[#This Row],[Date]])</f>
        <v>2007</v>
      </c>
    </row>
    <row r="3" spans="1:6" x14ac:dyDescent="0.25">
      <c r="A3" s="4">
        <v>39114</v>
      </c>
      <c r="B3" s="8">
        <v>27889</v>
      </c>
      <c r="C3" s="9">
        <f>Table1[[#This Row],[Purchased electricity (kWh)]]*0.003412142*3</f>
        <v>285.48368471399999</v>
      </c>
      <c r="D3" s="8">
        <v>210742</v>
      </c>
      <c r="E3" s="8">
        <v>10239</v>
      </c>
      <c r="F3" s="6">
        <f>YEAR(Table1[[#This Row],[Date]])</f>
        <v>2007</v>
      </c>
    </row>
    <row r="4" spans="1:6" x14ac:dyDescent="0.25">
      <c r="A4" s="4">
        <v>39142</v>
      </c>
      <c r="B4" s="8">
        <v>32131</v>
      </c>
      <c r="C4" s="9">
        <f>Table1[[#This Row],[Purchased electricity (kWh)]]*0.003412142*3</f>
        <v>328.90660380599996</v>
      </c>
      <c r="D4" s="8">
        <v>216099</v>
      </c>
      <c r="E4" s="8">
        <v>11891</v>
      </c>
      <c r="F4" s="6">
        <f>YEAR(Table1[[#This Row],[Date]])</f>
        <v>2007</v>
      </c>
    </row>
    <row r="5" spans="1:6" x14ac:dyDescent="0.25">
      <c r="A5" s="4">
        <v>39173</v>
      </c>
      <c r="B5" s="8">
        <v>30205</v>
      </c>
      <c r="C5" s="9">
        <f>Table1[[#This Row],[Purchased electricity (kWh)]]*0.003412142*3</f>
        <v>309.19124733000001</v>
      </c>
      <c r="D5" s="8">
        <v>225581</v>
      </c>
      <c r="E5" s="8">
        <v>11837</v>
      </c>
      <c r="F5" s="6">
        <f>YEAR(Table1[[#This Row],[Date]])</f>
        <v>2007</v>
      </c>
    </row>
    <row r="6" spans="1:6" x14ac:dyDescent="0.25">
      <c r="A6" s="4">
        <v>39203</v>
      </c>
      <c r="B6" s="8">
        <v>30787</v>
      </c>
      <c r="C6" s="9">
        <f>Table1[[#This Row],[Purchased electricity (kWh)]]*0.003412142*3</f>
        <v>315.148847262</v>
      </c>
      <c r="D6" s="8">
        <v>207412</v>
      </c>
      <c r="E6" s="8">
        <v>11094</v>
      </c>
      <c r="F6" s="6">
        <f>YEAR(Table1[[#This Row],[Date]])</f>
        <v>2007</v>
      </c>
    </row>
    <row r="7" spans="1:6" x14ac:dyDescent="0.25">
      <c r="A7" s="4">
        <v>39234</v>
      </c>
      <c r="B7" s="8">
        <v>31196</v>
      </c>
      <c r="C7" s="9">
        <f>Table1[[#This Row],[Purchased electricity (kWh)]]*0.003412142*3</f>
        <v>319.33554549600001</v>
      </c>
      <c r="D7" s="8">
        <v>214824</v>
      </c>
      <c r="E7" s="8">
        <v>12076</v>
      </c>
      <c r="F7" s="6">
        <f>YEAR(Table1[[#This Row],[Date]])</f>
        <v>2007</v>
      </c>
    </row>
    <row r="8" spans="1:6" x14ac:dyDescent="0.25">
      <c r="A8" s="4">
        <v>39264</v>
      </c>
      <c r="B8" s="8">
        <v>33372</v>
      </c>
      <c r="C8" s="9">
        <f>Table1[[#This Row],[Purchased electricity (kWh)]]*0.003412142*3</f>
        <v>341.610008472</v>
      </c>
      <c r="D8" s="8">
        <v>214113</v>
      </c>
      <c r="E8" s="8">
        <v>12963</v>
      </c>
      <c r="F8" s="6">
        <f>YEAR(Table1[[#This Row],[Date]])</f>
        <v>2007</v>
      </c>
    </row>
    <row r="9" spans="1:6" x14ac:dyDescent="0.25">
      <c r="A9" s="4">
        <v>39295</v>
      </c>
      <c r="B9" s="8">
        <v>34060</v>
      </c>
      <c r="C9" s="9">
        <f>Table1[[#This Row],[Purchased electricity (kWh)]]*0.003412142*3</f>
        <v>348.65266955999999</v>
      </c>
      <c r="D9" s="8">
        <v>224422</v>
      </c>
      <c r="E9" s="8">
        <v>12851</v>
      </c>
      <c r="F9" s="6">
        <f>YEAR(Table1[[#This Row],[Date]])</f>
        <v>2007</v>
      </c>
    </row>
    <row r="10" spans="1:6" x14ac:dyDescent="0.25">
      <c r="A10" s="4">
        <v>39326</v>
      </c>
      <c r="B10" s="8">
        <v>33001</v>
      </c>
      <c r="C10" s="9">
        <f>Table1[[#This Row],[Purchased electricity (kWh)]]*0.003412142*3</f>
        <v>337.81229442599999</v>
      </c>
      <c r="D10" s="8">
        <v>218686</v>
      </c>
      <c r="E10" s="8">
        <v>12605</v>
      </c>
      <c r="F10" s="6">
        <f>YEAR(Table1[[#This Row],[Date]])</f>
        <v>2007</v>
      </c>
    </row>
    <row r="11" spans="1:6" x14ac:dyDescent="0.25">
      <c r="A11" s="4">
        <v>39356</v>
      </c>
      <c r="B11" s="8">
        <v>31269</v>
      </c>
      <c r="C11" s="9">
        <f>Table1[[#This Row],[Purchased electricity (kWh)]]*0.003412142*3</f>
        <v>320.08280459399998</v>
      </c>
      <c r="D11" s="8">
        <v>220624</v>
      </c>
      <c r="E11" s="8">
        <v>12790</v>
      </c>
      <c r="F11" s="6">
        <f>YEAR(Table1[[#This Row],[Date]])</f>
        <v>2007</v>
      </c>
    </row>
    <row r="12" spans="1:6" x14ac:dyDescent="0.25">
      <c r="A12" s="4">
        <v>39387</v>
      </c>
      <c r="B12" s="8">
        <v>40316</v>
      </c>
      <c r="C12" s="9">
        <f>Table1[[#This Row],[Purchased electricity (kWh)]]*0.003412142*3</f>
        <v>412.69175061599998</v>
      </c>
      <c r="D12" s="8">
        <v>200938</v>
      </c>
      <c r="E12" s="8">
        <v>12466</v>
      </c>
      <c r="F12" s="6">
        <f>YEAR(Table1[[#This Row],[Date]])</f>
        <v>2007</v>
      </c>
    </row>
    <row r="13" spans="1:6" x14ac:dyDescent="0.25">
      <c r="A13" s="4">
        <v>39417</v>
      </c>
      <c r="B13" s="8">
        <v>40315</v>
      </c>
      <c r="C13" s="9">
        <f>Table1[[#This Row],[Purchased electricity (kWh)]]*0.003412142*3</f>
        <v>412.68151418999997</v>
      </c>
      <c r="D13" s="8">
        <v>236021</v>
      </c>
      <c r="E13" s="8">
        <v>13515</v>
      </c>
      <c r="F13" s="6">
        <f>YEAR(Table1[[#This Row],[Date]])</f>
        <v>2007</v>
      </c>
    </row>
    <row r="14" spans="1:6" x14ac:dyDescent="0.25">
      <c r="A14" s="4">
        <v>39448</v>
      </c>
      <c r="B14" s="8">
        <v>34501</v>
      </c>
      <c r="C14" s="9">
        <f>Table1[[#This Row],[Purchased electricity (kWh)]]*0.003412142*3</f>
        <v>353.16693342600001</v>
      </c>
      <c r="D14" s="8">
        <v>247568</v>
      </c>
      <c r="E14" s="8">
        <v>13434</v>
      </c>
      <c r="F14" s="6">
        <f>YEAR(Table1[[#This Row],[Date]])</f>
        <v>2008</v>
      </c>
    </row>
    <row r="15" spans="1:6" x14ac:dyDescent="0.25">
      <c r="A15" s="4">
        <v>39479</v>
      </c>
      <c r="B15" s="8">
        <v>25511</v>
      </c>
      <c r="C15" s="9">
        <f>Table1[[#This Row],[Purchased electricity (kWh)]]*0.003412142*3</f>
        <v>261.14146368600001</v>
      </c>
      <c r="D15" s="8">
        <v>226685</v>
      </c>
      <c r="E15" s="8">
        <v>12589</v>
      </c>
      <c r="F15" s="6">
        <f>YEAR(Table1[[#This Row],[Date]])</f>
        <v>2008</v>
      </c>
    </row>
    <row r="16" spans="1:6" x14ac:dyDescent="0.25">
      <c r="A16" s="4">
        <v>39508</v>
      </c>
      <c r="B16" s="8">
        <v>33361</v>
      </c>
      <c r="C16" s="9">
        <f>Table1[[#This Row],[Purchased electricity (kWh)]]*0.003412142*3</f>
        <v>341.497407786</v>
      </c>
      <c r="D16" s="8">
        <v>234718</v>
      </c>
      <c r="E16" s="8">
        <v>13465</v>
      </c>
      <c r="F16" s="6">
        <f>YEAR(Table1[[#This Row],[Date]])</f>
        <v>2008</v>
      </c>
    </row>
    <row r="17" spans="1:6" x14ac:dyDescent="0.25">
      <c r="A17" s="4">
        <v>39539</v>
      </c>
      <c r="B17" s="8">
        <v>33115</v>
      </c>
      <c r="C17" s="9">
        <f>Table1[[#This Row],[Purchased electricity (kWh)]]*0.003412142*3</f>
        <v>338.97924698999998</v>
      </c>
      <c r="D17" s="8">
        <v>218584</v>
      </c>
      <c r="E17" s="8">
        <v>13065</v>
      </c>
      <c r="F17" s="6">
        <f>YEAR(Table1[[#This Row],[Date]])</f>
        <v>2008</v>
      </c>
    </row>
    <row r="18" spans="1:6" x14ac:dyDescent="0.25">
      <c r="A18" s="4">
        <v>39569</v>
      </c>
      <c r="B18" s="8">
        <v>32960</v>
      </c>
      <c r="C18" s="9">
        <f>Table1[[#This Row],[Purchased electricity (kWh)]]*0.003412142*3</f>
        <v>337.39260095999998</v>
      </c>
      <c r="D18" s="8">
        <v>209934</v>
      </c>
      <c r="E18" s="8">
        <v>13326</v>
      </c>
      <c r="F18" s="6">
        <f>YEAR(Table1[[#This Row],[Date]])</f>
        <v>2008</v>
      </c>
    </row>
    <row r="19" spans="1:6" x14ac:dyDescent="0.25">
      <c r="A19" s="4">
        <v>39600</v>
      </c>
      <c r="B19" s="8">
        <v>35782</v>
      </c>
      <c r="C19" s="9">
        <f>Table1[[#This Row],[Purchased electricity (kWh)]]*0.003412142*3</f>
        <v>366.279795132</v>
      </c>
      <c r="D19" s="8">
        <v>201824</v>
      </c>
      <c r="E19" s="8">
        <v>13016</v>
      </c>
      <c r="F19" s="6">
        <f>YEAR(Table1[[#This Row],[Date]])</f>
        <v>2008</v>
      </c>
    </row>
    <row r="20" spans="1:6" x14ac:dyDescent="0.25">
      <c r="A20" s="4">
        <v>39630</v>
      </c>
      <c r="B20" s="8">
        <v>33113</v>
      </c>
      <c r="C20" s="9">
        <f>Table1[[#This Row],[Purchased electricity (kWh)]]*0.003412142*3</f>
        <v>338.95877413800002</v>
      </c>
      <c r="D20" s="8">
        <v>207621</v>
      </c>
      <c r="E20" s="8">
        <v>13318</v>
      </c>
      <c r="F20" s="6">
        <f>YEAR(Table1[[#This Row],[Date]])</f>
        <v>2008</v>
      </c>
    </row>
    <row r="21" spans="1:6" x14ac:dyDescent="0.25">
      <c r="A21" s="4">
        <v>39661</v>
      </c>
      <c r="B21" s="8">
        <v>34942</v>
      </c>
      <c r="C21" s="9">
        <f>Table1[[#This Row],[Purchased electricity (kWh)]]*0.003412142*3</f>
        <v>357.68119729199998</v>
      </c>
      <c r="D21" s="8">
        <v>207593</v>
      </c>
      <c r="E21" s="8">
        <v>13198</v>
      </c>
      <c r="F21" s="6">
        <f>YEAR(Table1[[#This Row],[Date]])</f>
        <v>2008</v>
      </c>
    </row>
    <row r="22" spans="1:6" x14ac:dyDescent="0.25">
      <c r="A22" s="4">
        <v>39692</v>
      </c>
      <c r="B22" s="8">
        <v>37743</v>
      </c>
      <c r="C22" s="9">
        <f>Table1[[#This Row],[Purchased electricity (kWh)]]*0.003412142*3</f>
        <v>386.35342651799999</v>
      </c>
      <c r="D22" s="8">
        <v>198047</v>
      </c>
      <c r="E22" s="8">
        <v>13215</v>
      </c>
      <c r="F22" s="6">
        <f>YEAR(Table1[[#This Row],[Date]])</f>
        <v>2008</v>
      </c>
    </row>
    <row r="23" spans="1:6" x14ac:dyDescent="0.25">
      <c r="A23" s="4">
        <v>39722</v>
      </c>
      <c r="B23" s="8">
        <v>44549</v>
      </c>
      <c r="C23" s="9">
        <f>Table1[[#This Row],[Purchased electricity (kWh)]]*0.003412142*3</f>
        <v>456.02254187400001</v>
      </c>
      <c r="D23" s="8">
        <v>211093</v>
      </c>
      <c r="E23" s="8">
        <v>13454</v>
      </c>
      <c r="F23" s="6">
        <f>YEAR(Table1[[#This Row],[Date]])</f>
        <v>2008</v>
      </c>
    </row>
    <row r="24" spans="1:6" x14ac:dyDescent="0.25">
      <c r="A24" s="4">
        <v>39753</v>
      </c>
      <c r="B24" s="8">
        <v>40930</v>
      </c>
      <c r="C24" s="9">
        <f>Table1[[#This Row],[Purchased electricity (kWh)]]*0.003412142*3</f>
        <v>418.97691617999999</v>
      </c>
      <c r="D24" s="8">
        <v>223660</v>
      </c>
      <c r="E24" s="8">
        <v>12902</v>
      </c>
      <c r="F24" s="6">
        <f>YEAR(Table1[[#This Row],[Date]])</f>
        <v>2008</v>
      </c>
    </row>
    <row r="25" spans="1:6" x14ac:dyDescent="0.25">
      <c r="A25" s="4">
        <v>39783</v>
      </c>
      <c r="B25" s="8">
        <v>34194</v>
      </c>
      <c r="C25" s="9">
        <f>Table1[[#This Row],[Purchased electricity (kWh)]]*0.003412142*3</f>
        <v>350.02435064399998</v>
      </c>
      <c r="D25" s="8">
        <v>241801</v>
      </c>
      <c r="E25" s="8">
        <v>13526</v>
      </c>
      <c r="F25" s="6">
        <f>YEAR(Table1[[#This Row],[Date]])</f>
        <v>2008</v>
      </c>
    </row>
    <row r="26" spans="1:6" x14ac:dyDescent="0.25">
      <c r="A26" s="4">
        <v>39814</v>
      </c>
      <c r="B26" s="8">
        <v>34501</v>
      </c>
      <c r="C26" s="9">
        <f>Table1[[#This Row],[Purchased electricity (kWh)]]*0.003412142*3</f>
        <v>353.16693342600001</v>
      </c>
      <c r="D26" s="8">
        <v>232051</v>
      </c>
      <c r="E26" s="8">
        <v>13411</v>
      </c>
      <c r="F26" s="6">
        <f>YEAR(Table1[[#This Row],[Date]])</f>
        <v>2009</v>
      </c>
    </row>
    <row r="27" spans="1:6" x14ac:dyDescent="0.25">
      <c r="A27" s="4">
        <v>39845</v>
      </c>
      <c r="B27" s="8">
        <v>25511</v>
      </c>
      <c r="C27" s="9">
        <f>Table1[[#This Row],[Purchased electricity (kWh)]]*0.003412142*3</f>
        <v>261.14146368600001</v>
      </c>
      <c r="D27" s="8">
        <v>208662</v>
      </c>
      <c r="E27" s="8">
        <v>12202</v>
      </c>
      <c r="F27" s="6">
        <f>YEAR(Table1[[#This Row],[Date]])</f>
        <v>2009</v>
      </c>
    </row>
    <row r="28" spans="1:6" x14ac:dyDescent="0.25">
      <c r="A28" s="4">
        <v>39873</v>
      </c>
      <c r="B28" s="8">
        <v>33361</v>
      </c>
      <c r="C28" s="9">
        <f>Table1[[#This Row],[Purchased electricity (kWh)]]*0.003412142*3</f>
        <v>341.497407786</v>
      </c>
      <c r="D28" s="8">
        <v>217995</v>
      </c>
      <c r="E28" s="8">
        <v>12467</v>
      </c>
      <c r="F28" s="6">
        <f>YEAR(Table1[[#This Row],[Date]])</f>
        <v>2009</v>
      </c>
    </row>
    <row r="29" spans="1:6" x14ac:dyDescent="0.25">
      <c r="A29" s="4">
        <v>39904</v>
      </c>
      <c r="B29" s="8">
        <v>33115</v>
      </c>
      <c r="C29" s="9">
        <f>Table1[[#This Row],[Purchased electricity (kWh)]]*0.003412142*3</f>
        <v>338.97924698999998</v>
      </c>
      <c r="D29" s="8">
        <v>214501</v>
      </c>
      <c r="E29" s="8">
        <v>12952</v>
      </c>
      <c r="F29" s="6">
        <f>YEAR(Table1[[#This Row],[Date]])</f>
        <v>2009</v>
      </c>
    </row>
    <row r="30" spans="1:6" x14ac:dyDescent="0.25">
      <c r="A30" s="4">
        <v>39934</v>
      </c>
      <c r="B30" s="8">
        <v>32960</v>
      </c>
      <c r="C30" s="9">
        <f>Table1[[#This Row],[Purchased electricity (kWh)]]*0.003412142*3</f>
        <v>337.39260095999998</v>
      </c>
      <c r="D30" s="8">
        <v>202048</v>
      </c>
      <c r="E30" s="8">
        <v>12851</v>
      </c>
      <c r="F30" s="6">
        <f>YEAR(Table1[[#This Row],[Date]])</f>
        <v>2009</v>
      </c>
    </row>
    <row r="31" spans="1:6" x14ac:dyDescent="0.25">
      <c r="A31" s="4">
        <v>39965</v>
      </c>
      <c r="B31" s="8">
        <v>35782</v>
      </c>
      <c r="C31" s="9">
        <f>Table1[[#This Row],[Purchased electricity (kWh)]]*0.003412142*3</f>
        <v>366.279795132</v>
      </c>
      <c r="D31" s="8">
        <v>170620</v>
      </c>
      <c r="E31" s="8">
        <v>11948</v>
      </c>
      <c r="F31" s="6">
        <f>YEAR(Table1[[#This Row],[Date]])</f>
        <v>2009</v>
      </c>
    </row>
    <row r="32" spans="1:6" x14ac:dyDescent="0.25">
      <c r="A32" s="4">
        <v>39995</v>
      </c>
      <c r="B32" s="8">
        <v>33113</v>
      </c>
      <c r="C32" s="9">
        <f>Table1[[#This Row],[Purchased electricity (kWh)]]*0.003412142*3</f>
        <v>338.95877413800002</v>
      </c>
      <c r="D32" s="8">
        <v>207315</v>
      </c>
      <c r="E32" s="8">
        <v>13043</v>
      </c>
      <c r="F32" s="6">
        <f>YEAR(Table1[[#This Row],[Date]])</f>
        <v>2009</v>
      </c>
    </row>
    <row r="33" spans="1:6" x14ac:dyDescent="0.25">
      <c r="A33" s="4">
        <v>40026</v>
      </c>
      <c r="B33" s="8">
        <v>34942</v>
      </c>
      <c r="C33" s="9">
        <f>Table1[[#This Row],[Purchased electricity (kWh)]]*0.003412142*3</f>
        <v>357.68119729199998</v>
      </c>
      <c r="D33" s="8">
        <v>198238</v>
      </c>
      <c r="E33" s="8">
        <v>13135</v>
      </c>
      <c r="F33" s="6">
        <f>YEAR(Table1[[#This Row],[Date]])</f>
        <v>2009</v>
      </c>
    </row>
    <row r="34" spans="1:6" x14ac:dyDescent="0.25">
      <c r="A34" s="4">
        <v>40057</v>
      </c>
      <c r="B34" s="8">
        <v>37743</v>
      </c>
      <c r="C34" s="9">
        <f>Table1[[#This Row],[Purchased electricity (kWh)]]*0.003412142*3</f>
        <v>386.35342651799999</v>
      </c>
      <c r="D34" s="8">
        <v>194568</v>
      </c>
      <c r="E34" s="8">
        <v>12965</v>
      </c>
      <c r="F34" s="6">
        <f>YEAR(Table1[[#This Row],[Date]])</f>
        <v>2009</v>
      </c>
    </row>
    <row r="35" spans="1:6" x14ac:dyDescent="0.25">
      <c r="A35" s="4">
        <v>40087</v>
      </c>
      <c r="B35" s="8">
        <v>44549</v>
      </c>
      <c r="C35" s="9">
        <f>Table1[[#This Row],[Purchased electricity (kWh)]]*0.003412142*3</f>
        <v>456.02254187400001</v>
      </c>
      <c r="D35" s="8">
        <v>189185</v>
      </c>
      <c r="E35" s="8">
        <v>13622</v>
      </c>
      <c r="F35" s="6">
        <f>YEAR(Table1[[#This Row],[Date]])</f>
        <v>2009</v>
      </c>
    </row>
    <row r="36" spans="1:6" x14ac:dyDescent="0.25">
      <c r="A36" s="4">
        <v>40118</v>
      </c>
      <c r="B36" s="8">
        <v>40930</v>
      </c>
      <c r="C36" s="9">
        <f>Table1[[#This Row],[Purchased electricity (kWh)]]*0.003412142*3</f>
        <v>418.97691617999999</v>
      </c>
      <c r="D36" s="8">
        <v>206655</v>
      </c>
      <c r="E36" s="8">
        <v>13102</v>
      </c>
      <c r="F36" s="6">
        <f>YEAR(Table1[[#This Row],[Date]])</f>
        <v>2009</v>
      </c>
    </row>
    <row r="37" spans="1:6" x14ac:dyDescent="0.25">
      <c r="A37" s="4">
        <v>40148</v>
      </c>
      <c r="B37" s="8">
        <v>34194</v>
      </c>
      <c r="C37" s="9">
        <f>Table1[[#This Row],[Purchased electricity (kWh)]]*0.003412142*3</f>
        <v>350.02435064399998</v>
      </c>
      <c r="D37" s="8">
        <v>237101</v>
      </c>
      <c r="E37" s="8">
        <v>13289</v>
      </c>
      <c r="F37" s="6">
        <f>YEAR(Table1[[#This Row],[Date]])</f>
        <v>2009</v>
      </c>
    </row>
  </sheetData>
  <pageMargins left="0.7" right="0.7" top="0.75" bottom="0.75" header="0.3" footer="0.3"/>
  <pageSetup orientation="portrait" horizontalDpi="1200" verticalDpi="1200" r:id="rId1"/>
  <customProperties>
    <customPr name="BaselineYear" r:id="rId2"/>
    <customPr name="BuildingSF" r:id="rId3"/>
    <customPr name="Production" r:id="rId4"/>
    <customPr name="Sources" r:id="rId5"/>
  </customPropertie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222D-7099-4D51-8424-63F6579939E4}">
  <sheetPr>
    <tabColor rgb="FF11CC50"/>
  </sheetPr>
  <dimension ref="A1:U86"/>
  <sheetViews>
    <sheetView workbookViewId="0">
      <selection activeCell="A14" sqref="A14:D14"/>
    </sheetView>
  </sheetViews>
  <sheetFormatPr defaultRowHeight="15" x14ac:dyDescent="0.25"/>
  <cols>
    <col min="1" max="1" width="9.7109375" bestFit="1" customWidth="1"/>
    <col min="2" max="2" width="27.5703125" customWidth="1"/>
    <col min="3" max="3" width="30.7109375" customWidth="1"/>
    <col min="4" max="4" width="22" customWidth="1"/>
    <col min="5" max="5" width="18.5703125" customWidth="1"/>
    <col min="8" max="12" width="0" hidden="1" customWidth="1"/>
    <col min="13" max="15" width="16.42578125" customWidth="1"/>
  </cols>
  <sheetData>
    <row r="1" spans="1:21" ht="212.1" customHeight="1" x14ac:dyDescent="0.25"/>
    <row r="14" spans="1:21" ht="60" x14ac:dyDescent="0.25">
      <c r="A14" s="12" t="s">
        <v>0</v>
      </c>
      <c r="B14" s="12" t="s">
        <v>1</v>
      </c>
      <c r="C14" s="12" t="s">
        <v>6</v>
      </c>
      <c r="D14" s="12" t="s">
        <v>2</v>
      </c>
      <c r="E14" s="12" t="s">
        <v>3</v>
      </c>
      <c r="F14" s="12" t="s">
        <v>5</v>
      </c>
      <c r="G14" s="12" t="s">
        <v>7</v>
      </c>
      <c r="H14" s="12" t="s">
        <v>8</v>
      </c>
      <c r="I14" s="12" t="s">
        <v>9</v>
      </c>
      <c r="J14" s="12" t="s">
        <v>10</v>
      </c>
      <c r="K14" s="12" t="s">
        <v>11</v>
      </c>
      <c r="L14" s="12" t="s">
        <v>12</v>
      </c>
      <c r="M14" s="12" t="s">
        <v>13</v>
      </c>
      <c r="N14" s="12" t="s">
        <v>14</v>
      </c>
      <c r="O14" s="12" t="s">
        <v>15</v>
      </c>
    </row>
    <row r="15" spans="1:21" x14ac:dyDescent="0.25">
      <c r="A15" s="1">
        <v>39083</v>
      </c>
      <c r="B15" s="10">
        <v>31316</v>
      </c>
      <c r="C15" s="10">
        <v>320.56391661599997</v>
      </c>
      <c r="D15" s="10">
        <v>240194</v>
      </c>
      <c r="E15" s="10">
        <v>11912</v>
      </c>
      <c r="F15" s="2">
        <v>2007</v>
      </c>
      <c r="G15" s="10">
        <f>DetailTable2[[#This Row],[Purchased electricity (MMBTU)]]+DetailTable2[[#This Row],[Natural Gas (MMBtu)]]</f>
        <v>240514.563916616</v>
      </c>
      <c r="H15" s="10">
        <f>SUM(SUMIFS(DetailTable2[Production (tons)],DetailTable2[Period],DetailTable2[[#This Row],[Period]]))</f>
        <v>146239</v>
      </c>
      <c r="I15" s="10">
        <v>2007</v>
      </c>
      <c r="J15" s="10">
        <v>0</v>
      </c>
      <c r="K15" s="10">
        <f ca="1">IF(OFFSET(INDIRECT(ADDRESS(ROW(),COLUMN(DetailTable2[Period]))),-1,0,1,1) = OFFSET(INDIRECT(ADDRESS(ROW(),COLUMN(DetailTable2[Period]))),0,0,1,1),OFFSET(INDIRECT(ADDRESS(ROW(),COLUMN())),-1,0,1,1) + 1,1)</f>
        <v>1</v>
      </c>
      <c r="L15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1</v>
      </c>
      <c r="M15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15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15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15" s="10"/>
      <c r="Q15" s="10"/>
      <c r="R15" s="10"/>
      <c r="S15" s="10"/>
      <c r="T15" s="10"/>
      <c r="U15" s="10"/>
    </row>
    <row r="16" spans="1:21" x14ac:dyDescent="0.25">
      <c r="A16" s="1">
        <v>39114</v>
      </c>
      <c r="B16" s="10">
        <v>27889</v>
      </c>
      <c r="C16" s="10">
        <v>285.48368471399999</v>
      </c>
      <c r="D16" s="10">
        <v>210742</v>
      </c>
      <c r="E16" s="10">
        <v>10239</v>
      </c>
      <c r="F16" s="2">
        <v>2007</v>
      </c>
      <c r="G16" s="10">
        <f>DetailTable2[[#This Row],[Purchased electricity (MMBTU)]]+DetailTable2[[#This Row],[Natural Gas (MMBtu)]]</f>
        <v>211027.48368471401</v>
      </c>
      <c r="H16" s="10">
        <f>SUM(SUMIFS(DetailTable2[Production (tons)],DetailTable2[Period],DetailTable2[[#This Row],[Period]]))</f>
        <v>146239</v>
      </c>
      <c r="I16" s="10">
        <v>2007</v>
      </c>
      <c r="J16" s="10">
        <v>0</v>
      </c>
      <c r="K16" s="10">
        <f ca="1">IF(OFFSET(INDIRECT(ADDRESS(ROW(),COLUMN(DetailTable2[Period]))),-1,0,1,1) = OFFSET(INDIRECT(ADDRESS(ROW(),COLUMN(DetailTable2[Period]))),0,0,1,1),OFFSET(INDIRECT(ADDRESS(ROW(),COLUMN())),-1,0,1,1) + 1,1)</f>
        <v>2</v>
      </c>
      <c r="L16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2</v>
      </c>
      <c r="M16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16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16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16" s="10"/>
      <c r="Q16" s="10"/>
      <c r="R16" s="10"/>
      <c r="S16" s="10"/>
      <c r="T16" s="10"/>
      <c r="U16" s="10"/>
    </row>
    <row r="17" spans="1:21" x14ac:dyDescent="0.25">
      <c r="A17" s="1">
        <v>39142</v>
      </c>
      <c r="B17" s="10">
        <v>32131</v>
      </c>
      <c r="C17" s="10">
        <v>328.90660380599996</v>
      </c>
      <c r="D17" s="10">
        <v>216099</v>
      </c>
      <c r="E17" s="10">
        <v>11891</v>
      </c>
      <c r="F17" s="2">
        <v>2007</v>
      </c>
      <c r="G17" s="10">
        <f>DetailTable2[[#This Row],[Purchased electricity (MMBTU)]]+DetailTable2[[#This Row],[Natural Gas (MMBtu)]]</f>
        <v>216427.90660380601</v>
      </c>
      <c r="H17" s="10">
        <f>SUM(SUMIFS(DetailTable2[Production (tons)],DetailTable2[Period],DetailTable2[[#This Row],[Period]]))</f>
        <v>146239</v>
      </c>
      <c r="I17" s="10">
        <v>2007</v>
      </c>
      <c r="J17" s="10">
        <v>0</v>
      </c>
      <c r="K17" s="10">
        <f ca="1">IF(OFFSET(INDIRECT(ADDRESS(ROW(),COLUMN(DetailTable2[Period]))),-1,0,1,1) = OFFSET(INDIRECT(ADDRESS(ROW(),COLUMN(DetailTable2[Period]))),0,0,1,1),OFFSET(INDIRECT(ADDRESS(ROW(),COLUMN())),-1,0,1,1) + 1,1)</f>
        <v>3</v>
      </c>
      <c r="L17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3</v>
      </c>
      <c r="M17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17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17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17" s="10"/>
      <c r="Q17" s="10"/>
      <c r="R17" s="10"/>
      <c r="S17" s="10"/>
      <c r="T17" s="10"/>
      <c r="U17" s="10"/>
    </row>
    <row r="18" spans="1:21" x14ac:dyDescent="0.25">
      <c r="A18" s="1">
        <v>39173</v>
      </c>
      <c r="B18" s="10">
        <v>30205</v>
      </c>
      <c r="C18" s="10">
        <v>309.19124733000001</v>
      </c>
      <c r="D18" s="10">
        <v>225581</v>
      </c>
      <c r="E18" s="10">
        <v>11837</v>
      </c>
      <c r="F18" s="2">
        <v>2007</v>
      </c>
      <c r="G18" s="10">
        <f>DetailTable2[[#This Row],[Purchased electricity (MMBTU)]]+DetailTable2[[#This Row],[Natural Gas (MMBtu)]]</f>
        <v>225890.19124732999</v>
      </c>
      <c r="H18" s="10">
        <f>SUM(SUMIFS(DetailTable2[Production (tons)],DetailTable2[Period],DetailTable2[[#This Row],[Period]]))</f>
        <v>146239</v>
      </c>
      <c r="I18" s="10">
        <v>2007</v>
      </c>
      <c r="J18" s="10">
        <v>0</v>
      </c>
      <c r="K18" s="10">
        <f ca="1">IF(OFFSET(INDIRECT(ADDRESS(ROW(),COLUMN(DetailTable2[Period]))),-1,0,1,1) = OFFSET(INDIRECT(ADDRESS(ROW(),COLUMN(DetailTable2[Period]))),0,0,1,1),OFFSET(INDIRECT(ADDRESS(ROW(),COLUMN())),-1,0,1,1) + 1,1)</f>
        <v>4</v>
      </c>
      <c r="L18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4</v>
      </c>
      <c r="M18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18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18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18" s="10"/>
      <c r="Q18" s="10"/>
      <c r="R18" s="10"/>
      <c r="S18" s="10"/>
      <c r="T18" s="10"/>
      <c r="U18" s="10"/>
    </row>
    <row r="19" spans="1:21" x14ac:dyDescent="0.25">
      <c r="A19" s="1">
        <v>39203</v>
      </c>
      <c r="B19" s="10">
        <v>30787</v>
      </c>
      <c r="C19" s="10">
        <v>315.148847262</v>
      </c>
      <c r="D19" s="10">
        <v>207412</v>
      </c>
      <c r="E19" s="10">
        <v>11094</v>
      </c>
      <c r="F19" s="2">
        <v>2007</v>
      </c>
      <c r="G19" s="10">
        <f>DetailTable2[[#This Row],[Purchased electricity (MMBTU)]]+DetailTable2[[#This Row],[Natural Gas (MMBtu)]]</f>
        <v>207727.148847262</v>
      </c>
      <c r="H19" s="10">
        <f>SUM(SUMIFS(DetailTable2[Production (tons)],DetailTable2[Period],DetailTable2[[#This Row],[Period]]))</f>
        <v>146239</v>
      </c>
      <c r="I19" s="10">
        <v>2007</v>
      </c>
      <c r="J19" s="10">
        <v>0</v>
      </c>
      <c r="K19" s="10">
        <f ca="1">IF(OFFSET(INDIRECT(ADDRESS(ROW(),COLUMN(DetailTable2[Period]))),-1,0,1,1) = OFFSET(INDIRECT(ADDRESS(ROW(),COLUMN(DetailTable2[Period]))),0,0,1,1),OFFSET(INDIRECT(ADDRESS(ROW(),COLUMN())),-1,0,1,1) + 1,1)</f>
        <v>5</v>
      </c>
      <c r="L19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5</v>
      </c>
      <c r="M19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19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19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19" s="10"/>
      <c r="Q19" s="10"/>
      <c r="R19" s="10"/>
      <c r="S19" s="10"/>
      <c r="T19" s="10"/>
      <c r="U19" s="10"/>
    </row>
    <row r="20" spans="1:21" x14ac:dyDescent="0.25">
      <c r="A20" s="1">
        <v>39234</v>
      </c>
      <c r="B20" s="10">
        <v>31196</v>
      </c>
      <c r="C20" s="10">
        <v>319.33554549600001</v>
      </c>
      <c r="D20" s="10">
        <v>214824</v>
      </c>
      <c r="E20" s="10">
        <v>12076</v>
      </c>
      <c r="F20" s="2">
        <v>2007</v>
      </c>
      <c r="G20" s="10">
        <f>DetailTable2[[#This Row],[Purchased electricity (MMBTU)]]+DetailTable2[[#This Row],[Natural Gas (MMBtu)]]</f>
        <v>215143.335545496</v>
      </c>
      <c r="H20" s="10">
        <f>SUM(SUMIFS(DetailTable2[Production (tons)],DetailTable2[Period],DetailTable2[[#This Row],[Period]]))</f>
        <v>146239</v>
      </c>
      <c r="I20" s="10">
        <v>2007</v>
      </c>
      <c r="J20" s="10">
        <v>0</v>
      </c>
      <c r="K20" s="10">
        <f ca="1">IF(OFFSET(INDIRECT(ADDRESS(ROW(),COLUMN(DetailTable2[Period]))),-1,0,1,1) = OFFSET(INDIRECT(ADDRESS(ROW(),COLUMN(DetailTable2[Period]))),0,0,1,1),OFFSET(INDIRECT(ADDRESS(ROW(),COLUMN())),-1,0,1,1) + 1,1)</f>
        <v>6</v>
      </c>
      <c r="L20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6</v>
      </c>
      <c r="M20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0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0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0" s="10"/>
      <c r="Q20" s="10"/>
      <c r="R20" s="10"/>
      <c r="S20" s="10"/>
      <c r="T20" s="10"/>
      <c r="U20" s="10"/>
    </row>
    <row r="21" spans="1:21" x14ac:dyDescent="0.25">
      <c r="A21" s="1">
        <v>39264</v>
      </c>
      <c r="B21" s="10">
        <v>33372</v>
      </c>
      <c r="C21" s="10">
        <v>341.610008472</v>
      </c>
      <c r="D21" s="10">
        <v>214113</v>
      </c>
      <c r="E21" s="10">
        <v>12963</v>
      </c>
      <c r="F21" s="2">
        <v>2007</v>
      </c>
      <c r="G21" s="10">
        <f>DetailTable2[[#This Row],[Purchased electricity (MMBTU)]]+DetailTable2[[#This Row],[Natural Gas (MMBtu)]]</f>
        <v>214454.61000847199</v>
      </c>
      <c r="H21" s="10">
        <f>SUM(SUMIFS(DetailTable2[Production (tons)],DetailTable2[Period],DetailTable2[[#This Row],[Period]]))</f>
        <v>146239</v>
      </c>
      <c r="I21" s="10">
        <v>2007</v>
      </c>
      <c r="J21" s="10">
        <v>0</v>
      </c>
      <c r="K21" s="10">
        <f ca="1">IF(OFFSET(INDIRECT(ADDRESS(ROW(),COLUMN(DetailTable2[Period]))),-1,0,1,1) = OFFSET(INDIRECT(ADDRESS(ROW(),COLUMN(DetailTable2[Period]))),0,0,1,1),OFFSET(INDIRECT(ADDRESS(ROW(),COLUMN())),-1,0,1,1) + 1,1)</f>
        <v>7</v>
      </c>
      <c r="L21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7</v>
      </c>
      <c r="M21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1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1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1" s="10"/>
      <c r="Q21" s="10"/>
      <c r="R21" s="10"/>
      <c r="S21" s="10"/>
      <c r="T21" s="10"/>
      <c r="U21" s="10"/>
    </row>
    <row r="22" spans="1:21" x14ac:dyDescent="0.25">
      <c r="A22" s="1">
        <v>39295</v>
      </c>
      <c r="B22" s="10">
        <v>34060</v>
      </c>
      <c r="C22" s="10">
        <v>348.65266955999999</v>
      </c>
      <c r="D22" s="10">
        <v>224422</v>
      </c>
      <c r="E22" s="10">
        <v>12851</v>
      </c>
      <c r="F22" s="2">
        <v>2007</v>
      </c>
      <c r="G22" s="10">
        <f>DetailTable2[[#This Row],[Purchased electricity (MMBTU)]]+DetailTable2[[#This Row],[Natural Gas (MMBtu)]]</f>
        <v>224770.65266955999</v>
      </c>
      <c r="H22" s="10">
        <f>SUM(SUMIFS(DetailTable2[Production (tons)],DetailTable2[Period],DetailTable2[[#This Row],[Period]]))</f>
        <v>146239</v>
      </c>
      <c r="I22" s="10">
        <v>2007</v>
      </c>
      <c r="J22" s="10">
        <v>0</v>
      </c>
      <c r="K22" s="10">
        <f ca="1">IF(OFFSET(INDIRECT(ADDRESS(ROW(),COLUMN(DetailTable2[Period]))),-1,0,1,1) = OFFSET(INDIRECT(ADDRESS(ROW(),COLUMN(DetailTable2[Period]))),0,0,1,1),OFFSET(INDIRECT(ADDRESS(ROW(),COLUMN())),-1,0,1,1) + 1,1)</f>
        <v>8</v>
      </c>
      <c r="L22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8</v>
      </c>
      <c r="M22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2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2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2" s="10"/>
      <c r="Q22" s="10"/>
      <c r="R22" s="10"/>
      <c r="S22" s="10"/>
      <c r="T22" s="10"/>
      <c r="U22" s="10"/>
    </row>
    <row r="23" spans="1:21" x14ac:dyDescent="0.25">
      <c r="A23" s="1">
        <v>39326</v>
      </c>
      <c r="B23" s="10">
        <v>33001</v>
      </c>
      <c r="C23" s="10">
        <v>337.81229442599999</v>
      </c>
      <c r="D23" s="10">
        <v>218686</v>
      </c>
      <c r="E23" s="10">
        <v>12605</v>
      </c>
      <c r="F23" s="2">
        <v>2007</v>
      </c>
      <c r="G23" s="10">
        <f>DetailTable2[[#This Row],[Purchased electricity (MMBTU)]]+DetailTable2[[#This Row],[Natural Gas (MMBtu)]]</f>
        <v>219023.812294426</v>
      </c>
      <c r="H23" s="10">
        <f>SUM(SUMIFS(DetailTable2[Production (tons)],DetailTable2[Period],DetailTable2[[#This Row],[Period]]))</f>
        <v>146239</v>
      </c>
      <c r="I23" s="10">
        <v>2007</v>
      </c>
      <c r="J23" s="10">
        <v>0</v>
      </c>
      <c r="K23" s="10">
        <f ca="1">IF(OFFSET(INDIRECT(ADDRESS(ROW(),COLUMN(DetailTable2[Period]))),-1,0,1,1) = OFFSET(INDIRECT(ADDRESS(ROW(),COLUMN(DetailTable2[Period]))),0,0,1,1),OFFSET(INDIRECT(ADDRESS(ROW(),COLUMN())),-1,0,1,1) + 1,1)</f>
        <v>9</v>
      </c>
      <c r="L23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9</v>
      </c>
      <c r="M23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3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3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3" s="10"/>
      <c r="Q23" s="10"/>
      <c r="R23" s="10"/>
      <c r="S23" s="10"/>
      <c r="T23" s="10"/>
      <c r="U23" s="10"/>
    </row>
    <row r="24" spans="1:21" x14ac:dyDescent="0.25">
      <c r="A24" s="1">
        <v>39356</v>
      </c>
      <c r="B24" s="10">
        <v>31269</v>
      </c>
      <c r="C24" s="10">
        <v>320.08280459399998</v>
      </c>
      <c r="D24" s="10">
        <v>220624</v>
      </c>
      <c r="E24" s="10">
        <v>12790</v>
      </c>
      <c r="F24" s="2">
        <v>2007</v>
      </c>
      <c r="G24" s="10">
        <f>DetailTable2[[#This Row],[Purchased electricity (MMBTU)]]+DetailTable2[[#This Row],[Natural Gas (MMBtu)]]</f>
        <v>220944.08280459401</v>
      </c>
      <c r="H24" s="10">
        <f>SUM(SUMIFS(DetailTable2[Production (tons)],DetailTable2[Period],DetailTable2[[#This Row],[Period]]))</f>
        <v>146239</v>
      </c>
      <c r="I24" s="10">
        <v>2007</v>
      </c>
      <c r="J24" s="10">
        <v>0</v>
      </c>
      <c r="K24" s="10">
        <f ca="1">IF(OFFSET(INDIRECT(ADDRESS(ROW(),COLUMN(DetailTable2[Period]))),-1,0,1,1) = OFFSET(INDIRECT(ADDRESS(ROW(),COLUMN(DetailTable2[Period]))),0,0,1,1),OFFSET(INDIRECT(ADDRESS(ROW(),COLUMN())),-1,0,1,1) + 1,1)</f>
        <v>10</v>
      </c>
      <c r="L24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10</v>
      </c>
      <c r="M24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4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4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4" s="10"/>
      <c r="Q24" s="10"/>
      <c r="R24" s="10"/>
      <c r="S24" s="10"/>
      <c r="T24" s="10"/>
      <c r="U24" s="10"/>
    </row>
    <row r="25" spans="1:21" x14ac:dyDescent="0.25">
      <c r="A25" s="1">
        <v>39387</v>
      </c>
      <c r="B25" s="10">
        <v>40316</v>
      </c>
      <c r="C25" s="10">
        <v>412.69175061599998</v>
      </c>
      <c r="D25" s="10">
        <v>200938</v>
      </c>
      <c r="E25" s="10">
        <v>12466</v>
      </c>
      <c r="F25" s="2">
        <v>2007</v>
      </c>
      <c r="G25" s="10">
        <f>DetailTable2[[#This Row],[Purchased electricity (MMBTU)]]+DetailTable2[[#This Row],[Natural Gas (MMBtu)]]</f>
        <v>201350.69175061601</v>
      </c>
      <c r="H25" s="10">
        <f>SUM(SUMIFS(DetailTable2[Production (tons)],DetailTable2[Period],DetailTable2[[#This Row],[Period]]))</f>
        <v>146239</v>
      </c>
      <c r="I25" s="10">
        <v>2007</v>
      </c>
      <c r="J25" s="10">
        <v>0</v>
      </c>
      <c r="K25" s="10">
        <f ca="1">IF(OFFSET(INDIRECT(ADDRESS(ROW(),COLUMN(DetailTable2[Period]))),-1,0,1,1) = OFFSET(INDIRECT(ADDRESS(ROW(),COLUMN(DetailTable2[Period]))),0,0,1,1),OFFSET(INDIRECT(ADDRESS(ROW(),COLUMN())),-1,0,1,1) + 1,1)</f>
        <v>11</v>
      </c>
      <c r="L25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11</v>
      </c>
      <c r="M25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5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5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5" s="10"/>
      <c r="Q25" s="10"/>
      <c r="R25" s="10"/>
      <c r="S25" s="10"/>
      <c r="T25" s="10"/>
      <c r="U25" s="10"/>
    </row>
    <row r="26" spans="1:21" x14ac:dyDescent="0.25">
      <c r="A26" s="1">
        <v>39417</v>
      </c>
      <c r="B26" s="10">
        <v>40315</v>
      </c>
      <c r="C26" s="10">
        <v>412.68151418999997</v>
      </c>
      <c r="D26" s="10">
        <v>236021</v>
      </c>
      <c r="E26" s="10">
        <v>13515</v>
      </c>
      <c r="F26" s="2">
        <v>2007</v>
      </c>
      <c r="G26" s="10">
        <f>DetailTable2[[#This Row],[Purchased electricity (MMBTU)]]+DetailTable2[[#This Row],[Natural Gas (MMBtu)]]</f>
        <v>236433.68151418999</v>
      </c>
      <c r="H26" s="10">
        <f>SUM(SUMIFS(DetailTable2[Production (tons)],DetailTable2[Period],DetailTable2[[#This Row],[Period]]))</f>
        <v>146239</v>
      </c>
      <c r="I26" s="10">
        <v>2007</v>
      </c>
      <c r="J26" s="10">
        <v>0</v>
      </c>
      <c r="K26" s="10">
        <f ca="1">IF(OFFSET(INDIRECT(ADDRESS(ROW(),COLUMN(DetailTable2[Period]))),-1,0,1,1) = OFFSET(INDIRECT(ADDRESS(ROW(),COLUMN(DetailTable2[Period]))),0,0,1,1),OFFSET(INDIRECT(ADDRESS(ROW(),COLUMN())),-1,0,1,1) + 1,1)</f>
        <v>12</v>
      </c>
      <c r="L26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12</v>
      </c>
      <c r="M26" s="10">
        <f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0</v>
      </c>
      <c r="N26" s="10">
        <f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0</v>
      </c>
      <c r="O26" s="10">
        <f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0</v>
      </c>
      <c r="P26" s="10"/>
      <c r="Q26" s="10"/>
      <c r="R26" s="10"/>
      <c r="S26" s="10"/>
      <c r="T26" s="10"/>
      <c r="U26" s="10"/>
    </row>
    <row r="27" spans="1:21" x14ac:dyDescent="0.25">
      <c r="A27" s="1">
        <v>39448</v>
      </c>
      <c r="B27" s="10">
        <v>34501</v>
      </c>
      <c r="C27" s="10">
        <v>353.16693342600001</v>
      </c>
      <c r="D27" s="10">
        <v>247568</v>
      </c>
      <c r="E27" s="10">
        <v>13434</v>
      </c>
      <c r="F27" s="2">
        <v>2008</v>
      </c>
      <c r="G27" s="10">
        <f>DetailTable2[[#This Row],[Purchased electricity (MMBTU)]]+DetailTable2[[#This Row],[Natural Gas (MMBtu)]]</f>
        <v>247921.16693342599</v>
      </c>
      <c r="H27" s="10">
        <f>SUM(SUMIFS(DetailTable2[Production (tons)],DetailTable2[Period],DetailTable2[[#This Row],[Period]]))</f>
        <v>158508</v>
      </c>
      <c r="I27" s="10">
        <v>2007</v>
      </c>
      <c r="J27" s="10">
        <v>0</v>
      </c>
      <c r="K27" s="10">
        <f ca="1">IF(OFFSET(INDIRECT(ADDRESS(ROW(),COLUMN(DetailTable2[Period]))),-1,0,1,1) = OFFSET(INDIRECT(ADDRESS(ROW(),COLUMN(DetailTable2[Period]))),0,0,1,1),OFFSET(INDIRECT(ADDRESS(ROW(),COLUMN())),-1,0,1,1) + 1,1)</f>
        <v>1</v>
      </c>
      <c r="L27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27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-32.603016810000042</v>
      </c>
      <c r="N27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-7374</v>
      </c>
      <c r="O27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-7406.6030168099969</v>
      </c>
      <c r="P27" s="10"/>
      <c r="Q27" s="10"/>
      <c r="R27" s="10"/>
      <c r="S27" s="10"/>
      <c r="T27" s="10"/>
      <c r="U27" s="10"/>
    </row>
    <row r="28" spans="1:21" x14ac:dyDescent="0.25">
      <c r="A28" s="1">
        <v>39479</v>
      </c>
      <c r="B28" s="10">
        <v>25511</v>
      </c>
      <c r="C28" s="10">
        <v>261.14146368600001</v>
      </c>
      <c r="D28" s="10">
        <v>226685</v>
      </c>
      <c r="E28" s="10">
        <v>12589</v>
      </c>
      <c r="F28" s="2">
        <v>2008</v>
      </c>
      <c r="G28" s="10">
        <f>DetailTable2[[#This Row],[Purchased electricity (MMBTU)]]+DetailTable2[[#This Row],[Natural Gas (MMBtu)]]</f>
        <v>226946.14146368601</v>
      </c>
      <c r="H28" s="10">
        <f>SUM(SUMIFS(DetailTable2[Production (tons)],DetailTable2[Period],DetailTable2[[#This Row],[Period]]))</f>
        <v>158508</v>
      </c>
      <c r="I28" s="10">
        <v>2007</v>
      </c>
      <c r="J28" s="10">
        <v>0</v>
      </c>
      <c r="K28" s="10">
        <f ca="1">IF(OFFSET(INDIRECT(ADDRESS(ROW(),COLUMN(DetailTable2[Period]))),-1,0,1,1) = OFFSET(INDIRECT(ADDRESS(ROW(),COLUMN(DetailTable2[Period]))),0,0,1,1),OFFSET(INDIRECT(ADDRESS(ROW(),COLUMN())),-1,0,1,1) + 1,1)</f>
        <v>2</v>
      </c>
      <c r="L28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28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24.342221027999983</v>
      </c>
      <c r="N28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-15943</v>
      </c>
      <c r="O28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-15918.657778972003</v>
      </c>
      <c r="P28" s="10"/>
      <c r="Q28" s="10"/>
      <c r="R28" s="10"/>
      <c r="S28" s="10"/>
      <c r="T28" s="10"/>
      <c r="U28" s="10"/>
    </row>
    <row r="29" spans="1:21" x14ac:dyDescent="0.25">
      <c r="A29" s="1">
        <v>39508</v>
      </c>
      <c r="B29" s="10">
        <v>33361</v>
      </c>
      <c r="C29" s="10">
        <v>341.497407786</v>
      </c>
      <c r="D29" s="10">
        <v>234718</v>
      </c>
      <c r="E29" s="10">
        <v>13465</v>
      </c>
      <c r="F29" s="2">
        <v>2008</v>
      </c>
      <c r="G29" s="10">
        <f>DetailTable2[[#This Row],[Purchased electricity (MMBTU)]]+DetailTable2[[#This Row],[Natural Gas (MMBtu)]]</f>
        <v>235059.497407786</v>
      </c>
      <c r="H29" s="10">
        <f>SUM(SUMIFS(DetailTable2[Production (tons)],DetailTable2[Period],DetailTable2[[#This Row],[Period]]))</f>
        <v>158508</v>
      </c>
      <c r="I29" s="10">
        <v>2007</v>
      </c>
      <c r="J29" s="10">
        <v>0</v>
      </c>
      <c r="K29" s="10">
        <f ca="1">IF(OFFSET(INDIRECT(ADDRESS(ROW(),COLUMN(DetailTable2[Period]))),-1,0,1,1) = OFFSET(INDIRECT(ADDRESS(ROW(),COLUMN(DetailTable2[Period]))),0,0,1,1),OFFSET(INDIRECT(ADDRESS(ROW(),COLUMN())),-1,0,1,1) + 1,1)</f>
        <v>3</v>
      </c>
      <c r="L29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29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-12.590803980000032</v>
      </c>
      <c r="N29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-18619</v>
      </c>
      <c r="O29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-18631.590803979983</v>
      </c>
      <c r="P29" s="10"/>
      <c r="Q29" s="10"/>
      <c r="R29" s="10"/>
      <c r="S29" s="10"/>
      <c r="T29" s="10"/>
      <c r="U29" s="10"/>
    </row>
    <row r="30" spans="1:21" x14ac:dyDescent="0.25">
      <c r="A30" s="1">
        <v>39539</v>
      </c>
      <c r="B30" s="10">
        <v>33115</v>
      </c>
      <c r="C30" s="10">
        <v>338.97924698999998</v>
      </c>
      <c r="D30" s="10">
        <v>218584</v>
      </c>
      <c r="E30" s="10">
        <v>13065</v>
      </c>
      <c r="F30" s="2">
        <v>2008</v>
      </c>
      <c r="G30" s="10">
        <f>DetailTable2[[#This Row],[Purchased electricity (MMBTU)]]+DetailTable2[[#This Row],[Natural Gas (MMBtu)]]</f>
        <v>218922.97924699</v>
      </c>
      <c r="H30" s="10">
        <f>SUM(SUMIFS(DetailTable2[Production (tons)],DetailTable2[Period],DetailTable2[[#This Row],[Period]]))</f>
        <v>158508</v>
      </c>
      <c r="I30" s="10">
        <v>2007</v>
      </c>
      <c r="J30" s="10">
        <v>0</v>
      </c>
      <c r="K30" s="10">
        <f ca="1">IF(OFFSET(INDIRECT(ADDRESS(ROW(),COLUMN(DetailTable2[Period]))),-1,0,1,1) = OFFSET(INDIRECT(ADDRESS(ROW(),COLUMN(DetailTable2[Period]))),0,0,1,1),OFFSET(INDIRECT(ADDRESS(ROW(),COLUMN())),-1,0,1,1) + 1,1)</f>
        <v>4</v>
      </c>
      <c r="L30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0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-29.787999659999969</v>
      </c>
      <c r="N30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6997</v>
      </c>
      <c r="O30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6967.2120003399905</v>
      </c>
      <c r="P30" s="10"/>
      <c r="Q30" s="10"/>
      <c r="R30" s="10"/>
      <c r="S30" s="10"/>
      <c r="T30" s="10"/>
      <c r="U30" s="10"/>
    </row>
    <row r="31" spans="1:21" x14ac:dyDescent="0.25">
      <c r="A31" s="1">
        <v>39569</v>
      </c>
      <c r="B31" s="10">
        <v>32960</v>
      </c>
      <c r="C31" s="10">
        <v>337.39260095999998</v>
      </c>
      <c r="D31" s="10">
        <v>209934</v>
      </c>
      <c r="E31" s="10">
        <v>13326</v>
      </c>
      <c r="F31" s="2">
        <v>2008</v>
      </c>
      <c r="G31" s="10">
        <f>DetailTable2[[#This Row],[Purchased electricity (MMBTU)]]+DetailTable2[[#This Row],[Natural Gas (MMBtu)]]</f>
        <v>210271.39260096001</v>
      </c>
      <c r="H31" s="10">
        <f>SUM(SUMIFS(DetailTable2[Production (tons)],DetailTable2[Period],DetailTable2[[#This Row],[Period]]))</f>
        <v>158508</v>
      </c>
      <c r="I31" s="10">
        <v>2007</v>
      </c>
      <c r="J31" s="10">
        <v>0</v>
      </c>
      <c r="K31" s="10">
        <f ca="1">IF(OFFSET(INDIRECT(ADDRESS(ROW(),COLUMN(DetailTable2[Period]))),-1,0,1,1) = OFFSET(INDIRECT(ADDRESS(ROW(),COLUMN(DetailTable2[Period]))),0,0,1,1),OFFSET(INDIRECT(ADDRESS(ROW(),COLUMN())),-1,0,1,1) + 1,1)</f>
        <v>5</v>
      </c>
      <c r="L31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1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-22.243753697999978</v>
      </c>
      <c r="N31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-2522</v>
      </c>
      <c r="O31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-2544.2437536980142</v>
      </c>
      <c r="P31" s="10"/>
      <c r="Q31" s="10"/>
      <c r="R31" s="10"/>
      <c r="S31" s="10"/>
      <c r="T31" s="10"/>
      <c r="U31" s="10"/>
    </row>
    <row r="32" spans="1:21" x14ac:dyDescent="0.25">
      <c r="A32" s="1">
        <v>39600</v>
      </c>
      <c r="B32" s="10">
        <v>35782</v>
      </c>
      <c r="C32" s="10">
        <v>366.279795132</v>
      </c>
      <c r="D32" s="10">
        <v>201824</v>
      </c>
      <c r="E32" s="10">
        <v>13016</v>
      </c>
      <c r="F32" s="2">
        <v>2008</v>
      </c>
      <c r="G32" s="10">
        <f>DetailTable2[[#This Row],[Purchased electricity (MMBTU)]]+DetailTable2[[#This Row],[Natural Gas (MMBtu)]]</f>
        <v>202190.279795132</v>
      </c>
      <c r="H32" s="10">
        <f>SUM(SUMIFS(DetailTable2[Production (tons)],DetailTable2[Period],DetailTable2[[#This Row],[Period]]))</f>
        <v>158508</v>
      </c>
      <c r="I32" s="10">
        <v>2007</v>
      </c>
      <c r="J32" s="10">
        <v>0</v>
      </c>
      <c r="K32" s="10">
        <f ca="1">IF(OFFSET(INDIRECT(ADDRESS(ROW(),COLUMN(DetailTable2[Period]))),-1,0,1,1) = OFFSET(INDIRECT(ADDRESS(ROW(),COLUMN(DetailTable2[Period]))),0,0,1,1),OFFSET(INDIRECT(ADDRESS(ROW(),COLUMN())),-1,0,1,1) + 1,1)</f>
        <v>6</v>
      </c>
      <c r="L32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2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-46.944249635999995</v>
      </c>
      <c r="N32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13000</v>
      </c>
      <c r="O32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12953.055750364001</v>
      </c>
      <c r="P32" s="10"/>
      <c r="Q32" s="10"/>
      <c r="R32" s="10"/>
      <c r="S32" s="10"/>
      <c r="T32" s="10"/>
      <c r="U32" s="10"/>
    </row>
    <row r="33" spans="1:21" x14ac:dyDescent="0.25">
      <c r="A33" s="1">
        <v>39630</v>
      </c>
      <c r="B33" s="10">
        <v>33113</v>
      </c>
      <c r="C33" s="10">
        <v>338.95877413800002</v>
      </c>
      <c r="D33" s="10">
        <v>207621</v>
      </c>
      <c r="E33" s="10">
        <v>13318</v>
      </c>
      <c r="F33" s="2">
        <v>2008</v>
      </c>
      <c r="G33" s="10">
        <f>DetailTable2[[#This Row],[Purchased electricity (MMBTU)]]+DetailTable2[[#This Row],[Natural Gas (MMBtu)]]</f>
        <v>207959.95877413801</v>
      </c>
      <c r="H33" s="10">
        <f>SUM(SUMIFS(DetailTable2[Production (tons)],DetailTable2[Period],DetailTable2[[#This Row],[Period]]))</f>
        <v>158508</v>
      </c>
      <c r="I33" s="10">
        <v>2007</v>
      </c>
      <c r="J33" s="10">
        <v>0</v>
      </c>
      <c r="K33" s="10">
        <f ca="1">IF(OFFSET(INDIRECT(ADDRESS(ROW(),COLUMN(DetailTable2[Period]))),-1,0,1,1) = OFFSET(INDIRECT(ADDRESS(ROW(),COLUMN(DetailTable2[Period]))),0,0,1,1),OFFSET(INDIRECT(ADDRESS(ROW(),COLUMN())),-1,0,1,1) + 1,1)</f>
        <v>7</v>
      </c>
      <c r="L33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3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2.6512343339999802</v>
      </c>
      <c r="N33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6492</v>
      </c>
      <c r="O33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6494.6512343339855</v>
      </c>
      <c r="P33" s="10"/>
      <c r="Q33" s="10"/>
      <c r="R33" s="10"/>
      <c r="S33" s="10"/>
      <c r="T33" s="10"/>
      <c r="U33" s="10"/>
    </row>
    <row r="34" spans="1:21" x14ac:dyDescent="0.25">
      <c r="A34" s="1">
        <v>39661</v>
      </c>
      <c r="B34" s="10">
        <v>34942</v>
      </c>
      <c r="C34" s="10">
        <v>357.68119729199998</v>
      </c>
      <c r="D34" s="10">
        <v>207593</v>
      </c>
      <c r="E34" s="10">
        <v>13198</v>
      </c>
      <c r="F34" s="2">
        <v>2008</v>
      </c>
      <c r="G34" s="10">
        <f>DetailTable2[[#This Row],[Purchased electricity (MMBTU)]]+DetailTable2[[#This Row],[Natural Gas (MMBtu)]]</f>
        <v>207950.681197292</v>
      </c>
      <c r="H34" s="10">
        <f>SUM(SUMIFS(DetailTable2[Production (tons)],DetailTable2[Period],DetailTable2[[#This Row],[Period]]))</f>
        <v>158508</v>
      </c>
      <c r="I34" s="10">
        <v>2007</v>
      </c>
      <c r="J34" s="10">
        <v>0</v>
      </c>
      <c r="K34" s="10">
        <f ca="1">IF(OFFSET(INDIRECT(ADDRESS(ROW(),COLUMN(DetailTable2[Period]))),-1,0,1,1) = OFFSET(INDIRECT(ADDRESS(ROW(),COLUMN(DetailTable2[Period]))),0,0,1,1),OFFSET(INDIRECT(ADDRESS(ROW(),COLUMN())),-1,0,1,1) + 1,1)</f>
        <v>8</v>
      </c>
      <c r="L34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4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-9.0285277319999864</v>
      </c>
      <c r="N34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16829</v>
      </c>
      <c r="O34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16819.971472267993</v>
      </c>
      <c r="P34" s="10"/>
      <c r="Q34" s="10"/>
      <c r="R34" s="10"/>
      <c r="S34" s="10"/>
      <c r="T34" s="10"/>
      <c r="U34" s="10"/>
    </row>
    <row r="35" spans="1:21" x14ac:dyDescent="0.25">
      <c r="A35" s="1">
        <v>39692</v>
      </c>
      <c r="B35" s="10">
        <v>37743</v>
      </c>
      <c r="C35" s="10">
        <v>386.35342651799999</v>
      </c>
      <c r="D35" s="10">
        <v>198047</v>
      </c>
      <c r="E35" s="10">
        <v>13215</v>
      </c>
      <c r="F35" s="2">
        <v>2008</v>
      </c>
      <c r="G35" s="10">
        <f>DetailTable2[[#This Row],[Purchased electricity (MMBTU)]]+DetailTable2[[#This Row],[Natural Gas (MMBtu)]]</f>
        <v>198433.35342651801</v>
      </c>
      <c r="H35" s="10">
        <f>SUM(SUMIFS(DetailTable2[Production (tons)],DetailTable2[Period],DetailTable2[[#This Row],[Period]]))</f>
        <v>158508</v>
      </c>
      <c r="I35" s="10">
        <v>2007</v>
      </c>
      <c r="J35" s="10">
        <v>0</v>
      </c>
      <c r="K35" s="10">
        <f ca="1">IF(OFFSET(INDIRECT(ADDRESS(ROW(),COLUMN(DetailTable2[Period]))),-1,0,1,1) = OFFSET(INDIRECT(ADDRESS(ROW(),COLUMN(DetailTable2[Period]))),0,0,1,1),OFFSET(INDIRECT(ADDRESS(ROW(),COLUMN())),-1,0,1,1) + 1,1)</f>
        <v>9</v>
      </c>
      <c r="L35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5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-48.541132091999998</v>
      </c>
      <c r="N35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20639</v>
      </c>
      <c r="O35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20590.45886790799</v>
      </c>
      <c r="P35" s="10"/>
      <c r="Q35" s="10"/>
      <c r="R35" s="10"/>
      <c r="S35" s="10"/>
      <c r="T35" s="10"/>
      <c r="U35" s="10"/>
    </row>
    <row r="36" spans="1:21" x14ac:dyDescent="0.25">
      <c r="A36" s="1">
        <v>39722</v>
      </c>
      <c r="B36" s="10">
        <v>44549</v>
      </c>
      <c r="C36" s="10">
        <v>456.02254187400001</v>
      </c>
      <c r="D36" s="10">
        <v>211093</v>
      </c>
      <c r="E36" s="10">
        <v>13454</v>
      </c>
      <c r="F36" s="2">
        <v>2008</v>
      </c>
      <c r="G36" s="10">
        <f>DetailTable2[[#This Row],[Purchased electricity (MMBTU)]]+DetailTable2[[#This Row],[Natural Gas (MMBtu)]]</f>
        <v>211549.022541874</v>
      </c>
      <c r="H36" s="10">
        <f>SUM(SUMIFS(DetailTable2[Production (tons)],DetailTable2[Period],DetailTable2[[#This Row],[Period]]))</f>
        <v>158508</v>
      </c>
      <c r="I36" s="10">
        <v>2007</v>
      </c>
      <c r="J36" s="10">
        <v>0</v>
      </c>
      <c r="K36" s="10">
        <f ca="1">IF(OFFSET(INDIRECT(ADDRESS(ROW(),COLUMN(DetailTable2[Period]))),-1,0,1,1) = OFFSET(INDIRECT(ADDRESS(ROW(),COLUMN(DetailTable2[Period]))),0,0,1,1),OFFSET(INDIRECT(ADDRESS(ROW(),COLUMN())),-1,0,1,1) + 1,1)</f>
        <v>10</v>
      </c>
      <c r="L36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6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-135.93973728000003</v>
      </c>
      <c r="N36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9531</v>
      </c>
      <c r="O36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9395.0602627200133</v>
      </c>
      <c r="P36" s="10"/>
      <c r="Q36" s="10"/>
      <c r="R36" s="10"/>
      <c r="S36" s="10"/>
      <c r="T36" s="10"/>
      <c r="U36" s="10"/>
    </row>
    <row r="37" spans="1:21" x14ac:dyDescent="0.25">
      <c r="A37" s="1">
        <v>39753</v>
      </c>
      <c r="B37" s="10">
        <v>40930</v>
      </c>
      <c r="C37" s="10">
        <v>418.97691617999999</v>
      </c>
      <c r="D37" s="10">
        <v>223660</v>
      </c>
      <c r="E37" s="10">
        <v>12902</v>
      </c>
      <c r="F37" s="2">
        <v>2008</v>
      </c>
      <c r="G37" s="10">
        <f>DetailTable2[[#This Row],[Purchased electricity (MMBTU)]]+DetailTable2[[#This Row],[Natural Gas (MMBtu)]]</f>
        <v>224078.97691617999</v>
      </c>
      <c r="H37" s="10">
        <f>SUM(SUMIFS(DetailTable2[Production (tons)],DetailTable2[Period],DetailTable2[[#This Row],[Period]]))</f>
        <v>158508</v>
      </c>
      <c r="I37" s="10">
        <v>2007</v>
      </c>
      <c r="J37" s="10">
        <v>0</v>
      </c>
      <c r="K37" s="10">
        <f ca="1">IF(OFFSET(INDIRECT(ADDRESS(ROW(),COLUMN(DetailTable2[Period]))),-1,0,1,1) = OFFSET(INDIRECT(ADDRESS(ROW(),COLUMN(DetailTable2[Period]))),0,0,1,1),OFFSET(INDIRECT(ADDRESS(ROW(),COLUMN())),-1,0,1,1) + 1,1)</f>
        <v>11</v>
      </c>
      <c r="L37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7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-6.2851655640000104</v>
      </c>
      <c r="N37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-22722</v>
      </c>
      <c r="O37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-22728.285165563982</v>
      </c>
      <c r="P37" s="10"/>
      <c r="Q37" s="10"/>
      <c r="R37" s="10"/>
      <c r="S37" s="10"/>
      <c r="T37" s="10"/>
      <c r="U37" s="10"/>
    </row>
    <row r="38" spans="1:21" x14ac:dyDescent="0.25">
      <c r="A38" s="1">
        <v>39783</v>
      </c>
      <c r="B38" s="10">
        <v>34194</v>
      </c>
      <c r="C38" s="10">
        <v>350.02435064399998</v>
      </c>
      <c r="D38" s="10">
        <v>241801</v>
      </c>
      <c r="E38" s="10">
        <v>13526</v>
      </c>
      <c r="F38" s="2">
        <v>2008</v>
      </c>
      <c r="G38" s="10">
        <f>DetailTable2[[#This Row],[Purchased electricity (MMBTU)]]+DetailTable2[[#This Row],[Natural Gas (MMBtu)]]</f>
        <v>242151.024350644</v>
      </c>
      <c r="H38" s="10">
        <f>SUM(SUMIFS(DetailTable2[Production (tons)],DetailTable2[Period],DetailTable2[[#This Row],[Period]]))</f>
        <v>158508</v>
      </c>
      <c r="I38" s="10">
        <v>2007</v>
      </c>
      <c r="J38" s="10">
        <v>0</v>
      </c>
      <c r="K38" s="10">
        <f ca="1">IF(OFFSET(INDIRECT(ADDRESS(ROW(),COLUMN(DetailTable2[Period]))),-1,0,1,1) = OFFSET(INDIRECT(ADDRESS(ROW(),COLUMN(DetailTable2[Period]))),0,0,1,1),OFFSET(INDIRECT(ADDRESS(ROW(),COLUMN())),-1,0,1,1) + 1,1)</f>
        <v>12</v>
      </c>
      <c r="L38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8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62.657163545999992</v>
      </c>
      <c r="N38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-5780</v>
      </c>
      <c r="O38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-5717.3428364540159</v>
      </c>
      <c r="P38" s="10"/>
      <c r="Q38" s="10"/>
      <c r="R38" s="10"/>
      <c r="S38" s="10"/>
      <c r="T38" s="10"/>
      <c r="U38" s="10"/>
    </row>
    <row r="39" spans="1:21" x14ac:dyDescent="0.25">
      <c r="A39" s="1">
        <v>39814</v>
      </c>
      <c r="B39" s="10">
        <v>34501</v>
      </c>
      <c r="C39" s="10">
        <v>353.16693342600001</v>
      </c>
      <c r="D39" s="10">
        <v>232051</v>
      </c>
      <c r="E39" s="10">
        <v>13411</v>
      </c>
      <c r="F39" s="2">
        <v>2009</v>
      </c>
      <c r="G39" s="10">
        <f>DetailTable2[[#This Row],[Purchased electricity (MMBTU)]]+DetailTable2[[#This Row],[Natural Gas (MMBtu)]]</f>
        <v>232404.16693342599</v>
      </c>
      <c r="H39" s="10">
        <f>SUM(SUMIFS(DetailTable2[Production (tons)],DetailTable2[Period],DetailTable2[[#This Row],[Period]]))</f>
        <v>154987</v>
      </c>
      <c r="I39" s="10">
        <v>2007</v>
      </c>
      <c r="J39" s="10">
        <v>0</v>
      </c>
      <c r="K39" s="10">
        <f ca="1">IF(OFFSET(INDIRECT(ADDRESS(ROW(),COLUMN(DetailTable2[Period]))),-1,0,1,1) = OFFSET(INDIRECT(ADDRESS(ROW(),COLUMN(DetailTable2[Period]))),0,0,1,1),OFFSET(INDIRECT(ADDRESS(ROW(),COLUMN())),-1,0,1,1) + 1,1)</f>
        <v>1</v>
      </c>
      <c r="L39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39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-32.603016810000042</v>
      </c>
      <c r="N39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8143</v>
      </c>
      <c r="O39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8110.3969831900031</v>
      </c>
      <c r="P39" s="10"/>
      <c r="Q39" s="10"/>
      <c r="R39" s="10"/>
      <c r="S39" s="10"/>
      <c r="T39" s="10"/>
      <c r="U39" s="10"/>
    </row>
    <row r="40" spans="1:21" x14ac:dyDescent="0.25">
      <c r="A40" s="1">
        <v>39845</v>
      </c>
      <c r="B40" s="10">
        <v>25511</v>
      </c>
      <c r="C40" s="10">
        <v>261.14146368600001</v>
      </c>
      <c r="D40" s="10">
        <v>208662</v>
      </c>
      <c r="E40" s="10">
        <v>12202</v>
      </c>
      <c r="F40" s="2">
        <v>2009</v>
      </c>
      <c r="G40" s="10">
        <f>DetailTable2[[#This Row],[Purchased electricity (MMBTU)]]+DetailTable2[[#This Row],[Natural Gas (MMBtu)]]</f>
        <v>208923.14146368601</v>
      </c>
      <c r="H40" s="10">
        <f>SUM(SUMIFS(DetailTable2[Production (tons)],DetailTable2[Period],DetailTable2[[#This Row],[Period]]))</f>
        <v>154987</v>
      </c>
      <c r="I40" s="10">
        <v>2007</v>
      </c>
      <c r="J40" s="10">
        <v>0</v>
      </c>
      <c r="K40" s="10">
        <f ca="1">IF(OFFSET(INDIRECT(ADDRESS(ROW(),COLUMN(DetailTable2[Period]))),-1,0,1,1) = OFFSET(INDIRECT(ADDRESS(ROW(),COLUMN(DetailTable2[Period]))),0,0,1,1),OFFSET(INDIRECT(ADDRESS(ROW(),COLUMN())),-1,0,1,1) + 1,1)</f>
        <v>2</v>
      </c>
      <c r="L40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0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24.342221027999983</v>
      </c>
      <c r="N40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2080</v>
      </c>
      <c r="O40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2104.3422210279969</v>
      </c>
      <c r="P40" s="10"/>
      <c r="Q40" s="10"/>
      <c r="R40" s="10"/>
      <c r="S40" s="10"/>
      <c r="T40" s="10"/>
      <c r="U40" s="10"/>
    </row>
    <row r="41" spans="1:21" x14ac:dyDescent="0.25">
      <c r="A41" s="1">
        <v>39873</v>
      </c>
      <c r="B41" s="10">
        <v>33361</v>
      </c>
      <c r="C41" s="10">
        <v>341.497407786</v>
      </c>
      <c r="D41" s="10">
        <v>217995</v>
      </c>
      <c r="E41" s="10">
        <v>12467</v>
      </c>
      <c r="F41" s="2">
        <v>2009</v>
      </c>
      <c r="G41" s="10">
        <f>DetailTable2[[#This Row],[Purchased electricity (MMBTU)]]+DetailTable2[[#This Row],[Natural Gas (MMBtu)]]</f>
        <v>218336.497407786</v>
      </c>
      <c r="H41" s="10">
        <f>SUM(SUMIFS(DetailTable2[Production (tons)],DetailTable2[Period],DetailTable2[[#This Row],[Period]]))</f>
        <v>154987</v>
      </c>
      <c r="I41" s="10">
        <v>2007</v>
      </c>
      <c r="J41" s="10">
        <v>0</v>
      </c>
      <c r="K41" s="10">
        <f ca="1">IF(OFFSET(INDIRECT(ADDRESS(ROW(),COLUMN(DetailTable2[Period]))),-1,0,1,1) = OFFSET(INDIRECT(ADDRESS(ROW(),COLUMN(DetailTable2[Period]))),0,0,1,1),OFFSET(INDIRECT(ADDRESS(ROW(),COLUMN())),-1,0,1,1) + 1,1)</f>
        <v>3</v>
      </c>
      <c r="L41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1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-12.590803980000032</v>
      </c>
      <c r="N41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-1896</v>
      </c>
      <c r="O41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-1908.5908039799833</v>
      </c>
      <c r="P41" s="10"/>
      <c r="Q41" s="10"/>
      <c r="R41" s="10"/>
      <c r="S41" s="10"/>
      <c r="T41" s="10"/>
      <c r="U41" s="10"/>
    </row>
    <row r="42" spans="1:21" x14ac:dyDescent="0.25">
      <c r="A42" s="1">
        <v>39904</v>
      </c>
      <c r="B42" s="10">
        <v>33115</v>
      </c>
      <c r="C42" s="10">
        <v>338.97924698999998</v>
      </c>
      <c r="D42" s="10">
        <v>214501</v>
      </c>
      <c r="E42" s="10">
        <v>12952</v>
      </c>
      <c r="F42" s="2">
        <v>2009</v>
      </c>
      <c r="G42" s="10">
        <f>DetailTable2[[#This Row],[Purchased electricity (MMBTU)]]+DetailTable2[[#This Row],[Natural Gas (MMBtu)]]</f>
        <v>214839.97924699</v>
      </c>
      <c r="H42" s="10">
        <f>SUM(SUMIFS(DetailTable2[Production (tons)],DetailTable2[Period],DetailTable2[[#This Row],[Period]]))</f>
        <v>154987</v>
      </c>
      <c r="I42" s="10">
        <v>2007</v>
      </c>
      <c r="J42" s="10">
        <v>0</v>
      </c>
      <c r="K42" s="10">
        <f ca="1">IF(OFFSET(INDIRECT(ADDRESS(ROW(),COLUMN(DetailTable2[Period]))),-1,0,1,1) = OFFSET(INDIRECT(ADDRESS(ROW(),COLUMN(DetailTable2[Period]))),0,0,1,1),OFFSET(INDIRECT(ADDRESS(ROW(),COLUMN())),-1,0,1,1) + 1,1)</f>
        <v>4</v>
      </c>
      <c r="L42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2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-29.787999659999969</v>
      </c>
      <c r="N42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11080</v>
      </c>
      <c r="O42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11050.21200033999</v>
      </c>
      <c r="P42" s="10"/>
      <c r="Q42" s="10"/>
      <c r="R42" s="10"/>
      <c r="S42" s="10"/>
      <c r="T42" s="10"/>
      <c r="U42" s="10"/>
    </row>
    <row r="43" spans="1:21" x14ac:dyDescent="0.25">
      <c r="A43" s="1">
        <v>39934</v>
      </c>
      <c r="B43" s="10">
        <v>32960</v>
      </c>
      <c r="C43" s="10">
        <v>337.39260095999998</v>
      </c>
      <c r="D43" s="10">
        <v>202048</v>
      </c>
      <c r="E43" s="10">
        <v>12851</v>
      </c>
      <c r="F43" s="2">
        <v>2009</v>
      </c>
      <c r="G43" s="10">
        <f>DetailTable2[[#This Row],[Purchased electricity (MMBTU)]]+DetailTable2[[#This Row],[Natural Gas (MMBtu)]]</f>
        <v>202385.39260096001</v>
      </c>
      <c r="H43" s="10">
        <f>SUM(SUMIFS(DetailTable2[Production (tons)],DetailTable2[Period],DetailTable2[[#This Row],[Period]]))</f>
        <v>154987</v>
      </c>
      <c r="I43" s="10">
        <v>2007</v>
      </c>
      <c r="J43" s="10">
        <v>0</v>
      </c>
      <c r="K43" s="10">
        <f ca="1">IF(OFFSET(INDIRECT(ADDRESS(ROW(),COLUMN(DetailTable2[Period]))),-1,0,1,1) = OFFSET(INDIRECT(ADDRESS(ROW(),COLUMN(DetailTable2[Period]))),0,0,1,1),OFFSET(INDIRECT(ADDRESS(ROW(),COLUMN())),-1,0,1,1) + 1,1)</f>
        <v>5</v>
      </c>
      <c r="L43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3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-22.243753697999978</v>
      </c>
      <c r="N43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5364</v>
      </c>
      <c r="O43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5341.7562463019858</v>
      </c>
      <c r="P43" s="10"/>
      <c r="Q43" s="10"/>
      <c r="R43" s="10"/>
      <c r="S43" s="10"/>
      <c r="T43" s="10"/>
      <c r="U43" s="10"/>
    </row>
    <row r="44" spans="1:21" x14ac:dyDescent="0.25">
      <c r="A44" s="1">
        <v>39965</v>
      </c>
      <c r="B44" s="10">
        <v>35782</v>
      </c>
      <c r="C44" s="10">
        <v>366.279795132</v>
      </c>
      <c r="D44" s="10">
        <v>170620</v>
      </c>
      <c r="E44" s="10">
        <v>11948</v>
      </c>
      <c r="F44" s="2">
        <v>2009</v>
      </c>
      <c r="G44" s="10">
        <f>DetailTable2[[#This Row],[Purchased electricity (MMBTU)]]+DetailTable2[[#This Row],[Natural Gas (MMBtu)]]</f>
        <v>170986.279795132</v>
      </c>
      <c r="H44" s="10">
        <f>SUM(SUMIFS(DetailTable2[Production (tons)],DetailTable2[Period],DetailTable2[[#This Row],[Period]]))</f>
        <v>154987</v>
      </c>
      <c r="I44" s="10">
        <v>2007</v>
      </c>
      <c r="J44" s="10">
        <v>0</v>
      </c>
      <c r="K44" s="10">
        <f ca="1">IF(OFFSET(INDIRECT(ADDRESS(ROW(),COLUMN(DetailTable2[Period]))),-1,0,1,1) = OFFSET(INDIRECT(ADDRESS(ROW(),COLUMN(DetailTable2[Period]))),0,0,1,1),OFFSET(INDIRECT(ADDRESS(ROW(),COLUMN())),-1,0,1,1) + 1,1)</f>
        <v>6</v>
      </c>
      <c r="L44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4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-46.944249635999995</v>
      </c>
      <c r="N44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44204</v>
      </c>
      <c r="O44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44157.055750364001</v>
      </c>
      <c r="P44" s="10"/>
      <c r="Q44" s="10"/>
      <c r="R44" s="10"/>
      <c r="S44" s="10"/>
      <c r="T44" s="10"/>
      <c r="U44" s="10"/>
    </row>
    <row r="45" spans="1:21" x14ac:dyDescent="0.25">
      <c r="A45" s="1">
        <v>39995</v>
      </c>
      <c r="B45" s="10">
        <v>33113</v>
      </c>
      <c r="C45" s="10">
        <v>338.95877413800002</v>
      </c>
      <c r="D45" s="10">
        <v>207315</v>
      </c>
      <c r="E45" s="10">
        <v>13043</v>
      </c>
      <c r="F45" s="2">
        <v>2009</v>
      </c>
      <c r="G45" s="10">
        <f>DetailTable2[[#This Row],[Purchased electricity (MMBTU)]]+DetailTable2[[#This Row],[Natural Gas (MMBtu)]]</f>
        <v>207653.95877413801</v>
      </c>
      <c r="H45" s="10">
        <f>SUM(SUMIFS(DetailTable2[Production (tons)],DetailTable2[Period],DetailTable2[[#This Row],[Period]]))</f>
        <v>154987</v>
      </c>
      <c r="I45" s="10">
        <v>2007</v>
      </c>
      <c r="J45" s="10">
        <v>0</v>
      </c>
      <c r="K45" s="10">
        <f ca="1">IF(OFFSET(INDIRECT(ADDRESS(ROW(),COLUMN(DetailTable2[Period]))),-1,0,1,1) = OFFSET(INDIRECT(ADDRESS(ROW(),COLUMN(DetailTable2[Period]))),0,0,1,1),OFFSET(INDIRECT(ADDRESS(ROW(),COLUMN())),-1,0,1,1) + 1,1)</f>
        <v>7</v>
      </c>
      <c r="L45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5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2.6512343339999802</v>
      </c>
      <c r="N45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6798</v>
      </c>
      <c r="O45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6800.6512343339855</v>
      </c>
      <c r="P45" s="10"/>
      <c r="Q45" s="10"/>
      <c r="R45" s="10"/>
      <c r="S45" s="10"/>
      <c r="T45" s="10"/>
      <c r="U45" s="10"/>
    </row>
    <row r="46" spans="1:21" x14ac:dyDescent="0.25">
      <c r="A46" s="1">
        <v>40026</v>
      </c>
      <c r="B46" s="10">
        <v>34942</v>
      </c>
      <c r="C46" s="10">
        <v>357.68119729199998</v>
      </c>
      <c r="D46" s="10">
        <v>198238</v>
      </c>
      <c r="E46" s="10">
        <v>13135</v>
      </c>
      <c r="F46" s="2">
        <v>2009</v>
      </c>
      <c r="G46" s="10">
        <f>DetailTable2[[#This Row],[Purchased electricity (MMBTU)]]+DetailTable2[[#This Row],[Natural Gas (MMBtu)]]</f>
        <v>198595.681197292</v>
      </c>
      <c r="H46" s="10">
        <f>SUM(SUMIFS(DetailTable2[Production (tons)],DetailTable2[Period],DetailTable2[[#This Row],[Period]]))</f>
        <v>154987</v>
      </c>
      <c r="I46" s="10">
        <v>2007</v>
      </c>
      <c r="J46" s="10">
        <v>0</v>
      </c>
      <c r="K46" s="10">
        <f ca="1">IF(OFFSET(INDIRECT(ADDRESS(ROW(),COLUMN(DetailTable2[Period]))),-1,0,1,1) = OFFSET(INDIRECT(ADDRESS(ROW(),COLUMN(DetailTable2[Period]))),0,0,1,1),OFFSET(INDIRECT(ADDRESS(ROW(),COLUMN())),-1,0,1,1) + 1,1)</f>
        <v>8</v>
      </c>
      <c r="L46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6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-9.0285277319999864</v>
      </c>
      <c r="N46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26184</v>
      </c>
      <c r="O46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26174.971472267993</v>
      </c>
      <c r="P46" s="10"/>
      <c r="Q46" s="10"/>
      <c r="R46" s="10"/>
      <c r="S46" s="10"/>
      <c r="T46" s="10"/>
      <c r="U46" s="10"/>
    </row>
    <row r="47" spans="1:21" x14ac:dyDescent="0.25">
      <c r="A47" s="1">
        <v>40057</v>
      </c>
      <c r="B47" s="10">
        <v>37743</v>
      </c>
      <c r="C47" s="10">
        <v>386.35342651799999</v>
      </c>
      <c r="D47" s="10">
        <v>194568</v>
      </c>
      <c r="E47" s="10">
        <v>12965</v>
      </c>
      <c r="F47" s="2">
        <v>2009</v>
      </c>
      <c r="G47" s="10">
        <f>DetailTable2[[#This Row],[Purchased electricity (MMBTU)]]+DetailTable2[[#This Row],[Natural Gas (MMBtu)]]</f>
        <v>194954.35342651801</v>
      </c>
      <c r="H47" s="10">
        <f>SUM(SUMIFS(DetailTable2[Production (tons)],DetailTable2[Period],DetailTable2[[#This Row],[Period]]))</f>
        <v>154987</v>
      </c>
      <c r="I47" s="10">
        <v>2007</v>
      </c>
      <c r="J47" s="10">
        <v>0</v>
      </c>
      <c r="K47" s="10">
        <f ca="1">IF(OFFSET(INDIRECT(ADDRESS(ROW(),COLUMN(DetailTable2[Period]))),-1,0,1,1) = OFFSET(INDIRECT(ADDRESS(ROW(),COLUMN(DetailTable2[Period]))),0,0,1,1),OFFSET(INDIRECT(ADDRESS(ROW(),COLUMN())),-1,0,1,1) + 1,1)</f>
        <v>9</v>
      </c>
      <c r="L47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7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-48.541132091999998</v>
      </c>
      <c r="N47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24118</v>
      </c>
      <c r="O47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24069.45886790799</v>
      </c>
      <c r="P47" s="10"/>
      <c r="Q47" s="10"/>
      <c r="R47" s="10"/>
      <c r="S47" s="10"/>
      <c r="T47" s="10"/>
      <c r="U47" s="10"/>
    </row>
    <row r="48" spans="1:21" x14ac:dyDescent="0.25">
      <c r="A48" s="1">
        <v>40087</v>
      </c>
      <c r="B48" s="10">
        <v>44549</v>
      </c>
      <c r="C48" s="10">
        <v>456.02254187400001</v>
      </c>
      <c r="D48" s="10">
        <v>189185</v>
      </c>
      <c r="E48" s="10">
        <v>13622</v>
      </c>
      <c r="F48" s="2">
        <v>2009</v>
      </c>
      <c r="G48" s="10">
        <f>DetailTable2[[#This Row],[Purchased electricity (MMBTU)]]+DetailTable2[[#This Row],[Natural Gas (MMBtu)]]</f>
        <v>189641.022541874</v>
      </c>
      <c r="H48" s="10">
        <f>SUM(SUMIFS(DetailTable2[Production (tons)],DetailTable2[Period],DetailTable2[[#This Row],[Period]]))</f>
        <v>154987</v>
      </c>
      <c r="I48" s="10">
        <v>2007</v>
      </c>
      <c r="J48" s="10">
        <v>0</v>
      </c>
      <c r="K48" s="10">
        <f ca="1">IF(OFFSET(INDIRECT(ADDRESS(ROW(),COLUMN(DetailTable2[Period]))),-1,0,1,1) = OFFSET(INDIRECT(ADDRESS(ROW(),COLUMN(DetailTable2[Period]))),0,0,1,1),OFFSET(INDIRECT(ADDRESS(ROW(),COLUMN())),-1,0,1,1) + 1,1)</f>
        <v>10</v>
      </c>
      <c r="L48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8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-135.93973728000003</v>
      </c>
      <c r="N48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31439</v>
      </c>
      <c r="O48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31303.060262720013</v>
      </c>
      <c r="P48" s="10"/>
      <c r="Q48" s="10"/>
      <c r="R48" s="10"/>
      <c r="S48" s="10"/>
      <c r="T48" s="10"/>
      <c r="U48" s="10"/>
    </row>
    <row r="49" spans="1:21" x14ac:dyDescent="0.25">
      <c r="A49" s="1">
        <v>40118</v>
      </c>
      <c r="B49" s="10">
        <v>40930</v>
      </c>
      <c r="C49" s="10">
        <v>418.97691617999999</v>
      </c>
      <c r="D49" s="10">
        <v>206655</v>
      </c>
      <c r="E49" s="10">
        <v>13102</v>
      </c>
      <c r="F49" s="2">
        <v>2009</v>
      </c>
      <c r="G49" s="10">
        <f>DetailTable2[[#This Row],[Purchased electricity (MMBTU)]]+DetailTable2[[#This Row],[Natural Gas (MMBtu)]]</f>
        <v>207073.97691617999</v>
      </c>
      <c r="H49" s="10">
        <f>SUM(SUMIFS(DetailTable2[Production (tons)],DetailTable2[Period],DetailTable2[[#This Row],[Period]]))</f>
        <v>154987</v>
      </c>
      <c r="I49" s="10">
        <v>2007</v>
      </c>
      <c r="J49" s="10">
        <v>0</v>
      </c>
      <c r="K49" s="10">
        <f ca="1">IF(OFFSET(INDIRECT(ADDRESS(ROW(),COLUMN(DetailTable2[Period]))),-1,0,1,1) = OFFSET(INDIRECT(ADDRESS(ROW(),COLUMN(DetailTable2[Period]))),0,0,1,1),OFFSET(INDIRECT(ADDRESS(ROW(),COLUMN())),-1,0,1,1) + 1,1)</f>
        <v>11</v>
      </c>
      <c r="L49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49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-6.2851655640000104</v>
      </c>
      <c r="N49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-5717</v>
      </c>
      <c r="O49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-5723.2851655639824</v>
      </c>
      <c r="P49" s="10"/>
      <c r="Q49" s="10"/>
      <c r="R49" s="10"/>
      <c r="S49" s="10"/>
      <c r="T49" s="10"/>
      <c r="U49" s="10"/>
    </row>
    <row r="50" spans="1:21" x14ac:dyDescent="0.25">
      <c r="A50" s="1">
        <v>40148</v>
      </c>
      <c r="B50" s="10">
        <v>34194</v>
      </c>
      <c r="C50" s="10">
        <v>350.02435064399998</v>
      </c>
      <c r="D50" s="10">
        <v>237101</v>
      </c>
      <c r="E50" s="10">
        <v>13289</v>
      </c>
      <c r="F50" s="2">
        <v>2009</v>
      </c>
      <c r="G50" s="10">
        <f>DetailTable2[[#This Row],[Purchased electricity (MMBTU)]]+DetailTable2[[#This Row],[Natural Gas (MMBtu)]]</f>
        <v>237451.024350644</v>
      </c>
      <c r="H50" s="10">
        <f>SUM(SUMIFS(DetailTable2[Production (tons)],DetailTable2[Period],DetailTable2[[#This Row],[Period]]))</f>
        <v>154987</v>
      </c>
      <c r="I50" s="10">
        <v>2007</v>
      </c>
      <c r="J50" s="10">
        <v>0</v>
      </c>
      <c r="K50" s="10">
        <f ca="1">IF(OFFSET(INDIRECT(ADDRESS(ROW(),COLUMN(DetailTable2[Period]))),-1,0,1,1) = OFFSET(INDIRECT(ADDRESS(ROW(),COLUMN(DetailTable2[Period]))),0,0,1,1),OFFSET(INDIRECT(ADDRESS(ROW(),COLUMN())),-1,0,1,1) + 1,1)</f>
        <v>12</v>
      </c>
      <c r="L50" s="10">
        <f ca="1">IF(DetailTable2[[#This Row],[Period]] = DetailTable2[[#This Row],[Baseline Year]],IF(OFFSET(INDIRECT(ADDRESS(ROW(),COLUMN(DetailTable2[Period]))),-1,0,1,1) = OFFSET(INDIRECT(ADDRESS(ROW(),COLUMN(DetailTable2[Period]))),0,0,1,1),OFFSET(INDIRECT(ADDRESS(ROW(),COLUMN())),-1,0,1,1) + 1,1),0)</f>
        <v>0</v>
      </c>
      <c r="M50" s="10">
        <f ca="1">IF(DetailTable2[[#This Row],[Period]]=DetailTable2[[#This Row],[Baseline Year]],DetailTable2[Purchased electricity (MMBTU)],IF(DetailTable2[[#This Row],[Period Count]] &lt;= MAX(DetailTable2[Baseline Count]),INDEX(DetailTable2[],DetailTable2[[#This Row],[Period Count]],COLUMN(DetailTable2[Purchased electricity (MMBTU)])),DetailTable2[Purchased electricity (MMBTU)]))-DetailTable2[[#This Row],[Purchased electricity (MMBTU)]]</f>
        <v>62.657163545999992</v>
      </c>
      <c r="N50" s="10">
        <f ca="1">IF(DetailTable2[[#This Row],[Period]]=DetailTable2[[#This Row],[Baseline Year]],DetailTable2[Natural Gas (MMBtu)],IF(DetailTable2[[#This Row],[Period Count]] &lt;= MAX(DetailTable2[Baseline Count]),INDEX(DetailTable2[],DetailTable2[[#This Row],[Period Count]],COLUMN(DetailTable2[Natural Gas (MMBtu)])),DetailTable2[Natural Gas (MMBtu)]))-DetailTable2[[#This Row],[Natural Gas (MMBtu)]]</f>
        <v>-1080</v>
      </c>
      <c r="O50" s="10">
        <f ca="1">IF(DetailTable2[[#This Row],[Period]]=DetailTable2[[#This Row],[Baseline Year]],DetailTable2[TOTAL  (MMBTU)],IF(DetailTable2[[#This Row],[Period Count]] &lt;= MAX(DetailTable2[Baseline Count]),INDEX(DetailTable2[],DetailTable2[[#This Row],[Period Count]],COLUMN(DetailTable2[TOTAL  (MMBTU)])),DetailTable2[TOTAL  (MMBTU)]))-DetailTable2[[#This Row],[TOTAL  (MMBTU)]]</f>
        <v>-1017.3428364540159</v>
      </c>
      <c r="P50" s="10"/>
      <c r="Q50" s="10"/>
      <c r="R50" s="10"/>
      <c r="S50" s="10"/>
      <c r="T50" s="10"/>
      <c r="U50" s="10"/>
    </row>
    <row r="51" spans="1:21" x14ac:dyDescent="0.25">
      <c r="B51" s="10"/>
      <c r="C51" s="10"/>
      <c r="D51" s="10"/>
      <c r="E51" s="10"/>
      <c r="F51" s="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B52" s="10"/>
      <c r="C52" s="10"/>
      <c r="D52" s="10"/>
      <c r="E52" s="10"/>
      <c r="F52" s="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B53" s="10"/>
      <c r="C53" s="10"/>
      <c r="D53" s="10"/>
      <c r="E53" s="10"/>
      <c r="F53" s="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B54" s="10"/>
      <c r="C54" s="10"/>
      <c r="D54" s="10"/>
      <c r="E54" s="10"/>
      <c r="F54" s="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B55" s="10"/>
      <c r="C55" s="10"/>
      <c r="D55" s="10"/>
      <c r="E55" s="10"/>
      <c r="F55" s="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B56" s="10"/>
      <c r="C56" s="10"/>
      <c r="D56" s="10"/>
      <c r="E56" s="10"/>
      <c r="F56" s="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B57" s="10"/>
      <c r="C57" s="10"/>
      <c r="D57" s="10"/>
      <c r="E57" s="10"/>
      <c r="F57" s="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B58" s="10"/>
      <c r="C58" s="10"/>
      <c r="D58" s="10"/>
      <c r="E58" s="10"/>
      <c r="F58" s="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B59" s="10"/>
      <c r="C59" s="10"/>
      <c r="D59" s="10"/>
      <c r="E59" s="10"/>
      <c r="F59" s="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B60" s="10"/>
      <c r="C60" s="10"/>
      <c r="D60" s="10"/>
      <c r="E60" s="10"/>
      <c r="F60" s="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B61" s="10"/>
      <c r="C61" s="10"/>
      <c r="D61" s="10"/>
      <c r="E61" s="10"/>
      <c r="F61" s="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B62" s="10"/>
      <c r="C62" s="10"/>
      <c r="D62" s="10"/>
      <c r="E62" s="10"/>
      <c r="F62" s="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B63" s="10"/>
      <c r="C63" s="10"/>
      <c r="D63" s="10"/>
      <c r="E63" s="10"/>
      <c r="F63" s="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B64" s="10"/>
      <c r="C64" s="10"/>
      <c r="D64" s="10"/>
      <c r="E64" s="10"/>
      <c r="F64" s="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2:21" x14ac:dyDescent="0.25">
      <c r="B65" s="10"/>
      <c r="C65" s="10"/>
      <c r="D65" s="10"/>
      <c r="E65" s="10"/>
      <c r="F65" s="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2:21" x14ac:dyDescent="0.25">
      <c r="B66" s="10"/>
      <c r="C66" s="10"/>
      <c r="D66" s="10"/>
      <c r="E66" s="10"/>
      <c r="F66" s="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2:21" x14ac:dyDescent="0.25">
      <c r="B67" s="10"/>
      <c r="C67" s="10"/>
      <c r="D67" s="10"/>
      <c r="E67" s="10"/>
      <c r="F67" s="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2:21" x14ac:dyDescent="0.25">
      <c r="B68" s="10"/>
      <c r="C68" s="10"/>
      <c r="D68" s="10"/>
      <c r="E68" s="10"/>
      <c r="F68" s="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2:21" x14ac:dyDescent="0.25">
      <c r="B69" s="10"/>
      <c r="C69" s="10"/>
      <c r="D69" s="10"/>
      <c r="E69" s="10"/>
      <c r="F69" s="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2:21" x14ac:dyDescent="0.25">
      <c r="B70" s="10"/>
      <c r="C70" s="10"/>
      <c r="D70" s="10"/>
      <c r="E70" s="10"/>
      <c r="F70" s="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2:21" x14ac:dyDescent="0.25">
      <c r="B71" s="10"/>
      <c r="C71" s="10"/>
      <c r="D71" s="10"/>
      <c r="E71" s="10"/>
      <c r="F71" s="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2:21" x14ac:dyDescent="0.25">
      <c r="B72" s="10"/>
      <c r="C72" s="10"/>
      <c r="D72" s="10"/>
      <c r="E72" s="10"/>
      <c r="F72" s="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2:21" x14ac:dyDescent="0.25">
      <c r="B73" s="10"/>
      <c r="C73" s="10"/>
      <c r="D73" s="10"/>
      <c r="E73" s="10"/>
      <c r="F73" s="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2:21" x14ac:dyDescent="0.25">
      <c r="B74" s="10"/>
      <c r="C74" s="10"/>
      <c r="D74" s="10"/>
      <c r="E74" s="10"/>
      <c r="F74" s="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2:21" x14ac:dyDescent="0.25">
      <c r="B75" s="10"/>
      <c r="C75" s="10"/>
      <c r="D75" s="10"/>
      <c r="E75" s="10"/>
      <c r="F75" s="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2:21" x14ac:dyDescent="0.25">
      <c r="B76" s="10"/>
      <c r="C76" s="10"/>
      <c r="D76" s="10"/>
      <c r="E76" s="10"/>
      <c r="F76" s="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2:21" x14ac:dyDescent="0.25">
      <c r="B77" s="10"/>
      <c r="C77" s="10"/>
      <c r="D77" s="10"/>
      <c r="E77" s="10"/>
      <c r="F77" s="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2:21" x14ac:dyDescent="0.25">
      <c r="B78" s="10"/>
      <c r="C78" s="10"/>
      <c r="D78" s="10"/>
      <c r="E78" s="10"/>
      <c r="F78" s="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2:21" x14ac:dyDescent="0.25">
      <c r="B79" s="10"/>
      <c r="C79" s="10"/>
      <c r="D79" s="10"/>
      <c r="E79" s="10"/>
      <c r="F79" s="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2:21" x14ac:dyDescent="0.25">
      <c r="B80" s="10"/>
      <c r="C80" s="10"/>
      <c r="D80" s="10"/>
      <c r="E80" s="10"/>
      <c r="F80" s="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2:21" x14ac:dyDescent="0.25">
      <c r="B81" s="10"/>
      <c r="C81" s="10"/>
      <c r="D81" s="10"/>
      <c r="E81" s="10"/>
      <c r="F81" s="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2:21" x14ac:dyDescent="0.25">
      <c r="B82" s="10"/>
      <c r="C82" s="10"/>
      <c r="D82" s="10"/>
      <c r="E82" s="10"/>
      <c r="F82" s="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2:21" x14ac:dyDescent="0.25">
      <c r="B83" s="10"/>
      <c r="C83" s="10"/>
      <c r="D83" s="10"/>
      <c r="E83" s="10"/>
      <c r="F83" s="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2:21" x14ac:dyDescent="0.25">
      <c r="B84" s="10"/>
      <c r="C84" s="10"/>
      <c r="D84" s="10"/>
      <c r="E84" s="10"/>
      <c r="F84" s="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2:21" x14ac:dyDescent="0.25">
      <c r="B85" s="10"/>
      <c r="C85" s="10"/>
      <c r="D85" s="10"/>
      <c r="E85" s="10"/>
      <c r="F85" s="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2:21" x14ac:dyDescent="0.25">
      <c r="B86" s="10"/>
      <c r="C86" s="10"/>
      <c r="D86" s="10"/>
      <c r="E86" s="10"/>
      <c r="F86" s="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</sheetData>
  <pageMargins left="0.7" right="0.7" top="0.75" bottom="0.75" header="0.3" footer="0.3"/>
  <customProperties>
    <customPr name="HasEnPITables" r:id="rId1"/>
    <customPr name="SheetGUID" r:id="rId2"/>
  </customPropertie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BEC0-19FB-4E26-A1B2-825CED3591A5}">
  <dimension ref="A1:D5"/>
  <sheetViews>
    <sheetView workbookViewId="0"/>
  </sheetViews>
  <sheetFormatPr defaultRowHeight="15" x14ac:dyDescent="0.25"/>
  <cols>
    <col min="1" max="4" width="1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 t="s">
        <v>29</v>
      </c>
      <c r="B2" t="s">
        <v>30</v>
      </c>
      <c r="C2" t="b">
        <v>0</v>
      </c>
      <c r="D2" t="b">
        <v>1</v>
      </c>
    </row>
    <row r="3" spans="1:4" x14ac:dyDescent="0.25">
      <c r="A3" t="s">
        <v>31</v>
      </c>
      <c r="B3" t="s">
        <v>32</v>
      </c>
      <c r="C3" t="b">
        <v>1</v>
      </c>
      <c r="D3" t="b">
        <v>0</v>
      </c>
    </row>
    <row r="4" spans="1:4" x14ac:dyDescent="0.25">
      <c r="A4" t="s">
        <v>33</v>
      </c>
      <c r="B4">
        <v>1</v>
      </c>
    </row>
    <row r="5" spans="1:4" x14ac:dyDescent="0.25">
      <c r="A5" t="s">
        <v>34</v>
      </c>
      <c r="B5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EC39-9669-41C8-B385-3C6D60460391}">
  <sheetPr>
    <tabColor rgb="FF008000"/>
  </sheetPr>
  <dimension ref="A1:H17"/>
  <sheetViews>
    <sheetView tabSelected="1" workbookViewId="0">
      <selection activeCell="A15" sqref="A15:D15"/>
    </sheetView>
  </sheetViews>
  <sheetFormatPr defaultRowHeight="15" x14ac:dyDescent="0.25"/>
  <cols>
    <col min="1" max="1" width="49.85546875" bestFit="1" customWidth="1"/>
    <col min="2" max="4" width="9.5703125" bestFit="1" customWidth="1"/>
  </cols>
  <sheetData>
    <row r="1" spans="1:8" ht="19.5" x14ac:dyDescent="0.3">
      <c r="A1" s="21" t="s">
        <v>16</v>
      </c>
      <c r="B1" s="21"/>
      <c r="C1" s="21"/>
      <c r="D1" s="21"/>
      <c r="E1" s="21"/>
      <c r="F1" s="21"/>
      <c r="G1" s="21"/>
      <c r="H1" s="21"/>
    </row>
    <row r="2" spans="1:8" hidden="1" x14ac:dyDescent="0.25">
      <c r="A2" s="22"/>
      <c r="B2" s="22"/>
      <c r="C2" s="22"/>
      <c r="D2" s="22"/>
      <c r="E2" s="22"/>
      <c r="F2" s="22"/>
      <c r="G2" s="22"/>
      <c r="H2" s="22"/>
    </row>
    <row r="4" spans="1:8" x14ac:dyDescent="0.25">
      <c r="A4" s="11" t="s">
        <v>20</v>
      </c>
      <c r="B4" s="11" t="s">
        <v>17</v>
      </c>
      <c r="C4" s="11" t="s">
        <v>18</v>
      </c>
      <c r="D4" s="11" t="s">
        <v>19</v>
      </c>
    </row>
    <row r="5" spans="1:8" x14ac:dyDescent="0.25">
      <c r="A5" s="13" t="s">
        <v>6</v>
      </c>
      <c r="B5" s="14">
        <f>SUMIF(DetailTable2[Period],AnnualTable3[#Headers],DetailTable2[Purchased electricity (MMBTU)])</f>
        <v>4052.1608870819996</v>
      </c>
      <c r="C5" s="14">
        <f>SUMIF(DetailTable2[Period],AnnualTable3[#Headers],DetailTable2[Purchased electricity (MMBTU)])</f>
        <v>4306.4746546260003</v>
      </c>
      <c r="D5" s="14">
        <f>SUMIF(DetailTable2[Period],AnnualTable3[#Headers],DetailTable2[Purchased electricity (MMBTU)])</f>
        <v>4306.4746546260003</v>
      </c>
    </row>
    <row r="6" spans="1:8" x14ac:dyDescent="0.25">
      <c r="A6" s="13" t="s">
        <v>2</v>
      </c>
      <c r="B6" s="14">
        <f>SUMIF(DetailTable2[Period],AnnualTable3[#Headers],DetailTable2[Natural Gas (MMBtu)])</f>
        <v>2629656</v>
      </c>
      <c r="C6" s="14">
        <f>SUMIF(DetailTable2[Period],AnnualTable3[#Headers],DetailTable2[Natural Gas (MMBtu)])</f>
        <v>2629128</v>
      </c>
      <c r="D6" s="14">
        <f>SUMIF(DetailTable2[Period],AnnualTable3[#Headers],DetailTable2[Natural Gas (MMBtu)])</f>
        <v>2478939</v>
      </c>
    </row>
    <row r="7" spans="1:8" x14ac:dyDescent="0.25">
      <c r="A7" s="13" t="s">
        <v>7</v>
      </c>
      <c r="B7" s="14">
        <f>SUMIF(DetailTable2[Period],AnnualTable3[#Headers],DetailTable2[TOTAL  (MMBTU)])</f>
        <v>2633708.1608870816</v>
      </c>
      <c r="C7" s="14">
        <f>SUMIF(DetailTable2[Period],AnnualTable3[#Headers],DetailTable2[TOTAL  (MMBTU)])</f>
        <v>2633434.4746546261</v>
      </c>
      <c r="D7" s="14">
        <f>SUMIF(DetailTable2[Period],AnnualTable3[#Headers],DetailTable2[TOTAL  (MMBTU)])</f>
        <v>2483245.4746546261</v>
      </c>
    </row>
    <row r="8" spans="1:8" x14ac:dyDescent="0.25">
      <c r="A8" s="15" t="s">
        <v>21</v>
      </c>
      <c r="B8" s="14">
        <f>SUMIF(DetailTable2[Period],AnnualTable3[#Headers],DetailTable2[Energy Savings: Purchased electricity (MMBTU)])</f>
        <v>0</v>
      </c>
      <c r="C8" s="14">
        <f ca="1">SUMIF(DetailTable2[Period],AnnualTable3[#Headers],DetailTable2[Energy Savings: Purchased electricity (MMBTU)])</f>
        <v>-254.31376754400009</v>
      </c>
      <c r="D8" s="14">
        <f ca="1">SUMIF(DetailTable2[Period],AnnualTable3[#Headers],DetailTable2[Energy Savings: Purchased electricity (MMBTU)])</f>
        <v>-254.31376754400009</v>
      </c>
    </row>
    <row r="9" spans="1:8" x14ac:dyDescent="0.25">
      <c r="A9" s="15" t="s">
        <v>22</v>
      </c>
      <c r="B9" s="14">
        <f>SUMIF(DetailTable2[Period],AnnualTable3[#Headers],DetailTable2[Energy Savings: Natural Gas (MMBtu)])</f>
        <v>0</v>
      </c>
      <c r="C9" s="14">
        <f ca="1">SUMIF(DetailTable2[Period],AnnualTable3[#Headers],DetailTable2[Energy Savings: Natural Gas (MMBtu)])</f>
        <v>528</v>
      </c>
      <c r="D9" s="14">
        <f ca="1">SUMIF(DetailTable2[Period],AnnualTable3[#Headers],DetailTable2[Energy Savings: Natural Gas (MMBtu)])</f>
        <v>150717</v>
      </c>
    </row>
    <row r="10" spans="1:8" x14ac:dyDescent="0.25">
      <c r="A10" s="13" t="s">
        <v>23</v>
      </c>
      <c r="B10" s="14">
        <f>SUMIF(DetailTable2[Period],AnnualTable3[#Headers],DetailTable2[Production (tons)])</f>
        <v>146239</v>
      </c>
      <c r="C10" s="14">
        <f>SUMIF(DetailTable2[Period],AnnualTable3[#Headers],DetailTable2[Production (tons)])</f>
        <v>158508</v>
      </c>
      <c r="D10" s="14">
        <f>SUMIF(DetailTable2[Period],AnnualTable3[#Headers],DetailTable2[Production (tons)])</f>
        <v>154987</v>
      </c>
    </row>
    <row r="11" spans="1:8" x14ac:dyDescent="0.25">
      <c r="A11" s="16" t="s">
        <v>24</v>
      </c>
      <c r="B11" s="17">
        <f ca="1">OFFSET(AnnualTable3[#Headers], MATCH("TOTAL  (MMBTU)",AnnualTable3[[#All],[ ]],0)-1,0)/OFFSET(AnnualTable3[#Headers], MATCH("Total Production Output",AnnualTable3[[#All],[ ]],0)-1,0)</f>
        <v>18.009615498513266</v>
      </c>
      <c r="C11" s="17">
        <f ca="1">OFFSET(AnnualTable3[#Headers], MATCH("TOTAL  (MMBTU)",AnnualTable3[[#All],[ ]],0)-1,0)/OFFSET(AnnualTable3[#Headers], MATCH("Total Production Output",AnnualTable3[[#All],[ ]],0)-1,0)</f>
        <v>16.613889990755204</v>
      </c>
      <c r="D11" s="17">
        <f ca="1">OFFSET(AnnualTable3[#Headers], MATCH("TOTAL  (MMBTU)",AnnualTable3[[#All],[ ]],0)-1,0)/OFFSET(AnnualTable3[#Headers], MATCH("Total Production Output",AnnualTable3[[#All],[ ]],0)-1,0)</f>
        <v>16.02228235048505</v>
      </c>
    </row>
    <row r="12" spans="1:8" x14ac:dyDescent="0.25">
      <c r="A12" s="18" t="s">
        <v>25</v>
      </c>
      <c r="B12" s="19">
        <v>0</v>
      </c>
      <c r="C12" s="19">
        <f ca="1">(INDEX(AnnualTable3[],MATCH("Production Energy Intensity (MMBtu/unit production)",AnnualTable3[[ ]],0),2)-INDEX(AnnualTable3[],MATCH("Production Energy Intensity (MMBtu/unit production)",AnnualTable3[[ ]],0),COLUMN()))/(INDEX(AnnualTable3[],MATCH("Production Energy Intensity (MMBtu/unit production)",AnnualTable3[[ ]],0),2))</f>
        <v>7.7498906507653217E-2</v>
      </c>
      <c r="D12" s="19">
        <f ca="1">(INDEX(AnnualTable3[],MATCH("Production Energy Intensity (MMBtu/unit production)",AnnualTable3[[ ]],0),2)-INDEX(AnnualTable3[],MATCH("Production Energy Intensity (MMBtu/unit production)",AnnualTable3[[ ]],0),COLUMN()))/(INDEX(AnnualTable3[],MATCH("Production Energy Intensity (MMBtu/unit production)",AnnualTable3[[ ]],0),2))</f>
        <v>0.11034844959306742</v>
      </c>
    </row>
    <row r="13" spans="1:8" x14ac:dyDescent="0.25">
      <c r="A13" s="18" t="s">
        <v>26</v>
      </c>
      <c r="B13" s="19">
        <v>0</v>
      </c>
      <c r="C13" s="19">
        <f t="shared" ref="C13:D13" ca="1" si="0">OFFSET(INDIRECT(ADDRESS(ROW(), COLUMN())),-1,0,1,1)-OFFSET(INDIRECT(ADDRESS(ROW(), COLUMN())),-1,-1,1,1)</f>
        <v>7.7498906507653217E-2</v>
      </c>
      <c r="D13" s="19">
        <f t="shared" ca="1" si="0"/>
        <v>3.2849543085414198E-2</v>
      </c>
    </row>
    <row r="14" spans="1:8" x14ac:dyDescent="0.25">
      <c r="A14" s="13" t="s">
        <v>27</v>
      </c>
      <c r="B14" s="20">
        <v>0</v>
      </c>
      <c r="C14" s="20">
        <f>(INDEX(AnnualTable3[],MATCH("TOTAL  (MMBTU)",AnnualTable3[[ ]],0),2)-INDEX(AnnualTable3[],MATCH("TOTAL  (MMBTU)",AnnualTable3[[ ]],0),COLUMN()))</f>
        <v>273.68623245554045</v>
      </c>
      <c r="D14" s="20">
        <f>(INDEX(AnnualTable3[],MATCH("TOTAL  (MMBTU)",AnnualTable3[[ ]],0),2)-INDEX(AnnualTable3[],MATCH("TOTAL  (MMBTU)",AnnualTable3[[ ]],0),COLUMN()))</f>
        <v>150462.68623245554</v>
      </c>
    </row>
    <row r="15" spans="1:8" x14ac:dyDescent="0.25">
      <c r="A15" s="13" t="s">
        <v>28</v>
      </c>
      <c r="B15" s="20">
        <v>0</v>
      </c>
      <c r="C15" s="20">
        <f t="shared" ref="C15:D15" ca="1" si="1">OFFSET(INDIRECT(ADDRESS(ROW(), COLUMN())),-1,0,1,1)-OFFSET(INDIRECT(ADDRESS(ROW(), COLUMN())),-1,-1,1,1)</f>
        <v>273.68623245554045</v>
      </c>
      <c r="D15" s="20">
        <f t="shared" ca="1" si="1"/>
        <v>150189</v>
      </c>
    </row>
    <row r="17" ht="268.35000000000002" customHeight="1" x14ac:dyDescent="0.25"/>
  </sheetData>
  <mergeCells count="2">
    <mergeCell ref="A1:H1"/>
    <mergeCell ref="A2:H2"/>
  </mergeCells>
  <pageMargins left="0.7" right="0.7" top="0.75" bottom="0.75" header="0.3" footer="0.3"/>
  <customProperties>
    <customPr name="HasEnPITables" r:id="rId1"/>
    <customPr name="IsValidRollupSource" r:id="rId2"/>
    <customPr name="SheetGUID" r:id="rId3"/>
  </customPropertie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Hastings</vt:lpstr>
      <vt:lpstr>1 Detail Data</vt:lpstr>
      <vt:lpstr>1 EnPI Actual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Chris</dc:creator>
  <cp:lastModifiedBy>Price, Chris</cp:lastModifiedBy>
  <dcterms:created xsi:type="dcterms:W3CDTF">2015-06-05T18:17:20Z</dcterms:created>
  <dcterms:modified xsi:type="dcterms:W3CDTF">2020-04-30T21:30:00Z</dcterms:modified>
</cp:coreProperties>
</file>