
<file path=[Content_Types].xml><?xml version="1.0" encoding="utf-8"?>
<Types xmlns="http://schemas.openxmlformats.org/package/2006/content-types">
  <Default Extension="bin" ContentType="application/vnd.openxmlformats-officedocument.spreadsheetml.customProperty"/>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charts/chart14.xml" ContentType="application/vnd.openxmlformats-officedocument.drawingml.chart+xml"/>
  <Override PartName="/xl/charts/chart15.xml" ContentType="application/vnd.openxmlformats-officedocument.drawingml.chart+xml"/>
  <Override PartName="/xl/charts/chart16.xml" ContentType="application/vnd.openxmlformats-officedocument.drawingml.chart+xml"/>
  <Override PartName="/xl/drawings/drawing3.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drawings/drawing4.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7.xml" ContentType="application/vnd.openxmlformats-officedocument.drawingml.chart+xml"/>
  <Override PartName="/xl/charts/chart18.xml" ContentType="application/vnd.openxmlformats-officedocument.drawingml.chart+xml"/>
  <Override PartName="/xl/printerSettings/printerSettings1.bin" ContentType="application/vnd.openxmlformats-officedocument.spreadsheetml.printerSettings"/>
  <Override PartName="/xl/drawings/drawing5.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charts/chart19.xml" ContentType="application/vnd.openxmlformats-officedocument.drawingml.chart+xml"/>
  <Override PartName="/xl/charts/chart20.xml" ContentType="application/vnd.openxmlformats-officedocument.drawingml.chart+xml"/>
  <Override PartName="/xl/charts/chart21.xml" ContentType="application/vnd.openxmlformats-officedocument.drawingml.chart+xml"/>
  <Override PartName="/xl/charts/chart22.xml" ContentType="application/vnd.openxmlformats-officedocument.drawingml.chart+xml"/>
  <Override PartName="/xl/drawings/drawing6.xml" ContentType="application/vnd.openxmlformats-officedocument.drawing+xml"/>
  <Override PartName="/xl/tables/table13.xml" ContentType="application/vnd.openxmlformats-officedocument.spreadsheetml.table+xml"/>
  <Override PartName="/xl/charts/chart23.xml" ContentType="application/vnd.openxmlformats-officedocument.drawingml.chart+xml"/>
  <Override PartName="/xl/charts/chart24.xml" ContentType="application/vnd.openxmlformats-officedocument.drawingml.chart+xml"/>
  <Override PartName="/xl/printerSettings/printerSettings2.bin" ContentType="application/vnd.openxmlformats-officedocument.spreadsheetml.printerSettings"/>
  <Override PartName="/xl/drawings/drawing7.xml" ContentType="application/vnd.openxmlformats-officedocument.drawing+xml"/>
  <Override PartName="/xl/tables/table14.xml" ContentType="application/vnd.openxmlformats-officedocument.spreadsheetml.table+xml"/>
  <Override PartName="/xl/drawings/drawing8.xml" ContentType="application/vnd.openxmlformats-officedocument.drawing+xml"/>
  <Override PartName="/xl/tables/table15.xml" ContentType="application/vnd.openxmlformats-officedocument.spreadsheetml.table+xml"/>
  <Override PartName="/xl/tables/table16.xml" ContentType="application/vnd.openxmlformats-officedocument.spreadsheetml.table+xml"/>
  <Override PartName="/xl/charts/chart25.xml" ContentType="application/vnd.openxmlformats-officedocument.drawingml.chart+xml"/>
  <Override PartName="/xl/charts/chart26.xml" ContentType="application/vnd.openxmlformats-officedocument.drawingml.chart+xml"/>
  <Override PartName="/xl/charts/chart27.xml" ContentType="application/vnd.openxmlformats-officedocument.drawingml.chart+xml"/>
  <Override PartName="/xl/charts/chart28.xml" ContentType="application/vnd.openxmlformats-officedocument.drawingml.chart+xml"/>
  <Override PartName="/xl/charts/chart29.xml" ContentType="application/vnd.openxmlformats-officedocument.drawingml.chart+xml"/>
  <Override PartName="/xl/charts/chart30.xml" ContentType="application/vnd.openxmlformats-officedocument.drawingml.chart+xml"/>
  <Override PartName="/xl/charts/chart31.xml" ContentType="application/vnd.openxmlformats-officedocument.drawingml.chart+xml"/>
  <Override PartName="/xl/charts/chart32.xml" ContentType="application/vnd.openxmlformats-officedocument.drawingml.chart+xml"/>
  <Override PartName="/xl/drawings/drawing9.xml" ContentType="application/vnd.openxmlformats-officedocument.drawing+xml"/>
  <Override PartName="/xl/tables/table17.xml" ContentType="application/vnd.openxmlformats-officedocument.spreadsheetml.table+xml"/>
  <Override PartName="/xl/tables/table18.xml" ContentType="application/vnd.openxmlformats-officedocument.spreadsheetml.table+xml"/>
  <Override PartName="/xl/charts/chart33.xml" ContentType="application/vnd.openxmlformats-officedocument.drawingml.chart+xml"/>
  <Override PartName="/xl/charts/chart34.xml" ContentType="application/vnd.openxmlformats-officedocument.drawingml.chart+xml"/>
  <Override PartName="/xl/charts/chart35.xml" ContentType="application/vnd.openxmlformats-officedocument.drawingml.chart+xml"/>
  <Override PartName="/xl/charts/chart36.xml" ContentType="application/vnd.openxmlformats-officedocument.drawingml.chart+xml"/>
  <Override PartName="/xl/charts/chart37.xml" ContentType="application/vnd.openxmlformats-officedocument.drawingml.chart+xml"/>
  <Override PartName="/xl/charts/chart38.xml" ContentType="application/vnd.openxmlformats-officedocument.drawingml.chart+xml"/>
  <Override PartName="/xl/charts/chart39.xml" ContentType="application/vnd.openxmlformats-officedocument.drawingml.chart+xml"/>
  <Override PartName="/xl/charts/chart40.xml" ContentType="application/vnd.openxmlformats-officedocument.drawingml.chart+xml"/>
  <Override PartName="/xl/drawings/drawing10.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drawings/drawing11.xml" ContentType="application/vnd.openxmlformats-officedocument.drawing+xml"/>
  <Override PartName="/xl/tables/table24.xml" ContentType="application/vnd.openxmlformats-officedocument.spreadsheetml.table+xml"/>
  <Override PartName="/xl/tables/table25.xml" ContentType="application/vnd.openxmlformats-officedocument.spreadsheetml.table+xml"/>
  <Override PartName="/xl/charts/chart41.xml" ContentType="application/vnd.openxmlformats-officedocument.drawingml.chart+xml"/>
  <Override PartName="/xl/charts/chart42.xml" ContentType="application/vnd.openxmlformats-officedocument.drawingml.chart+xml"/>
  <Override PartName="/xl/printerSettings/printerSettings3.bin" ContentType="application/vnd.openxmlformats-officedocument.spreadsheetml.printerSettings"/>
  <Override PartName="/xl/drawings/drawing12.xml" ContentType="application/vnd.openxmlformats-officedocument.drawing+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charts/chart4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929"/>
  <workbookPr/>
  <mc:AlternateContent xmlns:mc="http://schemas.openxmlformats.org/markup-compatibility/2006">
    <mc:Choice Requires="x15">
      <x15ac:absPath xmlns:x15ac="http://schemas.microsoft.com/office/spreadsheetml/2010/11/ac" url="C:\Users\7rp\Dropbox (ORNL)\ORNL Documents\BP Companies\zz Software Demos\EnPI Sample Data\"/>
    </mc:Choice>
  </mc:AlternateContent>
  <xr:revisionPtr revIDLastSave="0" documentId="13_ncr:1_{3ED11E35-CDFA-48D0-AB7E-29CCB3BD701A}" xr6:coauthVersionLast="44" xr6:coauthVersionMax="44" xr10:uidLastSave="{00000000-0000-0000-0000-000000000000}"/>
  <bookViews>
    <workbookView xWindow="-120" yWindow="-120" windowWidth="29040" windowHeight="15840" firstSheet="6" activeTab="12" xr2:uid="{00000000-000D-0000-FFFF-FFFF00000000}"/>
  </bookViews>
  <sheets>
    <sheet name="Minneapolis" sheetId="1" r:id="rId1"/>
    <sheet name="1 Electricity (MMBTU)" sheetId="2" r:id="rId2"/>
    <sheet name="1 Natural Gas (MMBTU)" sheetId="3" r:id="rId3"/>
    <sheet name="1 Model Data" sheetId="4" r:id="rId4"/>
    <sheet name="1 EnPI Results" sheetId="5" r:id="rId5"/>
    <sheet name="1 SEP Results" sheetId="6" r:id="rId6"/>
    <sheet name="2 EnPI Actual Results" sheetId="9" r:id="rId7"/>
    <sheet name="2 Detail Data" sheetId="8" state="hidden" r:id="rId8"/>
    <sheet name="3 Electricity (MMBTU)" sheetId="11" r:id="rId9"/>
    <sheet name="3 Natural Gas (MMBTU)" sheetId="12" r:id="rId10"/>
    <sheet name="3 Model Data" sheetId="13" r:id="rId11"/>
    <sheet name="stateData" sheetId="16" state="veryHidden" r:id="rId12"/>
    <sheet name="3 EnPI Results" sheetId="14" r:id="rId13"/>
    <sheet name="3 SEP Results" sheetId="15" r:id="rId14"/>
  </sheets>
  <definedNames>
    <definedName name="_xlnm.Print_Area" localSheetId="5">'1 SEP Results'!$A$1:$N$36</definedName>
    <definedName name="_xlnm.Print_Area" localSheetId="13">'3 SEP Results'!$A$1:$N$30</definedName>
    <definedName name="test">'3 Natural Gas (MMBTU)'!$A$4:$G$4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6" i="15" l="1"/>
  <c r="B16" i="15"/>
  <c r="B15" i="15"/>
  <c r="C15" i="15"/>
  <c r="B13" i="15"/>
  <c r="C13" i="15"/>
  <c r="B11" i="15"/>
  <c r="C11" i="15"/>
  <c r="B8" i="15"/>
  <c r="C8" i="15"/>
  <c r="B7" i="15"/>
  <c r="C7" i="15"/>
  <c r="B6" i="15"/>
  <c r="C6" i="15"/>
  <c r="D15" i="14"/>
  <c r="B14" i="14"/>
  <c r="C14" i="14"/>
  <c r="D14" i="14"/>
  <c r="B12" i="14"/>
  <c r="C12" i="14"/>
  <c r="D12" i="14"/>
  <c r="B10" i="14"/>
  <c r="C10" i="14"/>
  <c r="D10" i="14"/>
  <c r="B7" i="14"/>
  <c r="C7" i="14"/>
  <c r="C15" i="14" s="1"/>
  <c r="D7" i="14"/>
  <c r="B6" i="14"/>
  <c r="C6" i="14"/>
  <c r="D6" i="14"/>
  <c r="B5" i="14"/>
  <c r="C5" i="14"/>
  <c r="D5" i="14"/>
  <c r="AF15" i="13"/>
  <c r="AF16" i="13"/>
  <c r="AF17" i="13"/>
  <c r="AF18" i="13"/>
  <c r="AF19" i="13"/>
  <c r="AF20" i="13"/>
  <c r="AF21" i="13"/>
  <c r="AF22" i="13"/>
  <c r="AF23" i="13"/>
  <c r="AF24" i="13"/>
  <c r="AF25" i="13"/>
  <c r="AF26" i="13"/>
  <c r="AF27" i="13"/>
  <c r="AF28" i="13"/>
  <c r="AF29" i="13"/>
  <c r="AF30" i="13"/>
  <c r="AF31" i="13"/>
  <c r="AF32" i="13"/>
  <c r="AF33" i="13"/>
  <c r="AF34" i="13"/>
  <c r="AF35" i="13"/>
  <c r="AF36" i="13"/>
  <c r="AF37" i="13"/>
  <c r="AF38" i="13"/>
  <c r="AF39" i="13"/>
  <c r="AF40" i="13"/>
  <c r="AF41" i="13"/>
  <c r="AF42" i="13"/>
  <c r="AF43" i="13"/>
  <c r="AF44" i="13"/>
  <c r="AF45" i="13"/>
  <c r="AF46" i="13"/>
  <c r="AF47" i="13"/>
  <c r="AF48" i="13"/>
  <c r="AF49" i="13"/>
  <c r="AF50" i="13"/>
  <c r="AE15" i="13"/>
  <c r="AE16" i="13"/>
  <c r="AE17" i="13"/>
  <c r="AE18" i="13"/>
  <c r="AE19" i="13"/>
  <c r="AE20" i="13"/>
  <c r="AE21" i="13"/>
  <c r="AE22" i="13"/>
  <c r="AE23" i="13"/>
  <c r="AE24" i="13"/>
  <c r="AE25" i="13"/>
  <c r="AE26" i="13"/>
  <c r="AE27" i="13"/>
  <c r="AE28" i="13"/>
  <c r="AE29" i="13"/>
  <c r="AE30" i="13"/>
  <c r="AE31" i="13"/>
  <c r="AE32" i="13"/>
  <c r="AE33" i="13"/>
  <c r="AE34" i="13"/>
  <c r="AE35" i="13"/>
  <c r="AE36" i="13"/>
  <c r="AE37" i="13"/>
  <c r="AE38" i="13"/>
  <c r="AE39" i="13"/>
  <c r="AE40" i="13"/>
  <c r="AE41" i="13"/>
  <c r="AE42" i="13"/>
  <c r="AE43" i="13"/>
  <c r="AE44" i="13"/>
  <c r="AE45" i="13"/>
  <c r="AE46" i="13"/>
  <c r="AE47" i="13"/>
  <c r="AE48" i="13"/>
  <c r="AE49" i="13"/>
  <c r="AE50" i="13"/>
  <c r="AD15" i="13"/>
  <c r="AD16" i="13"/>
  <c r="AD17" i="13"/>
  <c r="AD18" i="13"/>
  <c r="AD19" i="13"/>
  <c r="AD20" i="13"/>
  <c r="AD21" i="13"/>
  <c r="AD22" i="13"/>
  <c r="AD23" i="13"/>
  <c r="AD24" i="13"/>
  <c r="AD25" i="13"/>
  <c r="AD26" i="13"/>
  <c r="AD27" i="13"/>
  <c r="AD28" i="13"/>
  <c r="AD29" i="13"/>
  <c r="AD30" i="13"/>
  <c r="AD31" i="13"/>
  <c r="AD32" i="13"/>
  <c r="AD33" i="13"/>
  <c r="AD34" i="13"/>
  <c r="AD35" i="13"/>
  <c r="AD36" i="13"/>
  <c r="AD37" i="13"/>
  <c r="AD38" i="13"/>
  <c r="AD39" i="13"/>
  <c r="AD40" i="13"/>
  <c r="AD41" i="13"/>
  <c r="AD42" i="13"/>
  <c r="AD43" i="13"/>
  <c r="AD44" i="13"/>
  <c r="AD45" i="13"/>
  <c r="AD46" i="13"/>
  <c r="AD47" i="13"/>
  <c r="AD48" i="13"/>
  <c r="AD49" i="13"/>
  <c r="AD50" i="13"/>
  <c r="AC15" i="13"/>
  <c r="AC16" i="13"/>
  <c r="AC17" i="13"/>
  <c r="AC18" i="13"/>
  <c r="AC19" i="13"/>
  <c r="AC20" i="13"/>
  <c r="AC21" i="13"/>
  <c r="AC22" i="13"/>
  <c r="AC23" i="13"/>
  <c r="AC24" i="13"/>
  <c r="AC25" i="13"/>
  <c r="AC26" i="13"/>
  <c r="AC27" i="13"/>
  <c r="AC28" i="13"/>
  <c r="AC29" i="13"/>
  <c r="AC30" i="13"/>
  <c r="AC31" i="13"/>
  <c r="AC32" i="13"/>
  <c r="AC33" i="13"/>
  <c r="AC34" i="13"/>
  <c r="AC35" i="13"/>
  <c r="AC36" i="13"/>
  <c r="AC37" i="13"/>
  <c r="AC38" i="13"/>
  <c r="AC39" i="13"/>
  <c r="AC40" i="13"/>
  <c r="AC41" i="13"/>
  <c r="AC42" i="13"/>
  <c r="AC43" i="13"/>
  <c r="AC44" i="13"/>
  <c r="AC45" i="13"/>
  <c r="AC46" i="13"/>
  <c r="AC47" i="13"/>
  <c r="AC48" i="13"/>
  <c r="AC49" i="13"/>
  <c r="AB15" i="13"/>
  <c r="AB16" i="13"/>
  <c r="AB17" i="13"/>
  <c r="AB18" i="13"/>
  <c r="AB19" i="13"/>
  <c r="AB20" i="13"/>
  <c r="AB21" i="13"/>
  <c r="AB22" i="13"/>
  <c r="AB23" i="13"/>
  <c r="AB24" i="13"/>
  <c r="AB25" i="13"/>
  <c r="AB26" i="13"/>
  <c r="AB27" i="13"/>
  <c r="AB28" i="13"/>
  <c r="AB29" i="13"/>
  <c r="AB30" i="13"/>
  <c r="AB31" i="13"/>
  <c r="AB32" i="13"/>
  <c r="AB33" i="13"/>
  <c r="AB34" i="13"/>
  <c r="AB35" i="13"/>
  <c r="AB36" i="13"/>
  <c r="AB37" i="13"/>
  <c r="AB38" i="13"/>
  <c r="AB39" i="13"/>
  <c r="AB40" i="13"/>
  <c r="AB41" i="13"/>
  <c r="AB42" i="13"/>
  <c r="AB43" i="13"/>
  <c r="AB44" i="13"/>
  <c r="AB45" i="13"/>
  <c r="AB46" i="13"/>
  <c r="AB47" i="13"/>
  <c r="AB48" i="13"/>
  <c r="AB49" i="13"/>
  <c r="AA15" i="13"/>
  <c r="AA16" i="13"/>
  <c r="AA17" i="13"/>
  <c r="AA18" i="13"/>
  <c r="AA19" i="13"/>
  <c r="AA20" i="13"/>
  <c r="AA21" i="13"/>
  <c r="AA22" i="13"/>
  <c r="AA23" i="13"/>
  <c r="AA24" i="13"/>
  <c r="AA25" i="13"/>
  <c r="AA26" i="13"/>
  <c r="AA27" i="13"/>
  <c r="AA28" i="13"/>
  <c r="AA29" i="13"/>
  <c r="AA30" i="13"/>
  <c r="AA31" i="13"/>
  <c r="AA32" i="13"/>
  <c r="AA33" i="13"/>
  <c r="AA34" i="13"/>
  <c r="AA35" i="13"/>
  <c r="AA36" i="13"/>
  <c r="AA37" i="13"/>
  <c r="AA38" i="13"/>
  <c r="AA39" i="13"/>
  <c r="AA40" i="13"/>
  <c r="AA41" i="13"/>
  <c r="AA42" i="13"/>
  <c r="AA43" i="13"/>
  <c r="AA44" i="13"/>
  <c r="AA45" i="13"/>
  <c r="AA46" i="13"/>
  <c r="AA47" i="13"/>
  <c r="AA48" i="13"/>
  <c r="AA49" i="13"/>
  <c r="Z15" i="13"/>
  <c r="Z16" i="13"/>
  <c r="Z17" i="13"/>
  <c r="Z18" i="13"/>
  <c r="Z19" i="13"/>
  <c r="Z20" i="13"/>
  <c r="Z21" i="13"/>
  <c r="Z22" i="13"/>
  <c r="Z23" i="13"/>
  <c r="Z24" i="13"/>
  <c r="Z25" i="13"/>
  <c r="Z26" i="13"/>
  <c r="Z27" i="13"/>
  <c r="Z28" i="13"/>
  <c r="Z29" i="13"/>
  <c r="Z30" i="13"/>
  <c r="Z31" i="13"/>
  <c r="Z32" i="13"/>
  <c r="Z33" i="13"/>
  <c r="Z34" i="13"/>
  <c r="Z35" i="13"/>
  <c r="Z36" i="13"/>
  <c r="Z37" i="13"/>
  <c r="Z38" i="13"/>
  <c r="Z39" i="13"/>
  <c r="Z40" i="13"/>
  <c r="Z41" i="13"/>
  <c r="Z42" i="13"/>
  <c r="Z43" i="13"/>
  <c r="Z44" i="13"/>
  <c r="Z45" i="13"/>
  <c r="Z46" i="13"/>
  <c r="Z47" i="13"/>
  <c r="Z48" i="13"/>
  <c r="Z49" i="13"/>
  <c r="Y15" i="13"/>
  <c r="Y16" i="13"/>
  <c r="Y17" i="13"/>
  <c r="Y18" i="13"/>
  <c r="Y19" i="13"/>
  <c r="Y20" i="13"/>
  <c r="Y21" i="13"/>
  <c r="Y22" i="13"/>
  <c r="Y23" i="13"/>
  <c r="Y24" i="13"/>
  <c r="Y25" i="13"/>
  <c r="Y26" i="13"/>
  <c r="Y27" i="13"/>
  <c r="Y28" i="13"/>
  <c r="Y29" i="13"/>
  <c r="Y30" i="13"/>
  <c r="Y31" i="13"/>
  <c r="Y32" i="13"/>
  <c r="Y33" i="13"/>
  <c r="Y34" i="13"/>
  <c r="Y35" i="13"/>
  <c r="Y36" i="13"/>
  <c r="Y37" i="13"/>
  <c r="Y38" i="13"/>
  <c r="Y39" i="13"/>
  <c r="Y40" i="13"/>
  <c r="Y41" i="13"/>
  <c r="Y42" i="13"/>
  <c r="Y43" i="13"/>
  <c r="Y44" i="13"/>
  <c r="Y45" i="13"/>
  <c r="Y46" i="13"/>
  <c r="Y47" i="13"/>
  <c r="Y48" i="13"/>
  <c r="Y49" i="13"/>
  <c r="Y50" i="13"/>
  <c r="X15" i="13"/>
  <c r="X16" i="13"/>
  <c r="X17" i="13"/>
  <c r="X18" i="13"/>
  <c r="X19" i="13"/>
  <c r="X20" i="13"/>
  <c r="X21" i="13"/>
  <c r="X22" i="13"/>
  <c r="X23" i="13"/>
  <c r="X24" i="13"/>
  <c r="X25" i="13"/>
  <c r="X26" i="13"/>
  <c r="X27" i="13"/>
  <c r="X28" i="13"/>
  <c r="X29" i="13"/>
  <c r="X30" i="13"/>
  <c r="X31" i="13"/>
  <c r="X32" i="13"/>
  <c r="X33" i="13"/>
  <c r="X34" i="13"/>
  <c r="X35" i="13"/>
  <c r="X36" i="13"/>
  <c r="X37" i="13"/>
  <c r="X38" i="13"/>
  <c r="X39" i="13"/>
  <c r="X40" i="13"/>
  <c r="X41" i="13"/>
  <c r="X42" i="13"/>
  <c r="X43" i="13"/>
  <c r="X44" i="13"/>
  <c r="X45" i="13"/>
  <c r="X46" i="13"/>
  <c r="X47" i="13"/>
  <c r="X48" i="13"/>
  <c r="X49" i="13"/>
  <c r="W15" i="13"/>
  <c r="W16" i="13"/>
  <c r="W17" i="13"/>
  <c r="W18" i="13"/>
  <c r="W19" i="13"/>
  <c r="W20" i="13"/>
  <c r="W21" i="13"/>
  <c r="W22" i="13"/>
  <c r="W23" i="13"/>
  <c r="W24" i="13"/>
  <c r="W25" i="13"/>
  <c r="W26" i="13"/>
  <c r="W27" i="13"/>
  <c r="W28" i="13"/>
  <c r="W29" i="13"/>
  <c r="W30" i="13"/>
  <c r="W31" i="13"/>
  <c r="W32" i="13"/>
  <c r="W33" i="13"/>
  <c r="W34" i="13"/>
  <c r="W35" i="13"/>
  <c r="W36" i="13"/>
  <c r="W37" i="13"/>
  <c r="W38" i="13"/>
  <c r="W39" i="13"/>
  <c r="W40" i="13"/>
  <c r="W41" i="13"/>
  <c r="W42" i="13"/>
  <c r="W43" i="13"/>
  <c r="W44" i="13"/>
  <c r="W45" i="13"/>
  <c r="W46" i="13"/>
  <c r="W47" i="13"/>
  <c r="W48" i="13"/>
  <c r="W49" i="13"/>
  <c r="W50" i="13"/>
  <c r="T39" i="13"/>
  <c r="T40" i="13"/>
  <c r="T41" i="13"/>
  <c r="T42" i="13"/>
  <c r="T43" i="13"/>
  <c r="T44" i="13"/>
  <c r="T45" i="13"/>
  <c r="T46" i="13"/>
  <c r="T47" i="13"/>
  <c r="T48" i="13"/>
  <c r="T49" i="13"/>
  <c r="T50" i="13"/>
  <c r="Q15" i="13"/>
  <c r="Q16" i="13"/>
  <c r="Q17" i="13"/>
  <c r="Q18" i="13"/>
  <c r="Q19" i="13"/>
  <c r="Q20" i="13"/>
  <c r="Q21" i="13"/>
  <c r="Q22" i="13"/>
  <c r="Q23" i="13"/>
  <c r="Q24" i="13"/>
  <c r="Q25" i="13"/>
  <c r="Q26" i="13"/>
  <c r="Q27" i="13"/>
  <c r="Q28" i="13"/>
  <c r="Q29" i="13"/>
  <c r="Q30" i="13"/>
  <c r="Q31" i="13"/>
  <c r="Q32" i="13"/>
  <c r="Q33" i="13"/>
  <c r="Q34" i="13"/>
  <c r="Q35" i="13"/>
  <c r="Q36" i="13"/>
  <c r="Q37" i="13"/>
  <c r="Q38" i="13"/>
  <c r="Q39" i="13"/>
  <c r="Q40" i="13"/>
  <c r="Q41" i="13"/>
  <c r="Q42" i="13"/>
  <c r="Q43" i="13"/>
  <c r="Q44" i="13"/>
  <c r="Q45" i="13"/>
  <c r="Q46" i="13"/>
  <c r="Q47" i="13"/>
  <c r="Q48" i="13"/>
  <c r="Q49" i="13"/>
  <c r="Q50" i="13"/>
  <c r="P15" i="13"/>
  <c r="R15" i="13" s="1"/>
  <c r="P16" i="13"/>
  <c r="R16" i="13" s="1"/>
  <c r="P17" i="13"/>
  <c r="R17" i="13" s="1"/>
  <c r="P18" i="13"/>
  <c r="R18" i="13" s="1"/>
  <c r="P19" i="13"/>
  <c r="R19" i="13" s="1"/>
  <c r="P20" i="13"/>
  <c r="R20" i="13" s="1"/>
  <c r="P21" i="13"/>
  <c r="R21" i="13" s="1"/>
  <c r="P22" i="13"/>
  <c r="R22" i="13" s="1"/>
  <c r="P23" i="13"/>
  <c r="R23" i="13" s="1"/>
  <c r="P24" i="13"/>
  <c r="R24" i="13" s="1"/>
  <c r="P25" i="13"/>
  <c r="R25" i="13" s="1"/>
  <c r="P26" i="13"/>
  <c r="R26" i="13" s="1"/>
  <c r="P27" i="13"/>
  <c r="R27" i="13" s="1"/>
  <c r="P28" i="13"/>
  <c r="R28" i="13" s="1"/>
  <c r="P29" i="13"/>
  <c r="R29" i="13" s="1"/>
  <c r="P30" i="13"/>
  <c r="R30" i="13" s="1"/>
  <c r="P31" i="13"/>
  <c r="R31" i="13" s="1"/>
  <c r="P32" i="13"/>
  <c r="R32" i="13" s="1"/>
  <c r="P33" i="13"/>
  <c r="R33" i="13" s="1"/>
  <c r="P34" i="13"/>
  <c r="R34" i="13" s="1"/>
  <c r="P35" i="13"/>
  <c r="R35" i="13" s="1"/>
  <c r="P36" i="13"/>
  <c r="R36" i="13" s="1"/>
  <c r="P37" i="13"/>
  <c r="R37" i="13" s="1"/>
  <c r="P38" i="13"/>
  <c r="R38" i="13" s="1"/>
  <c r="P39" i="13"/>
  <c r="R39" i="13" s="1"/>
  <c r="P40" i="13"/>
  <c r="R40" i="13" s="1"/>
  <c r="P41" i="13"/>
  <c r="R41" i="13" s="1"/>
  <c r="P42" i="13"/>
  <c r="R42" i="13" s="1"/>
  <c r="P43" i="13"/>
  <c r="R43" i="13" s="1"/>
  <c r="P44" i="13"/>
  <c r="R44" i="13" s="1"/>
  <c r="P45" i="13"/>
  <c r="R45" i="13" s="1"/>
  <c r="P46" i="13"/>
  <c r="R46" i="13" s="1"/>
  <c r="P47" i="13"/>
  <c r="R47" i="13" s="1"/>
  <c r="P48" i="13"/>
  <c r="R48" i="13" s="1"/>
  <c r="P49" i="13"/>
  <c r="R49" i="13" s="1"/>
  <c r="P50" i="13"/>
  <c r="R50" i="13" s="1"/>
  <c r="O15" i="13"/>
  <c r="O16" i="13"/>
  <c r="O17" i="13"/>
  <c r="O18" i="13"/>
  <c r="O19" i="13"/>
  <c r="O20" i="13"/>
  <c r="O21" i="13"/>
  <c r="O22" i="13"/>
  <c r="O23" i="13"/>
  <c r="O24" i="13"/>
  <c r="O25" i="13"/>
  <c r="O26" i="13"/>
  <c r="O27" i="13"/>
  <c r="O28" i="13"/>
  <c r="O29" i="13"/>
  <c r="O30" i="13"/>
  <c r="O31" i="13"/>
  <c r="O32" i="13"/>
  <c r="O33" i="13"/>
  <c r="O34" i="13"/>
  <c r="O35" i="13"/>
  <c r="O36" i="13"/>
  <c r="O37" i="13"/>
  <c r="O38" i="13"/>
  <c r="O39" i="13"/>
  <c r="O40" i="13"/>
  <c r="O41" i="13"/>
  <c r="O42" i="13"/>
  <c r="O43" i="13"/>
  <c r="O44" i="13"/>
  <c r="O45" i="13"/>
  <c r="O46" i="13"/>
  <c r="O47" i="13"/>
  <c r="O48" i="13"/>
  <c r="O49" i="13"/>
  <c r="O50" i="13"/>
  <c r="K15" i="13"/>
  <c r="K16" i="13"/>
  <c r="K17" i="13"/>
  <c r="K18" i="13"/>
  <c r="K19" i="13"/>
  <c r="K20" i="13"/>
  <c r="K21" i="13"/>
  <c r="K22" i="13"/>
  <c r="K23" i="13"/>
  <c r="K24" i="13"/>
  <c r="K25" i="13"/>
  <c r="K26" i="13"/>
  <c r="K27" i="13"/>
  <c r="K28" i="13"/>
  <c r="K29" i="13"/>
  <c r="K30" i="13"/>
  <c r="K31" i="13"/>
  <c r="K32" i="13"/>
  <c r="K33" i="13"/>
  <c r="K34" i="13"/>
  <c r="K35" i="13"/>
  <c r="K36" i="13"/>
  <c r="K37" i="13"/>
  <c r="K38" i="13"/>
  <c r="K39" i="13"/>
  <c r="K40" i="13"/>
  <c r="K41" i="13"/>
  <c r="K42" i="13"/>
  <c r="K43" i="13"/>
  <c r="K44" i="13"/>
  <c r="K45" i="13"/>
  <c r="K46" i="13"/>
  <c r="K47" i="13"/>
  <c r="K48" i="13"/>
  <c r="K49" i="13"/>
  <c r="K50" i="13"/>
  <c r="J15" i="13"/>
  <c r="J16" i="13"/>
  <c r="J17" i="13"/>
  <c r="J18" i="13"/>
  <c r="J19" i="13"/>
  <c r="J20" i="13"/>
  <c r="J21" i="13"/>
  <c r="J22" i="13"/>
  <c r="J23" i="13"/>
  <c r="J24" i="13"/>
  <c r="J25" i="13"/>
  <c r="J26" i="13"/>
  <c r="J27" i="13"/>
  <c r="J28" i="13"/>
  <c r="J29" i="13"/>
  <c r="J30" i="13"/>
  <c r="J31" i="13"/>
  <c r="J32" i="13"/>
  <c r="J33" i="13"/>
  <c r="J34" i="13"/>
  <c r="J35" i="13"/>
  <c r="J36" i="13"/>
  <c r="J37" i="13"/>
  <c r="J38" i="13"/>
  <c r="J39" i="13"/>
  <c r="J40" i="13"/>
  <c r="J41" i="13"/>
  <c r="J42" i="13"/>
  <c r="J43" i="13"/>
  <c r="J44" i="13"/>
  <c r="J45" i="13"/>
  <c r="J46" i="13"/>
  <c r="J47" i="13"/>
  <c r="J48" i="13"/>
  <c r="J49" i="13"/>
  <c r="J50" i="13"/>
  <c r="C17" i="15"/>
  <c r="B14" i="15"/>
  <c r="C14" i="15"/>
  <c r="B12" i="15"/>
  <c r="C12" i="15"/>
  <c r="C18" i="14"/>
  <c r="C21" i="14" s="1"/>
  <c r="D18" i="14"/>
  <c r="D21" i="14" s="1"/>
  <c r="D17" i="14"/>
  <c r="B13" i="14"/>
  <c r="C13" i="14"/>
  <c r="D13" i="14"/>
  <c r="B11" i="14"/>
  <c r="C11" i="14"/>
  <c r="D11" i="14"/>
  <c r="V15" i="13"/>
  <c r="V16" i="13"/>
  <c r="V17" i="13" s="1"/>
  <c r="V18" i="13" s="1"/>
  <c r="V19" i="13" s="1"/>
  <c r="V20" i="13" s="1"/>
  <c r="V21" i="13" s="1"/>
  <c r="V22" i="13" s="1"/>
  <c r="V23" i="13" s="1"/>
  <c r="V24" i="13"/>
  <c r="V25" i="13" s="1"/>
  <c r="V26" i="13" s="1"/>
  <c r="V27" i="13" s="1"/>
  <c r="V28" i="13" s="1"/>
  <c r="V29" i="13" s="1"/>
  <c r="V30" i="13" s="1"/>
  <c r="V31" i="13" s="1"/>
  <c r="V32" i="13"/>
  <c r="V33" i="13" s="1"/>
  <c r="V34" i="13" s="1"/>
  <c r="V35" i="13" s="1"/>
  <c r="V36" i="13"/>
  <c r="V37" i="13" s="1"/>
  <c r="V38" i="13" s="1"/>
  <c r="V39" i="13" s="1"/>
  <c r="V40" i="13"/>
  <c r="V41" i="13" s="1"/>
  <c r="V42" i="13" s="1"/>
  <c r="V43" i="13" s="1"/>
  <c r="V44" i="13" s="1"/>
  <c r="V45" i="13" s="1"/>
  <c r="V46" i="13" s="1"/>
  <c r="V47" i="13" s="1"/>
  <c r="V48" i="13" s="1"/>
  <c r="V49" i="13" s="1"/>
  <c r="V50" i="13" s="1"/>
  <c r="U15" i="13"/>
  <c r="U16" i="13" s="1"/>
  <c r="U17" i="13" s="1"/>
  <c r="U18" i="13" s="1"/>
  <c r="U19" i="13"/>
  <c r="U20" i="13" s="1"/>
  <c r="U21" i="13" s="1"/>
  <c r="U22" i="13" s="1"/>
  <c r="U23" i="13"/>
  <c r="U24" i="13" s="1"/>
  <c r="U25" i="13" s="1"/>
  <c r="U26" i="13" s="1"/>
  <c r="U27" i="13"/>
  <c r="U28" i="13" s="1"/>
  <c r="U29" i="13" s="1"/>
  <c r="U30" i="13" s="1"/>
  <c r="U31" i="13"/>
  <c r="U32" i="13" s="1"/>
  <c r="U33" i="13" s="1"/>
  <c r="U34" i="13" s="1"/>
  <c r="U35" i="13"/>
  <c r="U36" i="13" s="1"/>
  <c r="U37" i="13" s="1"/>
  <c r="U38" i="13" s="1"/>
  <c r="U39" i="13"/>
  <c r="U40" i="13" s="1"/>
  <c r="U41" i="13" s="1"/>
  <c r="U42" i="13" s="1"/>
  <c r="U43" i="13"/>
  <c r="U44" i="13" s="1"/>
  <c r="U45" i="13" s="1"/>
  <c r="U46" i="13" s="1"/>
  <c r="U47" i="13"/>
  <c r="U48" i="13" s="1"/>
  <c r="U49" i="13" s="1"/>
  <c r="U50" i="13" s="1"/>
  <c r="S15" i="13"/>
  <c r="S16" i="13"/>
  <c r="S17" i="13"/>
  <c r="S18" i="13"/>
  <c r="S19" i="13"/>
  <c r="S20" i="13"/>
  <c r="S21" i="13"/>
  <c r="S22" i="13"/>
  <c r="S23" i="13"/>
  <c r="S24" i="13"/>
  <c r="S25" i="13"/>
  <c r="S26" i="13"/>
  <c r="S27" i="13"/>
  <c r="S28" i="13"/>
  <c r="S29" i="13"/>
  <c r="S30" i="13"/>
  <c r="S31" i="13"/>
  <c r="S32" i="13"/>
  <c r="S33" i="13"/>
  <c r="S34" i="13"/>
  <c r="S35" i="13"/>
  <c r="S36" i="13"/>
  <c r="S37" i="13"/>
  <c r="S38" i="13"/>
  <c r="S39" i="13"/>
  <c r="S40" i="13" s="1"/>
  <c r="S41" i="13" s="1"/>
  <c r="S42" i="13" s="1"/>
  <c r="S43" i="13" s="1"/>
  <c r="S44" i="13" s="1"/>
  <c r="S45" i="13" s="1"/>
  <c r="S46" i="13" s="1"/>
  <c r="S47" i="13" s="1"/>
  <c r="S48" i="13" s="1"/>
  <c r="S49" i="13" s="1"/>
  <c r="S50" i="13" s="1"/>
  <c r="C20" i="14"/>
  <c r="C19" i="14"/>
  <c r="D20" i="14"/>
  <c r="D19" i="14"/>
  <c r="B15" i="14" l="1"/>
  <c r="AC50" i="13"/>
  <c r="AB50" i="13"/>
  <c r="AA50" i="13"/>
  <c r="Z50" i="13"/>
  <c r="X50" i="13"/>
  <c r="T38" i="13"/>
  <c r="T37" i="13"/>
  <c r="T36" i="13"/>
  <c r="T35" i="13"/>
  <c r="T34" i="13"/>
  <c r="T33" i="13"/>
  <c r="T32" i="13"/>
  <c r="T31" i="13"/>
  <c r="T30" i="13"/>
  <c r="T29" i="13"/>
  <c r="T28" i="13"/>
  <c r="T27" i="13"/>
  <c r="T26" i="13"/>
  <c r="T25" i="13"/>
  <c r="T24" i="13"/>
  <c r="T23" i="13"/>
  <c r="T22" i="13"/>
  <c r="T21" i="13"/>
  <c r="T20" i="13"/>
  <c r="T19" i="13"/>
  <c r="T18" i="13"/>
  <c r="T17" i="13"/>
  <c r="T16" i="13"/>
  <c r="T15" i="13"/>
  <c r="B10" i="9"/>
  <c r="C10" i="9"/>
  <c r="D10" i="9"/>
  <c r="B6" i="9"/>
  <c r="C6" i="9"/>
  <c r="D6" i="9"/>
  <c r="B5" i="9"/>
  <c r="C5" i="9"/>
  <c r="D5" i="9"/>
  <c r="Q15" i="8"/>
  <c r="Q16" i="8"/>
  <c r="B9" i="9" s="1"/>
  <c r="Q17" i="8"/>
  <c r="Q18" i="8"/>
  <c r="Q19" i="8"/>
  <c r="Q20" i="8"/>
  <c r="Q21" i="8"/>
  <c r="Q22" i="8"/>
  <c r="Q23" i="8"/>
  <c r="Q24" i="8"/>
  <c r="Q25" i="8"/>
  <c r="Q26" i="8"/>
  <c r="P15" i="8"/>
  <c r="B8" i="9" s="1"/>
  <c r="P16" i="8"/>
  <c r="P17" i="8"/>
  <c r="P18" i="8"/>
  <c r="P19" i="8"/>
  <c r="P20" i="8"/>
  <c r="P21" i="8"/>
  <c r="P22" i="8"/>
  <c r="P23" i="8"/>
  <c r="P24" i="8"/>
  <c r="P25" i="8"/>
  <c r="P26" i="8"/>
  <c r="O27" i="8"/>
  <c r="O28" i="8"/>
  <c r="O29" i="8"/>
  <c r="O30" i="8"/>
  <c r="O31" i="8"/>
  <c r="O32" i="8"/>
  <c r="O33" i="8"/>
  <c r="O34" i="8"/>
  <c r="O35" i="8"/>
  <c r="O36" i="8"/>
  <c r="O37" i="8"/>
  <c r="O38" i="8"/>
  <c r="O39" i="8"/>
  <c r="O40" i="8"/>
  <c r="O41" i="8"/>
  <c r="O42" i="8"/>
  <c r="O43" i="8"/>
  <c r="O44" i="8"/>
  <c r="O45" i="8"/>
  <c r="O46" i="8"/>
  <c r="O47" i="8"/>
  <c r="O48" i="8"/>
  <c r="O49" i="8"/>
  <c r="O50" i="8"/>
  <c r="K15" i="8"/>
  <c r="K16" i="8"/>
  <c r="K17" i="8"/>
  <c r="K18" i="8"/>
  <c r="K19" i="8"/>
  <c r="K20" i="8"/>
  <c r="K21" i="8"/>
  <c r="K22" i="8"/>
  <c r="K23" i="8"/>
  <c r="K24" i="8"/>
  <c r="K25" i="8"/>
  <c r="K26" i="8"/>
  <c r="K27" i="8"/>
  <c r="K28" i="8"/>
  <c r="K29" i="8"/>
  <c r="K30" i="8"/>
  <c r="K31" i="8"/>
  <c r="K32" i="8"/>
  <c r="K33" i="8"/>
  <c r="K34" i="8"/>
  <c r="K35" i="8"/>
  <c r="K36" i="8"/>
  <c r="K37" i="8"/>
  <c r="K38" i="8"/>
  <c r="K39" i="8"/>
  <c r="K40" i="8"/>
  <c r="K41" i="8"/>
  <c r="K42" i="8"/>
  <c r="K43" i="8"/>
  <c r="K44" i="8"/>
  <c r="K45" i="8"/>
  <c r="K46" i="8"/>
  <c r="K47" i="8"/>
  <c r="K48" i="8"/>
  <c r="K49" i="8"/>
  <c r="K50" i="8"/>
  <c r="J15" i="8"/>
  <c r="R15" i="8" s="1"/>
  <c r="J16" i="8"/>
  <c r="R16" i="8" s="1"/>
  <c r="J17" i="8"/>
  <c r="R17" i="8" s="1"/>
  <c r="J18" i="8"/>
  <c r="R18" i="8" s="1"/>
  <c r="J19" i="8"/>
  <c r="R19" i="8" s="1"/>
  <c r="J20" i="8"/>
  <c r="R20" i="8" s="1"/>
  <c r="J21" i="8"/>
  <c r="R21" i="8" s="1"/>
  <c r="J22" i="8"/>
  <c r="R22" i="8" s="1"/>
  <c r="J23" i="8"/>
  <c r="R23" i="8" s="1"/>
  <c r="J24" i="8"/>
  <c r="R24" i="8" s="1"/>
  <c r="J25" i="8"/>
  <c r="R25" i="8" s="1"/>
  <c r="J26" i="8"/>
  <c r="R26" i="8" s="1"/>
  <c r="J27" i="8"/>
  <c r="C7" i="9" s="1"/>
  <c r="C11" i="9" s="1"/>
  <c r="J28" i="8"/>
  <c r="J29" i="8"/>
  <c r="J30" i="8"/>
  <c r="J31" i="8"/>
  <c r="J32" i="8"/>
  <c r="J33" i="8"/>
  <c r="J34" i="8"/>
  <c r="J35" i="8"/>
  <c r="J36" i="8"/>
  <c r="J37" i="8"/>
  <c r="J38" i="8"/>
  <c r="J39" i="8"/>
  <c r="J40" i="8"/>
  <c r="D7" i="9" s="1"/>
  <c r="D11" i="9" s="1"/>
  <c r="J41" i="8"/>
  <c r="J42" i="8"/>
  <c r="J43" i="8"/>
  <c r="J44" i="8"/>
  <c r="J45" i="8"/>
  <c r="J46" i="8"/>
  <c r="J47" i="8"/>
  <c r="J48" i="8"/>
  <c r="J49" i="8"/>
  <c r="J50" i="8"/>
  <c r="C16" i="14"/>
  <c r="D16" i="14" s="1"/>
  <c r="C17" i="14"/>
  <c r="N15" i="8"/>
  <c r="N16" i="8"/>
  <c r="N27" i="8"/>
  <c r="N28" i="8" s="1"/>
  <c r="N29" i="8" s="1"/>
  <c r="O15" i="8"/>
  <c r="N39" i="8"/>
  <c r="N40" i="8" s="1"/>
  <c r="N41" i="8" s="1"/>
  <c r="N42" i="8" s="1"/>
  <c r="N43" i="8" s="1"/>
  <c r="N17" i="8"/>
  <c r="N18" i="8" s="1"/>
  <c r="N30" i="8"/>
  <c r="N31" i="8" s="1"/>
  <c r="N32" i="8"/>
  <c r="N33" i="8" s="1"/>
  <c r="N34" i="8"/>
  <c r="N35" i="8" s="1"/>
  <c r="N36" i="8"/>
  <c r="N37" i="8" s="1"/>
  <c r="N38" i="8"/>
  <c r="O16" i="8"/>
  <c r="O17" i="8" s="1"/>
  <c r="O18" i="8" s="1"/>
  <c r="N44" i="8"/>
  <c r="N45" i="8" s="1"/>
  <c r="N46" i="8" s="1"/>
  <c r="N47" i="8" s="1"/>
  <c r="N48" i="8" s="1"/>
  <c r="N49" i="8" s="1"/>
  <c r="N50" i="8"/>
  <c r="B7" i="9" l="1"/>
  <c r="B11" i="9" s="1"/>
  <c r="D12" i="9" s="1"/>
  <c r="C14" i="9"/>
  <c r="O50" i="4"/>
  <c r="O49" i="4"/>
  <c r="O48" i="4"/>
  <c r="O47" i="4"/>
  <c r="O46" i="4"/>
  <c r="Q46" i="4" s="1"/>
  <c r="O45" i="4"/>
  <c r="O44" i="4"/>
  <c r="O43" i="4"/>
  <c r="O42" i="4"/>
  <c r="Q42" i="4" s="1"/>
  <c r="O41" i="4"/>
  <c r="O40" i="4"/>
  <c r="O39" i="4"/>
  <c r="O38" i="4"/>
  <c r="O37" i="4"/>
  <c r="O36" i="4"/>
  <c r="O35" i="4"/>
  <c r="O34" i="4"/>
  <c r="Q34" i="4" s="1"/>
  <c r="O33" i="4"/>
  <c r="O32" i="4"/>
  <c r="O31" i="4"/>
  <c r="O30" i="4"/>
  <c r="Q30" i="4" s="1"/>
  <c r="O29" i="4"/>
  <c r="O28" i="4"/>
  <c r="O27" i="4"/>
  <c r="O26" i="4"/>
  <c r="O25" i="4"/>
  <c r="O24" i="4"/>
  <c r="O23" i="4"/>
  <c r="O22" i="4"/>
  <c r="Q22" i="4" s="1"/>
  <c r="O21" i="4"/>
  <c r="O20" i="4"/>
  <c r="O19" i="4"/>
  <c r="O18" i="4"/>
  <c r="Q18" i="4" s="1"/>
  <c r="O17" i="4"/>
  <c r="O16" i="4"/>
  <c r="O15" i="4"/>
  <c r="B16" i="6"/>
  <c r="B7" i="6"/>
  <c r="C7" i="6"/>
  <c r="B6" i="6"/>
  <c r="C6" i="6"/>
  <c r="B15" i="5"/>
  <c r="B6" i="5"/>
  <c r="C6" i="5"/>
  <c r="D6" i="5"/>
  <c r="B5" i="5"/>
  <c r="C5" i="5"/>
  <c r="D5" i="5"/>
  <c r="AE15" i="4"/>
  <c r="AE16" i="4"/>
  <c r="AE17" i="4"/>
  <c r="AE18" i="4"/>
  <c r="AE19" i="4"/>
  <c r="AE20" i="4"/>
  <c r="AE21" i="4"/>
  <c r="AE22" i="4"/>
  <c r="AE23" i="4"/>
  <c r="AE24" i="4"/>
  <c r="AE25" i="4"/>
  <c r="AE26" i="4"/>
  <c r="AD15" i="4"/>
  <c r="AD16" i="4"/>
  <c r="AD17" i="4"/>
  <c r="AD18" i="4"/>
  <c r="AD19" i="4"/>
  <c r="AD20" i="4"/>
  <c r="AD21" i="4"/>
  <c r="AD22" i="4"/>
  <c r="AD23" i="4"/>
  <c r="AD24" i="4"/>
  <c r="AD25" i="4"/>
  <c r="AD26" i="4"/>
  <c r="AC15" i="4"/>
  <c r="AC16" i="4"/>
  <c r="AC17" i="4"/>
  <c r="AC18" i="4"/>
  <c r="AC19" i="4"/>
  <c r="AC20" i="4"/>
  <c r="AC21" i="4"/>
  <c r="AC22" i="4"/>
  <c r="AC23" i="4"/>
  <c r="AC24" i="4"/>
  <c r="AC25" i="4"/>
  <c r="AC26" i="4"/>
  <c r="AB15" i="4"/>
  <c r="AB16" i="4"/>
  <c r="AB17" i="4"/>
  <c r="AB18" i="4"/>
  <c r="AB19" i="4"/>
  <c r="AB20" i="4"/>
  <c r="AB21" i="4"/>
  <c r="AB22" i="4"/>
  <c r="AB23" i="4"/>
  <c r="AB24" i="4"/>
  <c r="AB25" i="4"/>
  <c r="AA15" i="4"/>
  <c r="AA16" i="4"/>
  <c r="AA17" i="4"/>
  <c r="AA18" i="4"/>
  <c r="AA19" i="4"/>
  <c r="AA20" i="4"/>
  <c r="AA21" i="4"/>
  <c r="AA22" i="4"/>
  <c r="AA23" i="4"/>
  <c r="AA24" i="4"/>
  <c r="AA25" i="4"/>
  <c r="Z15" i="4"/>
  <c r="Z16" i="4"/>
  <c r="Z17" i="4"/>
  <c r="Z18" i="4"/>
  <c r="Z19" i="4"/>
  <c r="Z20" i="4"/>
  <c r="Z21" i="4"/>
  <c r="Z22" i="4"/>
  <c r="Z23" i="4"/>
  <c r="Z24" i="4"/>
  <c r="Z25" i="4"/>
  <c r="Y15" i="4"/>
  <c r="Y16" i="4"/>
  <c r="Y17" i="4"/>
  <c r="Y18" i="4"/>
  <c r="Y19" i="4"/>
  <c r="Y20" i="4"/>
  <c r="Y21" i="4"/>
  <c r="Y22" i="4"/>
  <c r="Y23" i="4"/>
  <c r="Y24" i="4"/>
  <c r="Y25" i="4"/>
  <c r="X15" i="4"/>
  <c r="X16" i="4"/>
  <c r="X17" i="4"/>
  <c r="X18" i="4"/>
  <c r="X19" i="4"/>
  <c r="X20" i="4"/>
  <c r="X21" i="4"/>
  <c r="X22" i="4"/>
  <c r="X23" i="4"/>
  <c r="X24" i="4"/>
  <c r="X25" i="4"/>
  <c r="X26" i="4"/>
  <c r="W15" i="4"/>
  <c r="W16" i="4"/>
  <c r="W17" i="4"/>
  <c r="W18" i="4"/>
  <c r="W19" i="4"/>
  <c r="W20" i="4"/>
  <c r="W21" i="4"/>
  <c r="W22" i="4"/>
  <c r="W23" i="4"/>
  <c r="W24" i="4"/>
  <c r="W25" i="4"/>
  <c r="V15" i="4"/>
  <c r="V16" i="4"/>
  <c r="V17" i="4"/>
  <c r="V18" i="4"/>
  <c r="V19" i="4"/>
  <c r="V20" i="4"/>
  <c r="V21" i="4"/>
  <c r="V22" i="4"/>
  <c r="V23" i="4"/>
  <c r="V24" i="4"/>
  <c r="V25" i="4"/>
  <c r="V26" i="4"/>
  <c r="S15" i="4"/>
  <c r="S16" i="4"/>
  <c r="S17" i="4"/>
  <c r="S18" i="4"/>
  <c r="S19" i="4"/>
  <c r="S20" i="4"/>
  <c r="S21" i="4"/>
  <c r="S22" i="4"/>
  <c r="S23" i="4"/>
  <c r="S24" i="4"/>
  <c r="S25" i="4"/>
  <c r="S26" i="4"/>
  <c r="P15" i="4"/>
  <c r="U15" i="4" s="1"/>
  <c r="P16" i="4"/>
  <c r="U16" i="4" s="1"/>
  <c r="P17" i="4"/>
  <c r="U17" i="4" s="1"/>
  <c r="P18" i="4"/>
  <c r="U18" i="4" s="1"/>
  <c r="P19" i="4"/>
  <c r="U19" i="4" s="1"/>
  <c r="P20" i="4"/>
  <c r="U20" i="4" s="1"/>
  <c r="P21" i="4"/>
  <c r="U21" i="4" s="1"/>
  <c r="P22" i="4"/>
  <c r="U22" i="4" s="1"/>
  <c r="P23" i="4"/>
  <c r="U23" i="4" s="1"/>
  <c r="P24" i="4"/>
  <c r="U24" i="4" s="1"/>
  <c r="P25" i="4"/>
  <c r="U25" i="4" s="1"/>
  <c r="P26" i="4"/>
  <c r="U26" i="4" s="1"/>
  <c r="P27" i="4"/>
  <c r="U27" i="4" s="1"/>
  <c r="P28" i="4"/>
  <c r="U28" i="4" s="1"/>
  <c r="P29" i="4"/>
  <c r="U29" i="4" s="1"/>
  <c r="P30" i="4"/>
  <c r="U30" i="4" s="1"/>
  <c r="P31" i="4"/>
  <c r="U31" i="4" s="1"/>
  <c r="P32" i="4"/>
  <c r="U32" i="4" s="1"/>
  <c r="P33" i="4"/>
  <c r="U33" i="4" s="1"/>
  <c r="P34" i="4"/>
  <c r="U34" i="4" s="1"/>
  <c r="P35" i="4"/>
  <c r="U35" i="4" s="1"/>
  <c r="P36" i="4"/>
  <c r="U36" i="4" s="1"/>
  <c r="P37" i="4"/>
  <c r="U37" i="4" s="1"/>
  <c r="P38" i="4"/>
  <c r="U38" i="4" s="1"/>
  <c r="P39" i="4"/>
  <c r="U39" i="4" s="1"/>
  <c r="P40" i="4"/>
  <c r="U40" i="4" s="1"/>
  <c r="P41" i="4"/>
  <c r="U41" i="4" s="1"/>
  <c r="P42" i="4"/>
  <c r="U42" i="4" s="1"/>
  <c r="P43" i="4"/>
  <c r="U43" i="4" s="1"/>
  <c r="P44" i="4"/>
  <c r="U44" i="4" s="1"/>
  <c r="P45" i="4"/>
  <c r="U45" i="4" s="1"/>
  <c r="P46" i="4"/>
  <c r="U46" i="4" s="1"/>
  <c r="P47" i="4"/>
  <c r="U47" i="4" s="1"/>
  <c r="P48" i="4"/>
  <c r="U48" i="4" s="1"/>
  <c r="P49" i="4"/>
  <c r="U49" i="4" s="1"/>
  <c r="P50" i="4"/>
  <c r="U50" i="4" s="1"/>
  <c r="Q15" i="4"/>
  <c r="Q25" i="4"/>
  <c r="Q26" i="4"/>
  <c r="Q33" i="4"/>
  <c r="Q38" i="4"/>
  <c r="Q40"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J15" i="4"/>
  <c r="B7" i="5" s="1"/>
  <c r="J16" i="4"/>
  <c r="J17" i="4"/>
  <c r="J18" i="4"/>
  <c r="J19" i="4"/>
  <c r="J20" i="4"/>
  <c r="J21" i="4"/>
  <c r="J22" i="4"/>
  <c r="J23" i="4"/>
  <c r="J24" i="4"/>
  <c r="J25" i="4"/>
  <c r="J26" i="4"/>
  <c r="J27" i="4"/>
  <c r="C7" i="5" s="1"/>
  <c r="J28" i="4"/>
  <c r="J29" i="4"/>
  <c r="J30" i="4"/>
  <c r="J31" i="4"/>
  <c r="J32" i="4"/>
  <c r="J33" i="4"/>
  <c r="J34" i="4"/>
  <c r="J35" i="4"/>
  <c r="J36" i="4"/>
  <c r="J37" i="4"/>
  <c r="J38" i="4"/>
  <c r="J39" i="4"/>
  <c r="J40" i="4"/>
  <c r="J41" i="4"/>
  <c r="J42" i="4"/>
  <c r="J43" i="4"/>
  <c r="J44" i="4"/>
  <c r="J45" i="4"/>
  <c r="J46" i="4"/>
  <c r="J47" i="4"/>
  <c r="J48" i="4"/>
  <c r="J49" i="4"/>
  <c r="J50" i="4"/>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 r="I5" i="1"/>
  <c r="I4" i="1"/>
  <c r="I3" i="1"/>
  <c r="I2" i="1"/>
  <c r="O19" i="8"/>
  <c r="C15" i="9"/>
  <c r="N19" i="8"/>
  <c r="R15" i="4"/>
  <c r="C12" i="9" l="1"/>
  <c r="Q35" i="4"/>
  <c r="W40" i="4" s="1"/>
  <c r="Q23" i="4"/>
  <c r="Q31" i="4"/>
  <c r="Q16" i="4"/>
  <c r="AA26" i="4" s="1"/>
  <c r="Q20" i="4"/>
  <c r="AB30" i="4" s="1"/>
  <c r="AE30" i="4" s="1"/>
  <c r="Q24" i="4"/>
  <c r="C10" i="5"/>
  <c r="Q32" i="4"/>
  <c r="Q36" i="4"/>
  <c r="C11" i="6"/>
  <c r="Q44" i="4"/>
  <c r="Q48" i="4"/>
  <c r="C8" i="6"/>
  <c r="D14" i="9"/>
  <c r="D12" i="5"/>
  <c r="Q49" i="4"/>
  <c r="Q41" i="4"/>
  <c r="V50" i="4" s="1"/>
  <c r="Q21" i="4"/>
  <c r="B10" i="5"/>
  <c r="B13" i="6"/>
  <c r="B14" i="6" s="1"/>
  <c r="Q43" i="4"/>
  <c r="Q19" i="4"/>
  <c r="D7" i="5"/>
  <c r="Q45" i="4"/>
  <c r="Q17" i="4"/>
  <c r="B15" i="6" s="1"/>
  <c r="C12" i="5"/>
  <c r="B8" i="6"/>
  <c r="Q50" i="4"/>
  <c r="Q37" i="4"/>
  <c r="AB37" i="4" s="1"/>
  <c r="AE37" i="4" s="1"/>
  <c r="Q29" i="4"/>
  <c r="B12" i="5"/>
  <c r="C13" i="6"/>
  <c r="C14" i="6" s="1"/>
  <c r="Q47" i="4"/>
  <c r="B11" i="6"/>
  <c r="Q28" i="4"/>
  <c r="Q39" i="4"/>
  <c r="Q27" i="4"/>
  <c r="AA31" i="4" s="1"/>
  <c r="AD31" i="4" s="1"/>
  <c r="D10" i="5"/>
  <c r="D11" i="5" s="1"/>
  <c r="B14" i="5"/>
  <c r="C12" i="6"/>
  <c r="B12" i="6"/>
  <c r="D13" i="5"/>
  <c r="C13" i="5"/>
  <c r="B13" i="5"/>
  <c r="C11" i="5"/>
  <c r="B11" i="5"/>
  <c r="AA30" i="4"/>
  <c r="AD30" i="4" s="1"/>
  <c r="AA32" i="4"/>
  <c r="AD32" i="4" s="1"/>
  <c r="AB34" i="4"/>
  <c r="AE34" i="4" s="1"/>
  <c r="AB29" i="4"/>
  <c r="AE29" i="4" s="1"/>
  <c r="AB35" i="4"/>
  <c r="AE35" i="4" s="1"/>
  <c r="AA33" i="4"/>
  <c r="AD33" i="4" s="1"/>
  <c r="Z28" i="4"/>
  <c r="AC28" i="4" s="1"/>
  <c r="Y46" i="4"/>
  <c r="Y42" i="4"/>
  <c r="Z31" i="4"/>
  <c r="AC31" i="4" s="1"/>
  <c r="Y50" i="4"/>
  <c r="Z30" i="4"/>
  <c r="AC30" i="4" s="1"/>
  <c r="Y38" i="4"/>
  <c r="Y47" i="4"/>
  <c r="Y43" i="4"/>
  <c r="Y39" i="4"/>
  <c r="Y35" i="4"/>
  <c r="Y31" i="4"/>
  <c r="Y27" i="4"/>
  <c r="Y34" i="4"/>
  <c r="Y30" i="4"/>
  <c r="Y26" i="4"/>
  <c r="Y49" i="4"/>
  <c r="Y45" i="4"/>
  <c r="Y41" i="4"/>
  <c r="Y37" i="4"/>
  <c r="Y33" i="4"/>
  <c r="Y29" i="4"/>
  <c r="Y48" i="4"/>
  <c r="Y44" i="4"/>
  <c r="Y40" i="4"/>
  <c r="Y36" i="4"/>
  <c r="Y32" i="4"/>
  <c r="Y28" i="4"/>
  <c r="X34" i="4"/>
  <c r="X29" i="4"/>
  <c r="W43" i="4"/>
  <c r="W34" i="4"/>
  <c r="W29" i="4"/>
  <c r="V49" i="4"/>
  <c r="V36" i="4"/>
  <c r="V31" i="4"/>
  <c r="T50" i="4"/>
  <c r="T38" i="4"/>
  <c r="T26" i="4"/>
  <c r="T49" i="4"/>
  <c r="T45" i="4"/>
  <c r="T41" i="4"/>
  <c r="T37" i="4"/>
  <c r="T33" i="4"/>
  <c r="T29" i="4"/>
  <c r="T25" i="4"/>
  <c r="T21" i="4"/>
  <c r="T17" i="4"/>
  <c r="T42" i="4"/>
  <c r="T34" i="4"/>
  <c r="T18" i="4"/>
  <c r="T48" i="4"/>
  <c r="T44" i="4"/>
  <c r="T40" i="4"/>
  <c r="T36" i="4"/>
  <c r="T32" i="4"/>
  <c r="T28" i="4"/>
  <c r="T24" i="4"/>
  <c r="T20" i="4"/>
  <c r="T16" i="4"/>
  <c r="T46" i="4"/>
  <c r="T30" i="4"/>
  <c r="T22" i="4"/>
  <c r="T47" i="4"/>
  <c r="T43" i="4"/>
  <c r="T39" i="4"/>
  <c r="T35" i="4"/>
  <c r="T31" i="4"/>
  <c r="T27" i="4"/>
  <c r="T23" i="4"/>
  <c r="T19" i="4"/>
  <c r="T15" i="4"/>
  <c r="D13" i="9"/>
  <c r="C13" i="9"/>
  <c r="R16" i="4"/>
  <c r="D15" i="9"/>
  <c r="N20" i="8"/>
  <c r="O20" i="8"/>
  <c r="W32" i="4" l="1"/>
  <c r="X33" i="4"/>
  <c r="Z35" i="4"/>
  <c r="AC35" i="4" s="1"/>
  <c r="AB28" i="4"/>
  <c r="AE28" i="4" s="1"/>
  <c r="AA34" i="4"/>
  <c r="AD34" i="4" s="1"/>
  <c r="Z45" i="4"/>
  <c r="AC45" i="4" s="1"/>
  <c r="AA43" i="4"/>
  <c r="AD43" i="4" s="1"/>
  <c r="V30" i="4"/>
  <c r="V40" i="4"/>
  <c r="W38" i="4"/>
  <c r="Z32" i="4"/>
  <c r="AC32" i="4" s="1"/>
  <c r="AB38" i="4"/>
  <c r="AE38" i="4" s="1"/>
  <c r="V34" i="4"/>
  <c r="V29" i="4"/>
  <c r="W36" i="4"/>
  <c r="W49" i="4"/>
  <c r="W31" i="4"/>
  <c r="X36" i="4"/>
  <c r="X35" i="4"/>
  <c r="Z38" i="4"/>
  <c r="AC38" i="4" s="1"/>
  <c r="Z36" i="4"/>
  <c r="AC36" i="4" s="1"/>
  <c r="AB27" i="4"/>
  <c r="AE27" i="4" s="1"/>
  <c r="AB32" i="4"/>
  <c r="AE32" i="4" s="1"/>
  <c r="AB45" i="4"/>
  <c r="AE45" i="4" s="1"/>
  <c r="Z29" i="4"/>
  <c r="AC29" i="4" s="1"/>
  <c r="AA38" i="4"/>
  <c r="AD38" i="4" s="1"/>
  <c r="V35" i="4"/>
  <c r="W33" i="4"/>
  <c r="X32" i="4"/>
  <c r="X27" i="4"/>
  <c r="Z34" i="4"/>
  <c r="AC34" i="4" s="1"/>
  <c r="AA37" i="4"/>
  <c r="AD37" i="4" s="1"/>
  <c r="AB33" i="4"/>
  <c r="AE33" i="4" s="1"/>
  <c r="AA36" i="4"/>
  <c r="AD36" i="4" s="1"/>
  <c r="V42" i="4"/>
  <c r="V32" i="4"/>
  <c r="V33" i="4"/>
  <c r="W30" i="4"/>
  <c r="W35" i="4"/>
  <c r="X31" i="4"/>
  <c r="X30" i="4"/>
  <c r="AA29" i="4"/>
  <c r="AD29" i="4" s="1"/>
  <c r="AB31" i="4"/>
  <c r="AE31" i="4" s="1"/>
  <c r="AB36" i="4"/>
  <c r="AE36" i="4" s="1"/>
  <c r="AA28" i="4"/>
  <c r="AD28" i="4" s="1"/>
  <c r="Z33" i="4"/>
  <c r="AC33" i="4" s="1"/>
  <c r="AA35" i="4"/>
  <c r="AD35" i="4" s="1"/>
  <c r="V27" i="4"/>
  <c r="V28" i="4"/>
  <c r="W28" i="4"/>
  <c r="W26" i="4"/>
  <c r="W27" i="4"/>
  <c r="X28" i="4"/>
  <c r="Z27" i="4"/>
  <c r="AC27" i="4" s="1"/>
  <c r="AA47" i="4"/>
  <c r="AD47" i="4" s="1"/>
  <c r="AA41" i="4"/>
  <c r="AD41" i="4" s="1"/>
  <c r="AB43" i="4"/>
  <c r="AE43" i="4" s="1"/>
  <c r="AB26" i="4"/>
  <c r="AB50" i="4"/>
  <c r="AE50" i="4" s="1"/>
  <c r="Z37" i="4"/>
  <c r="AC37" i="4" s="1"/>
  <c r="AA27" i="4"/>
  <c r="AD27" i="4" s="1"/>
  <c r="V38" i="4"/>
  <c r="V37" i="4"/>
  <c r="W37" i="4"/>
  <c r="X37" i="4"/>
  <c r="X38" i="4"/>
  <c r="Z26" i="4"/>
  <c r="Z42" i="4"/>
  <c r="AC42" i="4" s="1"/>
  <c r="V46" i="4"/>
  <c r="V39" i="4"/>
  <c r="X40" i="4"/>
  <c r="X41" i="4"/>
  <c r="W47" i="4"/>
  <c r="Z40" i="4"/>
  <c r="AC40" i="4" s="1"/>
  <c r="AA45" i="4"/>
  <c r="AD45" i="4" s="1"/>
  <c r="AB47" i="4"/>
  <c r="AE47" i="4" s="1"/>
  <c r="AB40" i="4"/>
  <c r="AE40" i="4" s="1"/>
  <c r="AB49" i="4"/>
  <c r="AE49" i="4" s="1"/>
  <c r="Z49" i="4"/>
  <c r="AC49" i="4" s="1"/>
  <c r="AA42" i="4"/>
  <c r="AD42" i="4" s="1"/>
  <c r="Z47" i="4"/>
  <c r="AC47" i="4" s="1"/>
  <c r="V44" i="4"/>
  <c r="W44" i="4"/>
  <c r="W42" i="4"/>
  <c r="X47" i="4"/>
  <c r="X43" i="4"/>
  <c r="X39" i="4"/>
  <c r="X42" i="4"/>
  <c r="Z46" i="4"/>
  <c r="AC46" i="4" s="1"/>
  <c r="V43" i="4"/>
  <c r="V48" i="4"/>
  <c r="V41" i="4"/>
  <c r="W48" i="4"/>
  <c r="W41" i="4"/>
  <c r="W46" i="4"/>
  <c r="X44" i="4"/>
  <c r="X45" i="4"/>
  <c r="X46" i="4"/>
  <c r="Z39" i="4"/>
  <c r="AC39" i="4" s="1"/>
  <c r="Z44" i="4"/>
  <c r="AC44" i="4" s="1"/>
  <c r="AA49" i="4"/>
  <c r="AD49" i="4" s="1"/>
  <c r="AB44" i="4"/>
  <c r="AE44" i="4" s="1"/>
  <c r="AB42" i="4"/>
  <c r="AE42" i="4" s="1"/>
  <c r="D14" i="5"/>
  <c r="D18" i="5" s="1"/>
  <c r="AA39" i="4"/>
  <c r="AD39" i="4" s="1"/>
  <c r="AA46" i="4"/>
  <c r="AD46" i="4" s="1"/>
  <c r="AA40" i="4"/>
  <c r="AD40" i="4" s="1"/>
  <c r="V47" i="4"/>
  <c r="V45" i="4"/>
  <c r="W45" i="4"/>
  <c r="W50" i="4"/>
  <c r="W39" i="4"/>
  <c r="X48" i="4"/>
  <c r="X49" i="4"/>
  <c r="X50" i="4"/>
  <c r="Z43" i="4"/>
  <c r="AC43" i="4" s="1"/>
  <c r="Z48" i="4"/>
  <c r="AC48" i="4" s="1"/>
  <c r="AA50" i="4"/>
  <c r="AD50" i="4" s="1"/>
  <c r="AB39" i="4"/>
  <c r="AE39" i="4" s="1"/>
  <c r="AB48" i="4"/>
  <c r="AE48" i="4" s="1"/>
  <c r="AB41" i="4"/>
  <c r="AE41" i="4" s="1"/>
  <c r="AB46" i="4"/>
  <c r="AE46" i="4" s="1"/>
  <c r="Z41" i="4"/>
  <c r="AC41" i="4" s="1"/>
  <c r="AA48" i="4"/>
  <c r="AD48" i="4" s="1"/>
  <c r="Z50" i="4"/>
  <c r="AC50" i="4" s="1"/>
  <c r="C14" i="5"/>
  <c r="C15" i="6"/>
  <c r="C16" i="6" s="1"/>
  <c r="AA44" i="4"/>
  <c r="AD44" i="4" s="1"/>
  <c r="O21" i="8"/>
  <c r="C17" i="6"/>
  <c r="N21" i="8"/>
  <c r="R17" i="4"/>
  <c r="R18" i="4" s="1"/>
  <c r="R19" i="4" s="1"/>
  <c r="D21" i="5"/>
  <c r="O22" i="8"/>
  <c r="D15" i="5" l="1"/>
  <c r="C18" i="5"/>
  <c r="C15" i="5"/>
  <c r="O23" i="8"/>
  <c r="C16" i="5"/>
  <c r="C21" i="5"/>
  <c r="N22" i="8"/>
  <c r="R20" i="4"/>
  <c r="D20" i="5"/>
  <c r="D16" i="5"/>
  <c r="D17" i="5" s="1"/>
  <c r="C20" i="5"/>
  <c r="C19" i="5"/>
  <c r="C17" i="5"/>
  <c r="R21" i="4"/>
  <c r="N23" i="8"/>
  <c r="D19" i="5"/>
  <c r="O24" i="8"/>
  <c r="O25" i="8"/>
  <c r="O26" i="8" s="1"/>
  <c r="N24" i="8"/>
  <c r="R22" i="4"/>
  <c r="R23" i="4" s="1"/>
  <c r="R24" i="4" s="1"/>
  <c r="R25" i="4" s="1"/>
  <c r="R26" i="4" s="1"/>
  <c r="R31" i="8" l="1"/>
  <c r="R43" i="8"/>
  <c r="P40" i="8"/>
  <c r="R33" i="8"/>
  <c r="Q40" i="8"/>
  <c r="R35" i="8"/>
  <c r="R39" i="8"/>
  <c r="Q32" i="8"/>
  <c r="P41" i="8"/>
  <c r="Q45" i="8"/>
  <c r="Q41" i="8"/>
  <c r="P31" i="8"/>
  <c r="Q28" i="8"/>
  <c r="R50" i="8"/>
  <c r="Q27" i="8"/>
  <c r="Q29" i="8"/>
  <c r="R36" i="8"/>
  <c r="P43" i="8"/>
  <c r="Q34" i="8"/>
  <c r="P30" i="8"/>
  <c r="Q39" i="8"/>
  <c r="R38" i="8"/>
  <c r="Q30" i="8"/>
  <c r="P44" i="8"/>
  <c r="R28" i="8"/>
  <c r="P36" i="8"/>
  <c r="Q36" i="8"/>
  <c r="P42" i="8"/>
  <c r="P33" i="8"/>
  <c r="R27" i="8"/>
  <c r="Q46" i="8"/>
  <c r="Q42" i="8"/>
  <c r="P50" i="8"/>
  <c r="Q50" i="8"/>
  <c r="P34" i="8"/>
  <c r="Q31" i="8"/>
  <c r="R37" i="8"/>
  <c r="P32" i="8"/>
  <c r="R48" i="8"/>
  <c r="Q37" i="8"/>
  <c r="R47" i="8"/>
  <c r="R29" i="8"/>
  <c r="R45" i="8"/>
  <c r="Q33" i="8"/>
  <c r="R41" i="8"/>
  <c r="P37" i="8"/>
  <c r="Q38" i="8"/>
  <c r="P27" i="8"/>
  <c r="P48" i="8"/>
  <c r="R44" i="8"/>
  <c r="R30" i="8"/>
  <c r="R34" i="8"/>
  <c r="P35" i="8"/>
  <c r="P38" i="8"/>
  <c r="R49" i="8"/>
  <c r="P46" i="8"/>
  <c r="P49" i="8"/>
  <c r="R46" i="8"/>
  <c r="Q47" i="8"/>
  <c r="R42" i="8"/>
  <c r="R40" i="8"/>
  <c r="P29" i="8"/>
  <c r="Q43" i="8"/>
  <c r="P39" i="8"/>
  <c r="P28" i="8"/>
  <c r="Q35" i="8"/>
  <c r="Q49" i="8"/>
  <c r="R32" i="8"/>
  <c r="Q44" i="8"/>
  <c r="P45" i="8"/>
  <c r="P47" i="8"/>
  <c r="Q48" i="8"/>
  <c r="R27" i="4"/>
  <c r="N25" i="8"/>
  <c r="R28" i="4"/>
  <c r="R29" i="4"/>
  <c r="R30" i="4"/>
  <c r="R31" i="4"/>
  <c r="R32" i="4"/>
  <c r="R33" i="4"/>
  <c r="R34" i="4"/>
  <c r="R35" i="4"/>
  <c r="R36" i="4"/>
  <c r="R37" i="4"/>
  <c r="R38" i="4"/>
  <c r="R39" i="4"/>
  <c r="R40" i="4"/>
  <c r="R41" i="4"/>
  <c r="R42" i="4"/>
  <c r="R43" i="4"/>
  <c r="R44" i="4"/>
  <c r="R45" i="4"/>
  <c r="R46" i="4"/>
  <c r="R47" i="4"/>
  <c r="R48" i="4"/>
  <c r="R49" i="4"/>
  <c r="R50" i="4"/>
  <c r="S50" i="4" l="1"/>
  <c r="S49" i="4"/>
  <c r="S48" i="4"/>
  <c r="S47" i="4"/>
  <c r="S46" i="4"/>
  <c r="S45" i="4"/>
  <c r="S44" i="4"/>
  <c r="S43" i="4"/>
  <c r="S42" i="4"/>
  <c r="S41" i="4"/>
  <c r="S40" i="4"/>
  <c r="S39" i="4"/>
  <c r="S38" i="4"/>
  <c r="S37" i="4"/>
  <c r="S36" i="4"/>
  <c r="S35" i="4"/>
  <c r="S34" i="4"/>
  <c r="S33" i="4"/>
  <c r="S32" i="4"/>
  <c r="S31" i="4"/>
  <c r="S30" i="4"/>
  <c r="S29" i="4"/>
  <c r="S28" i="4"/>
  <c r="S27" i="4"/>
  <c r="D9" i="9"/>
  <c r="D8" i="9"/>
  <c r="C8" i="9"/>
  <c r="C9" i="9"/>
  <c r="N26" i="8"/>
</calcChain>
</file>

<file path=xl/sharedStrings.xml><?xml version="1.0" encoding="utf-8"?>
<sst xmlns="http://schemas.openxmlformats.org/spreadsheetml/2006/main" count="649" uniqueCount="184">
  <si>
    <t>Date</t>
  </si>
  <si>
    <t>Electricity (kwh)</t>
  </si>
  <si>
    <t>Electricity (MMBTU)</t>
  </si>
  <si>
    <t>Natural Gas (therms)</t>
  </si>
  <si>
    <t>Natural Gas (MMBTU)</t>
  </si>
  <si>
    <t>Production</t>
  </si>
  <si>
    <t>HDD</t>
  </si>
  <si>
    <t>CDD</t>
  </si>
  <si>
    <t>Period</t>
  </si>
  <si>
    <t>Column1</t>
  </si>
  <si>
    <t>The best model for the data provided is #4</t>
  </si>
  <si>
    <t>1 Electricity (MMBTU) Models</t>
  </si>
  <si>
    <t>The table below shows all possible models for 1 Electricity (MMBTU) consumption. The model highlighted in green in the table below is the model with the highest Adjusted R2 value. If "true" is shown in column B, the model is designated as valid. A model is considered valid if the model p-value is less than 0.10. The model highlighted in green is used to calculate the adjusted data on the EnPI Results, SEnPI Results, and Adjusted Data tabs. If the model is switched, the corresponding data will be updated with the model selected. The models can be switched using the "Change Models" icon in the top navigation.</t>
  </si>
  <si>
    <t>Model Number</t>
  </si>
  <si>
    <t>Model is Appropriate for SEP</t>
  </si>
  <si>
    <t>Variables</t>
  </si>
  <si>
    <t>SEP Validation Check</t>
  </si>
  <si>
    <t>Coefficients</t>
  </si>
  <si>
    <t>Variable Std. Error</t>
  </si>
  <si>
    <t>Variable p-Values</t>
  </si>
  <si>
    <t>R2</t>
  </si>
  <si>
    <t>Adjusted R2</t>
  </si>
  <si>
    <t>Model p-Value</t>
  </si>
  <si>
    <t>RMSError</t>
  </si>
  <si>
    <t>Residual</t>
  </si>
  <si>
    <t>AIC</t>
  </si>
  <si>
    <t>Formula</t>
  </si>
  <si>
    <t>(0.087112457262 * [Production]) + (-4.212255263005 * [HDD]) + 32213.36</t>
  </si>
  <si>
    <t>Pass</t>
  </si>
  <si>
    <t>(0.070110579228 * [Production]) + (31.403056165309 * [CDD]) + 32028.73</t>
  </si>
  <si>
    <t>(0.082419680082 * [Production]) + (-3.270400704511 * [HDD]) + (12.723289012891 * [CDD]) + 32148.52</t>
  </si>
  <si>
    <t>Fail</t>
  </si>
  <si>
    <t>(-2.420949680774 * [HDD]) + (19.146165375295 * [CDD]) + 50613.85</t>
  </si>
  <si>
    <t>(-3.805272294375 * [HDD]) + 52343.24</t>
  </si>
  <si>
    <t>The plots below show the actual energy consumption versus the independent variables for the model year.</t>
  </si>
  <si>
    <t>The line labeled "Actuals"  in the plot below has not been adjusted. This is the original data entered by the user. The line labeled "Model" is the predicted energy consumption using the model selected above.</t>
  </si>
  <si>
    <t>(32.793373094234 * [CDD]) + 48397.76</t>
  </si>
  <si>
    <t>(0.075018981322 * [Production]) + 32158.45</t>
  </si>
  <si>
    <t>1 Natural Gas (MMBTU) Models</t>
  </si>
  <si>
    <t>The table below shows all possible models for 1 Natural Gas (MMBTU) consumption. The model highlighted in green in the table below is the model with the highest Adjusted R2 value. If "true" is shown in column B, the model is designated as valid. A model is considered valid if the model p-value is less than 0.10. The model highlighted in green is used to calculate the adjusted data on the EnPI Results, SEnPI Results, and Adjusted Data tabs. If the model is switched, the corresponding data will be updated with the model selected. The models can be switched using the "Change Models" icon in the top navigation.</t>
  </si>
  <si>
    <t>(0.092469133403 * [Production]) + (7.498311362437 * [HDD]) + -7722.27</t>
  </si>
  <si>
    <t>(7.930320326502 * [HDD]) + 13645.43</t>
  </si>
  <si>
    <t>(0.120349570452 * [Production]) + (-40.642916542331 * [CDD]) + -7456.64</t>
  </si>
  <si>
    <t>(0.091072418623 * [Production]) + (7.778636238737 * [HDD]) + (3.786842019830 * [CDD]) + -7741.57</t>
  </si>
  <si>
    <t>(8.717265934420 * [HDD]) + (10.884016921011 * [CDD]) + 12662.32</t>
  </si>
  <si>
    <t>(0.113996947458 * [Production]) + -7624.52</t>
  </si>
  <si>
    <t>(-38.256343117466 * [CDD]) + 20641.93</t>
  </si>
  <si>
    <t>TOTAL  (MMBTU)</t>
  </si>
  <si>
    <t>Baseline Year</t>
  </si>
  <si>
    <t>Model Year</t>
  </si>
  <si>
    <t>Last Year</t>
  </si>
  <si>
    <t>Adjustment Method</t>
  </si>
  <si>
    <t>Modeled Electricity (MMBTU)</t>
  </si>
  <si>
    <t>Modeled Natural Gas (MMBTU)</t>
  </si>
  <si>
    <t>Total Modeled Energy Consumption (MMBTU)</t>
  </si>
  <si>
    <t>CUSUMHidden</t>
  </si>
  <si>
    <t>SEP CUSUM</t>
  </si>
  <si>
    <t>Energy Savings: Electricity (MMBTU)</t>
  </si>
  <si>
    <t>Energy Savings: Natural Gas (MMBTU)</t>
  </si>
  <si>
    <t>Not Included In Model</t>
  </si>
  <si>
    <t>Energy Savings TTM (MMBtu)</t>
  </si>
  <si>
    <t>For SEP Only: Trailing Twelve Month Energy Performance Indicator</t>
  </si>
  <si>
    <t>For SEP Only: Trailing Twelve Month Energy Savings</t>
  </si>
  <si>
    <t>For SEP Only: Trailing Twelve Month Actual Energy Consumption</t>
  </si>
  <si>
    <t>For SEP Only: Trailing Twelve Month Actual Energy Consumption to meet 5% improvement target</t>
  </si>
  <si>
    <t>For SEP Only: Trailing Twelve Month Actual Energy Consumption to meet 10% improvement target</t>
  </si>
  <si>
    <t>For SEP Only: Trailing Twelve Month Actual Energy Consumption to meet 15% improvement target</t>
  </si>
  <si>
    <t>For SEP Only: Trailing Twelve Month Energy Savings to Meet 5% Improvement</t>
  </si>
  <si>
    <t>For SEP Only: Trailing Twelve Month Energy Savings to Meet 10% Improvement</t>
  </si>
  <si>
    <t>For SEP Only: Trailing Twelve Month Energy Savings to Meet 15% Improvement</t>
  </si>
  <si>
    <t>Negative Values</t>
  </si>
  <si>
    <t>One or more of the calculated modeled energy consumption values is negative. The negative modeled energy value(s) is shown in yellow. Consider setting the negative modeled energy value as zero.</t>
  </si>
  <si>
    <t>Validation Check</t>
  </si>
  <si>
    <t>A model must satisfy validity requirements in order to be used for SEP or Better Plants reporting. In addition to the model having acceptable R-squared and p-values, the average of the variables entered into the model must fall within one of the following ranges: _x000D_
_x000D_
 1. The range of observed data that went into the model OR _x000D_
 2. Three standard deviations from the mean of the data that went into the model _x000D_
_x000D_
 The following table shows these ranges for the data set provided.</t>
  </si>
  <si>
    <t>Range 1</t>
  </si>
  <si>
    <t>Range 2</t>
  </si>
  <si>
    <t>SEP mean baseline year value</t>
  </si>
  <si>
    <t>SEP mean report year value</t>
  </si>
  <si>
    <t>Minimum of Model Variable</t>
  </si>
  <si>
    <t>Maximum of Model Variable</t>
  </si>
  <si>
    <t>Model Avg -3 Std Dev</t>
  </si>
  <si>
    <t>Model Avg +3 Std Dev</t>
  </si>
  <si>
    <t>Column2</t>
  </si>
  <si>
    <t>General Energy Performance Results</t>
  </si>
  <si>
    <t>The table below shows the unadjusted and adjusted energy consumption and intensity data. The models used to adjust the data for each energy source are shown below the plots and on the individual sheets for each energy source. Note that the tool selects the model that is appropriate for the SEP Program and has the highest adjusted R-squared value.</t>
  </si>
  <si>
    <t>2007</t>
  </si>
  <si>
    <t>2008</t>
  </si>
  <si>
    <t>2009</t>
  </si>
  <si>
    <t xml:space="preserve"> </t>
  </si>
  <si>
    <t>Actual Electricity (MMBTU)</t>
  </si>
  <si>
    <t>Actual Natural Gas (MMBTU)</t>
  </si>
  <si>
    <t>Forecast</t>
  </si>
  <si>
    <t>Electricity (MMBTU) Annual Savings</t>
  </si>
  <si>
    <t>Natural Gas (MMBTU) Annual Savings</t>
  </si>
  <si>
    <t>SEnPI</t>
  </si>
  <si>
    <t>Total Improvement in Energy Intensity (%)</t>
  </si>
  <si>
    <t>Annual Improvement in Energy Intensity (%)</t>
  </si>
  <si>
    <t>Total Energy Savings since Baseline Year (MMBTU/Year)</t>
  </si>
  <si>
    <t>Cumulative Savings (MMBTU)</t>
  </si>
  <si>
    <t>New Energy Savings for Current Year (MMBTU/year)</t>
  </si>
  <si>
    <t>Adjustment for Baseline Primary Energy Use (MMBTU/year)</t>
  </si>
  <si>
    <t>Warnings</t>
  </si>
  <si>
    <t>Energy Use</t>
  </si>
  <si>
    <t>1 Electricity (MMBTU)</t>
  </si>
  <si>
    <t>1 Natural Gas (MMBTU)</t>
  </si>
  <si>
    <t>Superior Energy Performance Results</t>
  </si>
  <si>
    <t>The table below shows the unadjusted and adjusted energy consumption. The models used to adjust the data for each energy source are shown under the table below and on the individual sheets for each energy source. Note that the tool selects the model that is appropriate for the SEP Program and has the highest adjusted R-squared value, although evaluating models based on adjusted R-squared is not an SEP requirement.See individual energy source model sheets for adjusted R-squared values.</t>
  </si>
  <si>
    <t>Baseline</t>
  </si>
  <si>
    <t>Report Year</t>
  </si>
  <si>
    <t>Actual Primary Electricity (MMBTU)</t>
  </si>
  <si>
    <t>Actual Primary Natural Gas (MMBTU)</t>
  </si>
  <si>
    <t>TOTAL  Actual Primary Energy (MMBTU)</t>
  </si>
  <si>
    <t>Adjustment Model</t>
  </si>
  <si>
    <t>Modeled Primary Electricity (MMBTU)</t>
  </si>
  <si>
    <t>Reporting Period Primary Electricity (MMBTU) Savings</t>
  </si>
  <si>
    <t>Modeled Primary Natural Gas (MMBTU)</t>
  </si>
  <si>
    <t>Reporting Period Primary Natural Gas (MMBTU) Savings</t>
  </si>
  <si>
    <t>Total Modeled Primary Energy Consumption</t>
  </si>
  <si>
    <t>Energy Performance Improvement</t>
  </si>
  <si>
    <t>Facility identifying information</t>
  </si>
  <si>
    <t xml:space="preserve">  </t>
  </si>
  <si>
    <t>Company Name</t>
  </si>
  <si>
    <t>Unique Facility Name per SEP Certificate</t>
  </si>
  <si>
    <t>SEP Enrollment Number</t>
  </si>
  <si>
    <t>Facility zip code</t>
  </si>
  <si>
    <t>Facility boundaries</t>
  </si>
  <si>
    <t>Facility square footage (ft2)</t>
  </si>
  <si>
    <t>Date SEP/ISO 50001 Stage 2 audit started (month/day/year)</t>
  </si>
  <si>
    <t>Relevant Variables</t>
  </si>
  <si>
    <t>e3b952b0-433e-4a39-bca7-aee9e552eba6</t>
  </si>
  <si>
    <t>1cdf46e3-9789-4c1f-8ec6-61979b3290c2</t>
  </si>
  <si>
    <t>b831a2e5-d578-4171-95c6-4f06c7b399cf</t>
  </si>
  <si>
    <t>1 Model Data</t>
  </si>
  <si>
    <t>55751f7a-2c6a-4b70-8439-9288d467119c</t>
  </si>
  <si>
    <t>1 EnPI Results</t>
  </si>
  <si>
    <t>7464be84-1494-4d07-b701-2be349e47c93</t>
  </si>
  <si>
    <t>1 SEP Results</t>
  </si>
  <si>
    <t>regressionIteration</t>
  </si>
  <si>
    <t>plantName</t>
  </si>
  <si>
    <t>Minneapolis</t>
  </si>
  <si>
    <t>Column3</t>
  </si>
  <si>
    <t>Column4</t>
  </si>
  <si>
    <t>Total Production</t>
  </si>
  <si>
    <t>Period Count</t>
  </si>
  <si>
    <t>Baseline Count</t>
  </si>
  <si>
    <t>Energy Savings: TOTAL  (MMBTU)</t>
  </si>
  <si>
    <t>Total Production Output</t>
  </si>
  <si>
    <t>Production Energy Intensity (MMBtu/unit production)</t>
  </si>
  <si>
    <t>Total Savings Since Baseline Year (MMBtu/Year)</t>
  </si>
  <si>
    <t>New Energy Savings for Current Year (MMBtu/year)</t>
  </si>
  <si>
    <t>cb23b1ad-6b9c-4229-be7f-e36d391e583c</t>
  </si>
  <si>
    <t>2 Detail Data</t>
  </si>
  <si>
    <t>3802fefe-bf47-4bd4-90c9-15af24db6e64</t>
  </si>
  <si>
    <t>2 EnPI Actual Results</t>
  </si>
  <si>
    <t>The best model for the data provided is #5</t>
  </si>
  <si>
    <t>3 Electricity (MMBTU) Models</t>
  </si>
  <si>
    <t>The table below shows all possible models for 3 Electricity (MMBTU) consumption. The model highlighted in green in the table below is the model with the highest Adjusted R2 value. If "true" is shown in column B, the model is designated as valid. A model is considered valid if the model p-value is less than 0.10. The model highlighted in green is used to calculate the adjusted data on the EnPI Results, SEnPI Results, and Adjusted Data tabs. If the model is switched, the corresponding data will be updated with the model selected. The models can be switched using the "Change Models" icon in the top navigation.</t>
  </si>
  <si>
    <t>(0.121551243906 * [Production]) + (18.032961298995 * [CDD]) + 18050.33</t>
  </si>
  <si>
    <t>(0.142857473739 * [Production]) + (-4.031503038131 * [HDD]) + 18422.75</t>
  </si>
  <si>
    <t>(24.373953470498 * [CDD]) + 43733.81</t>
  </si>
  <si>
    <t>(0.195017426511 * [Production]) + 4523.45</t>
  </si>
  <si>
    <t>(-5.755536636447 * [HDD]) + 50723.06</t>
  </si>
  <si>
    <t>(0.119435872514 * [Production]) + (-1.313405409329 * [HDD]) + (14.381118445900 * [CDD]) + 19839.20</t>
  </si>
  <si>
    <t>(-1.664622342375 * [HDD]) + (19.605711043231 * [CDD]) + 45434.55</t>
  </si>
  <si>
    <t>3 Natural Gas (MMBTU) Models</t>
  </si>
  <si>
    <t>The table below shows all possible models for 3 Natural Gas (MMBTU) consumption. The model highlighted in green in the table below is the model with the highest Adjusted R2 value. If "true" is shown in column B, the model is designated as valid. A model is considered valid if the model p-value is less than 0.10. The model highlighted in green is used to calculate the adjusted data on the EnPI Results, SEnPI Results, and Adjusted Data tabs. If the model is switched, the corresponding data will be updated with the model selected. The models can be switched using the "Change Models" icon in the top navigation.</t>
  </si>
  <si>
    <t>(0.045037114005 * [Production]) + (7.320957963031 * [HDD]) + 820.55</t>
  </si>
  <si>
    <t>(6.777440737894 * [HDD]) + 11003.51</t>
  </si>
  <si>
    <t>(-19.465165403533 * [CDD]) + 17935.23</t>
  </si>
  <si>
    <t>(0.048716134254 * [Production]) + (6.894004394868 * [HDD]) + (-2.258958533933 * [CDD]) + 598.06</t>
  </si>
  <si>
    <t>(6.750748177934 * [HDD]) + (-0.127924121596 * [CDD]) + 11038.02</t>
  </si>
  <si>
    <t>(0.037612647417 * [Production]) + (-21.427313178871 * [CDD]) + 9987.77</t>
  </si>
  <si>
    <t>(-0.049682105598 * [Production]) + 26060.82</t>
  </si>
  <si>
    <t>Backcast</t>
  </si>
  <si>
    <t>3 Electricity (MMBTU)</t>
  </si>
  <si>
    <t>3 Natural Gas (MMBTU)</t>
  </si>
  <si>
    <t>072ed266-e1f7-45d5-bd97-27dc65fcdce4</t>
  </si>
  <si>
    <t>aca5babf-eb00-4bc9-bd06-fdb0deb8a883</t>
  </si>
  <si>
    <t>475ddf77-dbb7-46bb-894b-2cba196224be</t>
  </si>
  <si>
    <t>3 Model Data</t>
  </si>
  <si>
    <t>ffdf7041-5815-4550-9ba9-676e5b43ed45</t>
  </si>
  <si>
    <t>3 EnPI Results</t>
  </si>
  <si>
    <t>83ee32ee-c8de-4bdd-ab1b-78f8172c52eb</t>
  </si>
  <si>
    <t>3 SEP Results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</si>
</sst>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_(* \(#,##0\);_(* &quot;-&quot;_);_(@_)"/>
    <numFmt numFmtId="43" formatCode="_(* #,##0.00_);_(* \(#,##0.00\);_(* &quot;-&quot;??_);_(@_)"/>
    <numFmt numFmtId="164" formatCode="####"/>
    <numFmt numFmtId="165" formatCode="0.0000"/>
    <numFmt numFmtId="166" formatCode="##,##0"/>
    <numFmt numFmtId="167" formatCode="###,##0"/>
    <numFmt numFmtId="168" formatCode="###,##0.000"/>
  </numFmts>
  <fonts count="14" x14ac:knownFonts="1">
    <font>
      <sz val="11"/>
      <color theme="1"/>
      <name val="Calibri"/>
      <family val="2"/>
      <scheme val="minor"/>
    </font>
    <font>
      <sz val="11"/>
      <color theme="1"/>
      <name val="Calibri"/>
      <family val="2"/>
      <scheme val="minor"/>
    </font>
    <font>
      <b/>
      <sz val="11"/>
      <color theme="1"/>
      <name val="Calibri"/>
      <family val="2"/>
      <scheme val="minor"/>
    </font>
    <font>
      <u/>
      <sz val="11"/>
      <color theme="10"/>
      <name val="Calibri"/>
      <family val="2"/>
      <scheme val="minor"/>
    </font>
    <font>
      <b/>
      <u/>
      <sz val="11"/>
      <color rgb="FF00AA00"/>
      <name val="Calibri"/>
      <family val="2"/>
      <scheme val="minor"/>
    </font>
    <font>
      <b/>
      <sz val="11"/>
      <color rgb="FF00AA00"/>
      <name val="Calibri"/>
      <family val="2"/>
      <scheme val="minor"/>
    </font>
    <font>
      <sz val="11"/>
      <color rgb="FF0000AA"/>
      <name val="Calibri"/>
      <family val="2"/>
      <scheme val="minor"/>
    </font>
    <font>
      <sz val="11"/>
      <color rgb="FFFFFFFF"/>
      <name val="Calibri"/>
      <family val="2"/>
      <scheme val="minor"/>
    </font>
    <font>
      <b/>
      <sz val="11"/>
      <color rgb="FFFFFFFF"/>
      <name val="Calibri"/>
      <family val="2"/>
      <scheme val="minor"/>
    </font>
    <font>
      <b/>
      <sz val="14"/>
      <color theme="1"/>
      <name val="Calibri"/>
      <family val="2"/>
      <scheme val="minor"/>
    </font>
    <font>
      <sz val="11"/>
      <color rgb="FF000000"/>
      <name val="Calibri"/>
      <family val="2"/>
      <scheme val="minor"/>
    </font>
    <font>
      <b/>
      <sz val="15"/>
      <color rgb="FF008000"/>
      <name val="Calibri"/>
      <family val="2"/>
      <scheme val="minor"/>
    </font>
    <font>
      <u/>
      <sz val="11"/>
      <color rgb="FF0000AA"/>
      <name val="Calibri"/>
      <family val="2"/>
      <scheme val="minor"/>
    </font>
    <font>
      <b/>
      <sz val="11"/>
      <color rgb="FF0000AA"/>
      <name val="Calibri"/>
      <family val="2"/>
      <scheme val="minor"/>
    </font>
  </fonts>
  <fills count="10">
    <fill>
      <patternFill patternType="none"/>
    </fill>
    <fill>
      <patternFill patternType="gray125"/>
    </fill>
    <fill>
      <patternFill patternType="solid">
        <fgColor rgb="FFC6EFCD"/>
        <bgColor indexed="64"/>
      </patternFill>
    </fill>
    <fill>
      <patternFill patternType="solid">
        <fgColor rgb="FFBCE4D8"/>
        <bgColor indexed="64"/>
      </patternFill>
    </fill>
    <fill>
      <patternFill patternType="solid">
        <fgColor rgb="FF000000"/>
        <bgColor indexed="64"/>
      </patternFill>
    </fill>
    <fill>
      <patternFill patternType="solid">
        <fgColor rgb="FFFFFFFF"/>
        <bgColor indexed="64"/>
      </patternFill>
    </fill>
    <fill>
      <patternFill patternType="solid">
        <fgColor rgb="FFD3D3D3"/>
        <bgColor indexed="64"/>
      </patternFill>
    </fill>
    <fill>
      <patternFill patternType="solid">
        <fgColor rgb="FFD8E4BC"/>
        <bgColor indexed="64"/>
      </patternFill>
    </fill>
    <fill>
      <patternFill patternType="solid">
        <fgColor rgb="FF4F6228"/>
        <bgColor indexed="64"/>
      </patternFill>
    </fill>
    <fill>
      <patternFill patternType="solid">
        <fgColor rgb="FF008000"/>
        <bgColor indexed="64"/>
      </patternFill>
    </fill>
  </fills>
  <borders count="10">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0000"/>
      </left>
      <right style="thin">
        <color rgb="FF000000"/>
      </right>
      <top style="thin">
        <color rgb="FF000000"/>
      </top>
      <bottom style="thin">
        <color rgb="FF000000"/>
      </bottom>
      <diagonal/>
    </border>
  </borders>
  <cellStyleXfs count="5">
    <xf numFmtId="0" fontId="0" fillId="0" borderId="0">
      <alignment horizontal="left"/>
    </xf>
    <xf numFmtId="43" fontId="1" fillId="0" borderId="0" applyFont="0" applyFill="0" applyBorder="0" applyAlignment="0" applyProtection="0"/>
    <xf numFmtId="9" fontId="1" fillId="0" borderId="0" applyFont="0" applyFill="0" applyBorder="0" applyAlignment="0" applyProtection="0"/>
    <xf numFmtId="0" fontId="3" fillId="0" borderId="0" applyNumberFormat="0" applyFill="0" applyBorder="0" applyAlignment="0" applyProtection="0"/>
    <xf numFmtId="41" fontId="1" fillId="0" borderId="0" applyFont="0" applyFill="0" applyBorder="0" applyAlignment="0" applyProtection="0"/>
  </cellStyleXfs>
  <cellXfs count="127">
    <xf numFmtId="0" fontId="0" fillId="0" borderId="0" xfId="0">
      <alignment horizontal="left"/>
    </xf>
    <xf numFmtId="0" fontId="2" fillId="0" borderId="0" xfId="0" applyFont="1">
      <alignment horizontal="left"/>
    </xf>
    <xf numFmtId="0" fontId="2" fillId="0" borderId="0" xfId="0" applyFont="1" applyAlignment="1">
      <alignment horizontal="center"/>
    </xf>
    <xf numFmtId="14" fontId="2" fillId="0" borderId="0" xfId="0" applyNumberFormat="1" applyFont="1" applyAlignment="1">
      <alignment horizontal="center"/>
    </xf>
    <xf numFmtId="14" fontId="0" fillId="0" borderId="0" xfId="0" applyNumberFormat="1" applyAlignment="1">
      <alignment horizontal="center"/>
    </xf>
    <xf numFmtId="37" fontId="2" fillId="0" borderId="0" xfId="1" applyNumberFormat="1" applyFont="1" applyAlignment="1">
      <alignment horizontal="center"/>
    </xf>
    <xf numFmtId="37" fontId="0" fillId="0" borderId="0" xfId="1" applyNumberFormat="1" applyFont="1" applyAlignment="1">
      <alignment horizontal="center"/>
    </xf>
    <xf numFmtId="164" fontId="0" fillId="0" borderId="0" xfId="1" applyNumberFormat="1" applyFont="1" applyAlignment="1">
      <alignment horizontal="center"/>
    </xf>
    <xf numFmtId="0" fontId="3" fillId="0" borderId="1" xfId="3" applyBorder="1"/>
    <xf numFmtId="0" fontId="0" fillId="0" borderId="2" xfId="0" applyBorder="1">
      <alignment horizontal="left"/>
    </xf>
    <xf numFmtId="0" fontId="0" fillId="0" borderId="3" xfId="0" applyBorder="1">
      <alignment horizontal="left"/>
    </xf>
    <xf numFmtId="0" fontId="0" fillId="0" borderId="4" xfId="0" applyBorder="1">
      <alignment horizontal="left"/>
    </xf>
    <xf numFmtId="0" fontId="0" fillId="0" borderId="0" xfId="0" applyBorder="1">
      <alignment horizontal="left"/>
    </xf>
    <xf numFmtId="0" fontId="0" fillId="0" borderId="5" xfId="0" applyBorder="1">
      <alignment horizontal="left"/>
    </xf>
    <xf numFmtId="0" fontId="0" fillId="0" borderId="6" xfId="0" applyBorder="1">
      <alignment horizontal="left"/>
    </xf>
    <xf numFmtId="0" fontId="0" fillId="0" borderId="7" xfId="0" applyBorder="1">
      <alignment horizontal="left"/>
    </xf>
    <xf numFmtId="0" fontId="0" fillId="0" borderId="8" xfId="0" applyBorder="1">
      <alignment horizontal="left"/>
    </xf>
    <xf numFmtId="0" fontId="4" fillId="2" borderId="1" xfId="3" applyFont="1" applyFill="1" applyBorder="1"/>
    <xf numFmtId="0" fontId="5" fillId="2" borderId="2" xfId="0" applyFont="1" applyFill="1" applyBorder="1">
      <alignment horizontal="left"/>
    </xf>
    <xf numFmtId="0" fontId="5" fillId="2" borderId="3" xfId="0" applyFont="1" applyFill="1" applyBorder="1">
      <alignment horizontal="left"/>
    </xf>
    <xf numFmtId="0" fontId="5" fillId="2" borderId="4" xfId="0" applyFont="1" applyFill="1" applyBorder="1">
      <alignment horizontal="left"/>
    </xf>
    <xf numFmtId="0" fontId="5" fillId="2" borderId="0" xfId="0" applyFont="1" applyFill="1" applyBorder="1">
      <alignment horizontal="left"/>
    </xf>
    <xf numFmtId="0" fontId="5" fillId="2" borderId="5" xfId="0" applyFont="1" applyFill="1" applyBorder="1">
      <alignment horizontal="left"/>
    </xf>
    <xf numFmtId="0" fontId="5" fillId="2" borderId="6" xfId="0" applyFont="1" applyFill="1" applyBorder="1">
      <alignment horizontal="left"/>
    </xf>
    <xf numFmtId="0" fontId="5" fillId="2" borderId="7" xfId="0" applyFont="1" applyFill="1" applyBorder="1">
      <alignment horizontal="left"/>
    </xf>
    <xf numFmtId="0" fontId="5" fillId="2" borderId="8" xfId="0" applyFont="1" applyFill="1" applyBorder="1">
      <alignment horizontal="left"/>
    </xf>
    <xf numFmtId="165" fontId="0" fillId="0" borderId="0" xfId="0" applyNumberFormat="1">
      <alignment horizontal="left"/>
    </xf>
    <xf numFmtId="165" fontId="5" fillId="2" borderId="2" xfId="0" applyNumberFormat="1" applyFont="1" applyFill="1" applyBorder="1">
      <alignment horizontal="left"/>
    </xf>
    <xf numFmtId="165" fontId="5" fillId="2" borderId="0" xfId="0" applyNumberFormat="1" applyFont="1" applyFill="1" applyBorder="1">
      <alignment horizontal="left"/>
    </xf>
    <xf numFmtId="165" fontId="5" fillId="2" borderId="7" xfId="0" applyNumberFormat="1" applyFont="1" applyFill="1" applyBorder="1">
      <alignment horizontal="left"/>
    </xf>
    <xf numFmtId="165" fontId="0" fillId="0" borderId="2" xfId="0" applyNumberFormat="1" applyBorder="1">
      <alignment horizontal="left"/>
    </xf>
    <xf numFmtId="165" fontId="0" fillId="0" borderId="0" xfId="0" applyNumberFormat="1" applyBorder="1">
      <alignment horizontal="left"/>
    </xf>
    <xf numFmtId="165" fontId="0" fillId="0" borderId="7" xfId="0" applyNumberFormat="1" applyBorder="1">
      <alignment horizontal="left"/>
    </xf>
    <xf numFmtId="0" fontId="2" fillId="0" borderId="0" xfId="0" applyFont="1" applyAlignment="1">
      <alignment wrapText="1"/>
    </xf>
    <xf numFmtId="0" fontId="0" fillId="0" borderId="1" xfId="0" applyBorder="1">
      <alignment horizontal="left"/>
    </xf>
    <xf numFmtId="166" fontId="0" fillId="0" borderId="0" xfId="0" applyNumberFormat="1">
      <alignment horizontal="left"/>
    </xf>
    <xf numFmtId="166" fontId="0" fillId="0" borderId="0" xfId="0" applyNumberFormat="1" applyBorder="1">
      <alignment horizontal="left"/>
    </xf>
    <xf numFmtId="164" fontId="0" fillId="0" borderId="0" xfId="0" applyNumberFormat="1">
      <alignment horizontal="left"/>
    </xf>
    <xf numFmtId="166" fontId="6" fillId="3" borderId="0" xfId="0" applyNumberFormat="1" applyFont="1" applyFill="1">
      <alignment horizontal="left"/>
    </xf>
    <xf numFmtId="164" fontId="6" fillId="3" borderId="0" xfId="0" applyNumberFormat="1" applyFont="1" applyFill="1">
      <alignment horizontal="left"/>
    </xf>
    <xf numFmtId="166" fontId="6" fillId="3" borderId="0" xfId="0" applyNumberFormat="1" applyFont="1" applyFill="1" applyBorder="1">
      <alignment horizontal="left"/>
    </xf>
    <xf numFmtId="14" fontId="6" fillId="3" borderId="0" xfId="0" applyNumberFormat="1" applyFont="1" applyFill="1">
      <alignment horizontal="left"/>
    </xf>
    <xf numFmtId="14" fontId="0" fillId="0" borderId="0" xfId="0" applyNumberFormat="1">
      <alignment horizontal="left"/>
    </xf>
    <xf numFmtId="0" fontId="0" fillId="0" borderId="0" xfId="0" applyAlignment="1">
      <alignment horizontal="center" wrapText="1"/>
    </xf>
    <xf numFmtId="0" fontId="8" fillId="4" borderId="0" xfId="0" applyFont="1" applyFill="1" applyAlignment="1">
      <alignment horizontal="center" wrapText="1"/>
    </xf>
    <xf numFmtId="0" fontId="8" fillId="4" borderId="0" xfId="0" applyFont="1" applyFill="1" applyBorder="1" applyAlignment="1">
      <alignment horizontal="center" wrapText="1"/>
    </xf>
    <xf numFmtId="166" fontId="6" fillId="3" borderId="0" xfId="0" applyNumberFormat="1" applyFont="1" applyFill="1" applyBorder="1" applyAlignment="1">
      <alignment horizontal="right"/>
    </xf>
    <xf numFmtId="166" fontId="0" fillId="0" borderId="0" xfId="0" applyNumberFormat="1" applyBorder="1" applyAlignment="1">
      <alignment horizontal="right"/>
    </xf>
    <xf numFmtId="2" fontId="6" fillId="3" borderId="0" xfId="0" applyNumberFormat="1" applyFont="1" applyFill="1" applyBorder="1" applyAlignment="1">
      <alignment horizontal="right"/>
    </xf>
    <xf numFmtId="2" fontId="0" fillId="0" borderId="0" xfId="0" applyNumberFormat="1" applyBorder="1" applyAlignment="1">
      <alignment horizontal="right"/>
    </xf>
    <xf numFmtId="0" fontId="9" fillId="0" borderId="0" xfId="0" applyFont="1">
      <alignment horizontal="left"/>
    </xf>
    <xf numFmtId="0" fontId="7" fillId="0" borderId="0" xfId="0" applyFont="1">
      <alignment horizontal="left"/>
    </xf>
    <xf numFmtId="0" fontId="7" fillId="4" borderId="0" xfId="0" applyFont="1" applyFill="1">
      <alignment horizontal="left"/>
    </xf>
    <xf numFmtId="0" fontId="0" fillId="6" borderId="0" xfId="0" applyFill="1">
      <alignment horizontal="left"/>
    </xf>
    <xf numFmtId="0" fontId="0" fillId="6" borderId="0" xfId="0" applyNumberFormat="1" applyFill="1">
      <alignment horizontal="left"/>
    </xf>
    <xf numFmtId="0" fontId="10" fillId="4" borderId="0" xfId="0" applyFont="1" applyFill="1">
      <alignment horizontal="left"/>
    </xf>
    <xf numFmtId="0" fontId="10" fillId="0" borderId="0" xfId="0" applyFont="1">
      <alignment horizontal="left"/>
    </xf>
    <xf numFmtId="166" fontId="10" fillId="0" borderId="0" xfId="0" applyNumberFormat="1" applyFont="1">
      <alignment horizontal="left"/>
    </xf>
    <xf numFmtId="0" fontId="10" fillId="5" borderId="0" xfId="0" applyFont="1" applyFill="1">
      <alignment horizontal="left"/>
    </xf>
    <xf numFmtId="166" fontId="10" fillId="5" borderId="0" xfId="0" applyNumberFormat="1" applyFont="1" applyFill="1">
      <alignment horizontal="left"/>
    </xf>
    <xf numFmtId="0" fontId="10" fillId="6" borderId="0" xfId="0" applyFont="1" applyFill="1">
      <alignment horizontal="left"/>
    </xf>
    <xf numFmtId="166" fontId="10" fillId="6" borderId="0" xfId="0" applyNumberFormat="1" applyFont="1" applyFill="1">
      <alignment horizontal="left"/>
    </xf>
    <xf numFmtId="167" fontId="8" fillId="8" borderId="0" xfId="1" applyNumberFormat="1" applyFont="1" applyFill="1" applyAlignment="1">
      <alignment horizontal="left"/>
    </xf>
    <xf numFmtId="167" fontId="0" fillId="7" borderId="0" xfId="1" applyNumberFormat="1" applyFont="1" applyFill="1" applyAlignment="1">
      <alignment horizontal="left"/>
    </xf>
    <xf numFmtId="167" fontId="8" fillId="9" borderId="0" xfId="1" applyNumberFormat="1" applyFont="1" applyFill="1" applyAlignment="1">
      <alignment horizontal="left"/>
    </xf>
    <xf numFmtId="167" fontId="0" fillId="9" borderId="0" xfId="1" applyNumberFormat="1" applyFont="1" applyFill="1" applyAlignment="1">
      <alignment horizontal="left"/>
    </xf>
    <xf numFmtId="167" fontId="0" fillId="5" borderId="0" xfId="1" applyNumberFormat="1" applyFont="1" applyFill="1" applyAlignment="1">
      <alignment horizontal="left"/>
    </xf>
    <xf numFmtId="167" fontId="2" fillId="5" borderId="0" xfId="1" applyNumberFormat="1" applyFont="1" applyFill="1" applyAlignment="1">
      <alignment horizontal="left"/>
    </xf>
    <xf numFmtId="168" fontId="8" fillId="8" borderId="0" xfId="1" applyNumberFormat="1" applyFont="1" applyFill="1" applyAlignment="1">
      <alignment horizontal="left"/>
    </xf>
    <xf numFmtId="168" fontId="0" fillId="7" borderId="0" xfId="1" applyNumberFormat="1" applyFont="1" applyFill="1" applyAlignment="1">
      <alignment horizontal="left"/>
    </xf>
    <xf numFmtId="10" fontId="8" fillId="8" borderId="0" xfId="2" applyNumberFormat="1" applyFont="1" applyFill="1" applyAlignment="1">
      <alignment horizontal="left"/>
    </xf>
    <xf numFmtId="10" fontId="0" fillId="7" borderId="0" xfId="2" applyNumberFormat="1" applyFont="1" applyFill="1" applyAlignment="1">
      <alignment horizontal="left"/>
    </xf>
    <xf numFmtId="0" fontId="0" fillId="0" borderId="0" xfId="0" applyAlignment="1">
      <alignment horizontal="left" wrapText="1"/>
    </xf>
    <xf numFmtId="0" fontId="5" fillId="0" borderId="0" xfId="0" applyFont="1">
      <alignment horizontal="left"/>
    </xf>
    <xf numFmtId="11" fontId="5" fillId="0" borderId="0" xfId="0" applyNumberFormat="1" applyFont="1">
      <alignment horizontal="left"/>
    </xf>
    <xf numFmtId="0" fontId="8" fillId="8" borderId="0" xfId="0" applyFont="1" applyFill="1">
      <alignment horizontal="left"/>
    </xf>
    <xf numFmtId="0" fontId="2" fillId="7" borderId="9" xfId="1" applyNumberFormat="1" applyFont="1" applyFill="1" applyBorder="1" applyAlignment="1">
      <alignment horizontal="left" wrapText="1"/>
    </xf>
    <xf numFmtId="0" fontId="0" fillId="5" borderId="9" xfId="1" applyNumberFormat="1" applyFont="1" applyFill="1" applyBorder="1" applyAlignment="1">
      <alignment horizontal="left" wrapText="1"/>
    </xf>
    <xf numFmtId="167" fontId="8" fillId="8" borderId="0" xfId="1" applyNumberFormat="1" applyFont="1" applyFill="1" applyAlignment="1">
      <alignment horizontal="left" wrapText="1"/>
    </xf>
    <xf numFmtId="167" fontId="0" fillId="7" borderId="0" xfId="1" applyNumberFormat="1" applyFont="1" applyFill="1" applyAlignment="1">
      <alignment horizontal="left" wrapText="1"/>
    </xf>
    <xf numFmtId="167" fontId="8" fillId="9" borderId="0" xfId="1" applyNumberFormat="1" applyFont="1" applyFill="1" applyAlignment="1">
      <alignment horizontal="left" wrapText="1"/>
    </xf>
    <xf numFmtId="167" fontId="0" fillId="9" borderId="0" xfId="1" applyNumberFormat="1" applyFont="1" applyFill="1" applyAlignment="1">
      <alignment horizontal="left" wrapText="1"/>
    </xf>
    <xf numFmtId="167" fontId="2" fillId="5" borderId="0" xfId="1" applyNumberFormat="1" applyFont="1" applyFill="1" applyAlignment="1">
      <alignment horizontal="left" wrapText="1"/>
    </xf>
    <xf numFmtId="167" fontId="0" fillId="5" borderId="0" xfId="1" applyNumberFormat="1" applyFont="1" applyFill="1" applyAlignment="1">
      <alignment horizontal="left" wrapText="1"/>
    </xf>
    <xf numFmtId="168" fontId="8" fillId="8" borderId="0" xfId="1" applyNumberFormat="1" applyFont="1" applyFill="1" applyAlignment="1">
      <alignment horizontal="left" wrapText="1"/>
    </xf>
    <xf numFmtId="168" fontId="0" fillId="7" borderId="0" xfId="1" applyNumberFormat="1" applyFont="1" applyFill="1" applyAlignment="1">
      <alignment horizontal="left" wrapText="1"/>
    </xf>
    <xf numFmtId="10" fontId="8" fillId="8" borderId="0" xfId="2" applyNumberFormat="1" applyFont="1" applyFill="1" applyAlignment="1">
      <alignment horizontal="left" wrapText="1"/>
    </xf>
    <xf numFmtId="10" fontId="0" fillId="7" borderId="0" xfId="2" applyNumberFormat="1" applyFont="1" applyFill="1" applyAlignment="1">
      <alignment horizontal="left" wrapText="1"/>
    </xf>
    <xf numFmtId="165" fontId="5" fillId="0" borderId="0" xfId="0" applyNumberFormat="1" applyFont="1">
      <alignment horizontal="left"/>
    </xf>
    <xf numFmtId="0" fontId="10" fillId="5" borderId="2" xfId="0" applyFont="1" applyFill="1" applyBorder="1">
      <alignment horizontal="left"/>
    </xf>
    <xf numFmtId="165" fontId="10" fillId="5" borderId="2" xfId="0" applyNumberFormat="1" applyFont="1" applyFill="1" applyBorder="1">
      <alignment horizontal="left"/>
    </xf>
    <xf numFmtId="0" fontId="10" fillId="5" borderId="3" xfId="0" applyFont="1" applyFill="1" applyBorder="1">
      <alignment horizontal="left"/>
    </xf>
    <xf numFmtId="0" fontId="10" fillId="5" borderId="0" xfId="0" applyFont="1" applyFill="1" applyBorder="1">
      <alignment horizontal="left"/>
    </xf>
    <xf numFmtId="165" fontId="10" fillId="5" borderId="0" xfId="0" applyNumberFormat="1" applyFont="1" applyFill="1" applyBorder="1">
      <alignment horizontal="left"/>
    </xf>
    <xf numFmtId="0" fontId="10" fillId="5" borderId="5" xfId="0" applyFont="1" applyFill="1" applyBorder="1">
      <alignment horizontal="left"/>
    </xf>
    <xf numFmtId="0" fontId="10" fillId="5" borderId="7" xfId="0" applyFont="1" applyFill="1" applyBorder="1">
      <alignment horizontal="left"/>
    </xf>
    <xf numFmtId="165" fontId="10" fillId="5" borderId="7" xfId="0" applyNumberFormat="1" applyFont="1" applyFill="1" applyBorder="1">
      <alignment horizontal="left"/>
    </xf>
    <xf numFmtId="0" fontId="10" fillId="5" borderId="8" xfId="0" applyFont="1" applyFill="1" applyBorder="1">
      <alignment horizontal="left"/>
    </xf>
    <xf numFmtId="0" fontId="0" fillId="0" borderId="0" xfId="0" applyFont="1">
      <alignment horizontal="left"/>
    </xf>
    <xf numFmtId="0" fontId="8" fillId="4" borderId="0" xfId="0" applyFont="1" applyFill="1">
      <alignment horizontal="left"/>
    </xf>
    <xf numFmtId="165" fontId="8" fillId="4" borderId="0" xfId="0" applyNumberFormat="1" applyFont="1" applyFill="1">
      <alignment horizontal="left"/>
    </xf>
    <xf numFmtId="0" fontId="12" fillId="5" borderId="1" xfId="3" applyFont="1" applyFill="1" applyBorder="1"/>
    <xf numFmtId="0" fontId="6" fillId="5" borderId="4" xfId="0" applyFont="1" applyFill="1" applyBorder="1">
      <alignment horizontal="left"/>
    </xf>
    <xf numFmtId="0" fontId="6" fillId="5" borderId="6" xfId="0" applyFont="1" applyFill="1" applyBorder="1">
      <alignment horizontal="left"/>
    </xf>
    <xf numFmtId="0" fontId="13" fillId="2" borderId="4" xfId="0" applyFont="1" applyFill="1" applyBorder="1">
      <alignment horizontal="left"/>
    </xf>
    <xf numFmtId="0" fontId="13" fillId="2" borderId="6" xfId="0" applyFont="1" applyFill="1" applyBorder="1">
      <alignment horizontal="left"/>
    </xf>
    <xf numFmtId="0" fontId="6" fillId="5" borderId="1" xfId="0" applyFont="1" applyFill="1" applyBorder="1">
      <alignment horizontal="left"/>
    </xf>
    <xf numFmtId="0" fontId="0" fillId="0" borderId="0" xfId="0">
      <alignment horizontal="left"/>
    </xf>
    <xf numFmtId="0" fontId="0" fillId="0" borderId="0" xfId="0" applyAlignment="1">
      <alignment horizontal="left" wrapText="1"/>
    </xf>
    <xf numFmtId="0" fontId="8" fillId="8" borderId="0" xfId="1" applyNumberFormat="1" applyFont="1" applyFill="1" applyAlignment="1">
      <alignment horizontal="left"/>
    </xf>
    <xf numFmtId="168" fontId="8" fillId="8" borderId="0" xfId="4" applyNumberFormat="1" applyFont="1" applyFill="1" applyAlignment="1">
      <alignment horizontal="left"/>
    </xf>
    <xf numFmtId="168" fontId="0" fillId="7" borderId="0" xfId="4" applyNumberFormat="1" applyFont="1" applyFill="1" applyAlignment="1">
      <alignment horizontal="left"/>
    </xf>
    <xf numFmtId="0" fontId="0" fillId="0" borderId="0" xfId="0">
      <alignment horizontal="left"/>
    </xf>
    <xf numFmtId="0" fontId="2" fillId="0" borderId="0" xfId="0" applyFont="1" applyAlignment="1">
      <alignment wrapText="1"/>
    </xf>
    <xf numFmtId="0" fontId="0" fillId="0" borderId="0" xfId="0" applyAlignment="1">
      <alignment wrapText="1"/>
    </xf>
    <xf numFmtId="165" fontId="2" fillId="0" borderId="0" xfId="0" applyNumberFormat="1" applyFont="1" applyAlignment="1">
      <alignment wrapText="1"/>
    </xf>
    <xf numFmtId="0" fontId="0" fillId="0" borderId="0" xfId="0" applyAlignment="1">
      <alignment vertical="top" wrapText="1"/>
    </xf>
    <xf numFmtId="0" fontId="11" fillId="0" borderId="0" xfId="0" applyFont="1">
      <alignment horizontal="left"/>
    </xf>
    <xf numFmtId="0" fontId="0" fillId="0" borderId="0" xfId="0" applyAlignment="1">
      <alignment horizontal="left" wrapText="1"/>
    </xf>
    <xf numFmtId="0" fontId="8" fillId="9" borderId="0" xfId="0" applyFont="1" applyFill="1">
      <alignment horizontal="left"/>
    </xf>
    <xf numFmtId="0" fontId="2" fillId="0" borderId="0" xfId="0" applyFont="1" applyAlignment="1">
      <alignment horizontal="left" wrapText="1"/>
    </xf>
    <xf numFmtId="0" fontId="3" fillId="0" borderId="1" xfId="3" applyBorder="1" applyAlignment="1">
      <alignment horizontal="left"/>
    </xf>
    <xf numFmtId="0" fontId="4" fillId="2" borderId="1" xfId="3" applyFont="1" applyFill="1" applyBorder="1" applyAlignment="1">
      <alignment horizontal="left"/>
    </xf>
    <xf numFmtId="0" fontId="2" fillId="0" borderId="0" xfId="0" applyFont="1" applyAlignment="1">
      <alignment horizontal="left" wrapText="1"/>
    </xf>
    <xf numFmtId="165" fontId="2" fillId="0" borderId="0" xfId="0" applyNumberFormat="1" applyFont="1" applyAlignment="1">
      <alignment horizontal="left" wrapText="1"/>
    </xf>
    <xf numFmtId="0" fontId="0" fillId="0" borderId="0" xfId="0" applyAlignment="1">
      <alignment horizontal="left" vertical="top" wrapText="1"/>
    </xf>
    <xf numFmtId="167" fontId="0" fillId="0" borderId="0" xfId="0" applyNumberFormat="1">
      <alignment horizontal="left"/>
    </xf>
  </cellXfs>
  <cellStyles count="5">
    <cellStyle name="Comma" xfId="1" builtinId="3"/>
    <cellStyle name="Comma [0]" xfId="4" builtinId="6"/>
    <cellStyle name="Hyperlink" xfId="3" builtinId="8"/>
    <cellStyle name="Normal" xfId="0" builtinId="0" customBuiltin="1"/>
    <cellStyle name="Percent" xfId="2" builtinId="5"/>
  </cellStyles>
  <dxfs count="241">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numFmt numFmtId="167" formatCode="###,##0"/>
      <fill>
        <patternFill patternType="solid">
          <fgColor indexed="64"/>
          <bgColor rgb="FFD8E4BC"/>
        </patternFill>
      </fill>
      <alignment vertical="bottom" textRotation="0" wrapText="1" indent="0" justifyLastLine="0" shrinkToFit="0" readingOrder="0"/>
    </dxf>
    <dxf>
      <alignment horizontal="center" vertical="bottom" textRotation="0" wrapText="1" indent="0" justifyLastLine="0" shrinkToFit="0" readingOrder="0"/>
    </dxf>
    <dxf>
      <numFmt numFmtId="167" formatCode="###,##0"/>
      <fill>
        <patternFill patternType="solid">
          <fgColor indexed="64"/>
          <bgColor rgb="FFD8E4BC"/>
        </patternFill>
      </fill>
      <alignment vertical="bottom" textRotation="0" wrapText="1" indent="0" justifyLastLine="0" shrinkToFit="0" readingOrder="0"/>
    </dxf>
    <dxf>
      <numFmt numFmtId="167" formatCode="###,##0"/>
      <fill>
        <patternFill patternType="solid">
          <fgColor indexed="64"/>
          <bgColor rgb="FFD8E4BC"/>
        </patternFill>
      </fill>
      <alignment vertical="bottom" textRotation="0" wrapText="1" indent="0" justifyLastLine="0" shrinkToFit="0" readingOrder="0"/>
    </dxf>
    <dxf>
      <font>
        <b/>
        <color rgb="FFFFFFFF"/>
      </font>
      <numFmt numFmtId="167" formatCode="###,##0"/>
      <fill>
        <patternFill patternType="solid">
          <fgColor indexed="64"/>
          <bgColor rgb="FF4F6228"/>
        </patternFill>
      </fill>
      <alignmen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center" vertical="bottom" textRotation="0" wrapText="1" indent="0" justifyLastLine="0" shrinkToFit="0" readingOrder="0"/>
    </dxf>
    <dxf>
      <numFmt numFmtId="167" formatCode="###,##0"/>
      <fill>
        <patternFill patternType="solid">
          <fgColor indexed="64"/>
          <bgColor rgb="FFD8E4BC"/>
        </patternFill>
      </fill>
    </dxf>
    <dxf>
      <numFmt numFmtId="167" formatCode="###,##0"/>
      <fill>
        <patternFill patternType="solid">
          <fgColor indexed="64"/>
          <bgColor rgb="FFD8E4BC"/>
        </patternFill>
      </fill>
    </dxf>
    <dxf>
      <numFmt numFmtId="167" formatCode="###,##0"/>
      <fill>
        <patternFill patternType="solid">
          <fgColor indexed="64"/>
          <bgColor rgb="FFD8E4BC"/>
        </patternFill>
      </fill>
    </dxf>
    <dxf>
      <numFmt numFmtId="167" formatCode="###,##0"/>
      <fill>
        <patternFill patternType="solid">
          <fgColor indexed="64"/>
          <bgColor rgb="FFD8E4BC"/>
        </patternFill>
      </fill>
    </dxf>
    <dxf>
      <font>
        <b/>
        <color rgb="FFFFFFFF"/>
      </font>
      <numFmt numFmtId="167" formatCode="###,##0"/>
      <fill>
        <patternFill patternType="solid">
          <fgColor indexed="64"/>
          <bgColor rgb="FF4F6228"/>
        </patternFill>
      </fill>
    </dxf>
    <dxf>
      <font>
        <color rgb="FF000000"/>
      </font>
    </dxf>
    <dxf>
      <font>
        <b val="0"/>
        <i val="0"/>
        <strike val="0"/>
        <condense val="0"/>
        <extend val="0"/>
        <outline val="0"/>
        <shadow val="0"/>
        <u val="none"/>
        <vertAlign val="baseline"/>
        <sz val="11"/>
        <color rgb="FF000000"/>
        <name val="Calibri"/>
        <family val="2"/>
        <scheme val="minor"/>
      </font>
      <fill>
        <patternFill patternType="solid">
          <fgColor indexed="64"/>
          <bgColor rgb="FF000000"/>
        </patternFill>
      </fill>
    </dxf>
    <dxf>
      <font>
        <color rgb="FF000000"/>
      </font>
    </dxf>
    <dxf>
      <font>
        <color rgb="FF000000"/>
      </font>
    </dxf>
    <dxf>
      <font>
        <color rgb="FF000000"/>
      </font>
    </dxf>
    <dxf>
      <font>
        <color rgb="FF000000"/>
      </font>
    </dxf>
    <dxf>
      <font>
        <color rgb="FF000000"/>
      </font>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dxf>
    <dxf>
      <font>
        <b/>
        <color rgb="FFFFFFFF"/>
      </font>
      <fill>
        <patternFill patternType="solid">
          <fgColor indexed="64"/>
          <bgColor rgb="FF000000"/>
        </patternFill>
      </fill>
      <alignment horizontal="center" vertical="bottom" textRotation="0" wrapText="1" indent="0" justifyLastLine="0" shrinkToFit="0" readingOrder="0"/>
    </dxf>
    <dxf>
      <numFmt numFmtId="19" formatCode="m/d/yyyy"/>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4" formatCode="####"/>
    </dxf>
    <dxf>
      <numFmt numFmtId="166" formatCode="##,##0"/>
    </dxf>
    <dxf>
      <numFmt numFmtId="166" formatCode="##,##0"/>
    </dxf>
    <dxf>
      <numFmt numFmtId="166" formatCode="##,##0"/>
    </dxf>
    <dxf>
      <numFmt numFmtId="166" formatCode="##,##0"/>
    </dxf>
    <dxf>
      <numFmt numFmtId="166" formatCode="##,##0"/>
    </dxf>
    <dxf>
      <numFmt numFmtId="166" formatCode="##,##0"/>
    </dxf>
    <dxf>
      <border diagonalUp="0" diagonalDown="0" outline="0">
        <left/>
        <right/>
        <top/>
        <bottom/>
      </border>
    </dxf>
    <dxf>
      <border diagonalUp="0" diagonalDown="0" outline="0">
        <left/>
        <right/>
        <top/>
        <bottom/>
      </border>
    </dxf>
    <dxf>
      <numFmt numFmtId="165" formatCode="0.0000"/>
      <border diagonalUp="0" diagonalDown="0" outline="0">
        <left/>
        <right/>
        <top/>
        <bottom style="medium">
          <color indexed="64"/>
        </bottom>
      </border>
    </dxf>
    <dxf>
      <numFmt numFmtId="165" formatCode="0.0000"/>
      <border diagonalUp="0" diagonalDown="0" outline="0">
        <left/>
        <right/>
        <top/>
        <bottom style="medium">
          <color indexed="64"/>
        </bottom>
      </border>
    </dxf>
    <dxf>
      <numFmt numFmtId="165" formatCode="0.0000"/>
    </dxf>
    <dxf>
      <numFmt numFmtId="165" formatCode="0.0000"/>
    </dxf>
    <dxf>
      <numFmt numFmtId="165" formatCode="0.0000"/>
      <border diagonalUp="0" diagonalDown="0" outline="0">
        <left/>
        <right/>
        <top/>
        <bottom style="medium">
          <color indexed="64"/>
        </bottom>
      </border>
    </dxf>
    <dxf>
      <numFmt numFmtId="165" formatCode="0.0000"/>
    </dxf>
    <dxf>
      <numFmt numFmtId="165" formatCode="0.0000"/>
      <border diagonalUp="0" diagonalDown="0" outline="0">
        <left/>
        <right/>
        <top/>
        <bottom style="medium">
          <color indexed="64"/>
        </bottom>
      </border>
    </dxf>
    <dxf>
      <numFmt numFmtId="165" formatCode="0.0000"/>
    </dxf>
    <dxf>
      <border outline="0">
        <bottom style="medium">
          <color indexed="64"/>
        </bottom>
      </border>
    </dxf>
    <dxf>
      <border diagonalUp="0" diagonalDown="0">
        <left/>
        <right style="medium">
          <color indexed="64"/>
        </right>
        <top/>
        <bottom/>
        <vertical/>
        <horizontal/>
      </border>
    </dxf>
    <dxf>
      <border diagonalUp="0" diagonalDown="0">
        <left style="medium">
          <color indexed="64"/>
        </left>
        <right/>
        <top/>
        <bottom/>
        <vertical/>
        <horizontal/>
      </border>
    </dxf>
    <dxf>
      <border outline="0">
        <bottom style="medium">
          <color indexed="64"/>
        </bottom>
      </border>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numFmt numFmtId="165" formatCode="0.0000"/>
    </dxf>
    <dxf>
      <border diagonalUp="0" diagonalDown="0">
        <left/>
        <right style="medium">
          <color indexed="64"/>
        </right>
        <top/>
        <bottom/>
        <vertical/>
        <horizontal/>
      </border>
    </dxf>
    <dxf>
      <border diagonalUp="0" diagonalDown="0">
        <left style="medium">
          <color indexed="64"/>
        </left>
        <right/>
        <top/>
        <bottom/>
        <vertical/>
        <horizontal/>
      </border>
    </dxf>
    <dxf>
      <border outline="0">
        <bottom style="medium">
          <color indexed="64"/>
        </bottom>
      </border>
    </dxf>
    <dxf>
      <border outline="0">
        <bottom style="medium">
          <color indexed="64"/>
        </bottom>
      </border>
    </dxf>
    <dxf>
      <numFmt numFmtId="167" formatCode="###,##0"/>
      <fill>
        <patternFill patternType="solid">
          <fgColor indexed="64"/>
          <bgColor rgb="FFD8E4BC"/>
        </patternFill>
      </fill>
    </dxf>
    <dxf>
      <numFmt numFmtId="167" formatCode="###,##0"/>
      <fill>
        <patternFill patternType="solid">
          <fgColor indexed="64"/>
          <bgColor rgb="FFD8E4BC"/>
        </patternFill>
      </fill>
    </dxf>
    <dxf>
      <numFmt numFmtId="167" formatCode="###,##0"/>
      <fill>
        <patternFill patternType="solid">
          <fgColor indexed="64"/>
          <bgColor rgb="FFD8E4BC"/>
        </patternFill>
      </fill>
    </dxf>
    <dxf>
      <font>
        <b/>
        <color rgb="FFFFFFFF"/>
      </font>
      <numFmt numFmtId="167" formatCode="###,##0"/>
      <fill>
        <patternFill patternType="solid">
          <fgColor indexed="64"/>
          <bgColor rgb="FF4F6228"/>
        </patternFill>
      </fill>
    </dxf>
    <dxf>
      <numFmt numFmtId="167" formatCode="###,##0"/>
      <fill>
        <patternFill patternType="solid">
          <fgColor indexed="64"/>
          <bgColor rgb="FFD8E4BC"/>
        </patternFill>
      </fill>
    </dxf>
    <dxf>
      <alignment horizontal="center" vertical="bottom" textRotation="0" wrapText="1" indent="0" justifyLastLine="0" shrinkToFit="0" readingOrder="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64" formatCode="####"/>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9" formatCode="m/d/yyyy"/>
    </dxf>
    <dxf>
      <font>
        <b/>
        <color rgb="FFFFFFFF"/>
      </font>
      <fill>
        <patternFill patternType="solid">
          <fgColor indexed="64"/>
          <bgColor rgb="FF000000"/>
        </patternFill>
      </fill>
      <alignment horizontal="center"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alignment horizontal="left" vertical="bottom" textRotation="0" wrapText="1" indent="0" justifyLastLine="0" shrinkToFit="0" readingOrder="0"/>
    </dxf>
    <dxf>
      <numFmt numFmtId="167" formatCode="###,##0"/>
      <fill>
        <patternFill patternType="solid">
          <fgColor indexed="64"/>
          <bgColor rgb="FFD8E4BC"/>
        </patternFill>
      </fill>
      <alignment vertical="bottom" textRotation="0" wrapText="1" indent="0" justifyLastLine="0" shrinkToFit="0" readingOrder="0"/>
    </dxf>
    <dxf>
      <numFmt numFmtId="167" formatCode="###,##0"/>
      <fill>
        <patternFill patternType="solid">
          <fgColor indexed="64"/>
          <bgColor rgb="FFD8E4BC"/>
        </patternFill>
      </fill>
      <alignment vertical="bottom" textRotation="0" wrapText="1" indent="0" justifyLastLine="0" shrinkToFit="0" readingOrder="0"/>
    </dxf>
    <dxf>
      <font>
        <b/>
        <color rgb="FFFFFFFF"/>
      </font>
      <numFmt numFmtId="167" formatCode="###,##0"/>
      <fill>
        <patternFill patternType="solid">
          <fgColor indexed="64"/>
          <bgColor rgb="FF4F6228"/>
        </patternFill>
      </fill>
      <alignment vertical="bottom" textRotation="0" wrapText="1" indent="0" justifyLastLine="0" shrinkToFit="0" readingOrder="0"/>
    </dxf>
    <dxf>
      <numFmt numFmtId="167" formatCode="###,##0"/>
      <fill>
        <patternFill patternType="solid">
          <fgColor indexed="64"/>
          <bgColor rgb="FFD8E4BC"/>
        </patternFill>
      </fill>
      <alignment vertical="bottom" textRotation="0" wrapText="1" indent="0" justifyLastLine="0" shrinkToFit="0" readingOrder="0"/>
    </dxf>
    <dxf>
      <alignment horizontal="center" vertical="bottom" textRotation="0" wrapText="1" indent="0" justifyLastLine="0" shrinkToFit="0" readingOrder="0"/>
    </dxf>
    <dxf>
      <numFmt numFmtId="167" formatCode="###,##0"/>
      <fill>
        <patternFill patternType="solid">
          <fgColor indexed="64"/>
          <bgColor rgb="FFD8E4BC"/>
        </patternFill>
      </fill>
    </dxf>
    <dxf>
      <numFmt numFmtId="167" formatCode="###,##0"/>
      <fill>
        <patternFill patternType="solid">
          <fgColor indexed="64"/>
          <bgColor rgb="FFD8E4BC"/>
        </patternFill>
      </fill>
    </dxf>
    <dxf>
      <numFmt numFmtId="167" formatCode="###,##0"/>
      <fill>
        <patternFill patternType="solid">
          <fgColor indexed="64"/>
          <bgColor rgb="FFD8E4BC"/>
        </patternFill>
      </fill>
    </dxf>
    <dxf>
      <font>
        <b/>
        <color rgb="FFFFFFFF"/>
      </font>
      <numFmt numFmtId="167" formatCode="###,##0"/>
      <fill>
        <patternFill patternType="solid">
          <fgColor indexed="64"/>
          <bgColor rgb="FF4F6228"/>
        </patternFill>
      </fill>
    </dxf>
    <dxf>
      <numFmt numFmtId="167" formatCode="###,##0"/>
      <fill>
        <patternFill patternType="solid">
          <fgColor indexed="64"/>
          <bgColor rgb="FFD8E4BC"/>
        </patternFill>
      </fill>
    </dxf>
    <dxf>
      <alignment horizontal="center" vertical="bottom" textRotation="0" wrapText="1" indent="0" justifyLastLine="0" shrinkToFit="0" readingOrder="0"/>
    </dxf>
    <dxf>
      <font>
        <color rgb="FF000000"/>
      </font>
    </dxf>
    <dxf>
      <font>
        <color rgb="FF000000"/>
      </font>
    </dxf>
    <dxf>
      <font>
        <color rgb="FF000000"/>
      </font>
    </dxf>
    <dxf>
      <font>
        <color rgb="FF000000"/>
      </font>
    </dxf>
    <dxf>
      <font>
        <color rgb="FF000000"/>
      </font>
    </dxf>
    <dxf>
      <font>
        <color rgb="FF000000"/>
      </font>
    </dxf>
    <dxf>
      <font>
        <b val="0"/>
        <i val="0"/>
        <strike val="0"/>
        <condense val="0"/>
        <extend val="0"/>
        <outline val="0"/>
        <shadow val="0"/>
        <u val="none"/>
        <vertAlign val="baseline"/>
        <sz val="11"/>
        <color rgb="FF000000"/>
        <name val="Calibri"/>
        <family val="2"/>
        <scheme val="minor"/>
      </font>
      <fill>
        <patternFill patternType="solid">
          <fgColor indexed="64"/>
          <bgColor rgb="FF000000"/>
        </patternFill>
      </fill>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2" formatCode="0.00"/>
      <alignment horizontal="right" vertical="bottom" textRotation="0" wrapText="0" indent="0" justifyLastLine="0" shrinkToFit="0" readingOrder="0"/>
    </dxf>
    <dxf>
      <numFmt numFmtId="166" formatCode="##,##0"/>
      <alignment horizontal="right" vertical="bottom" textRotation="0" wrapText="0" indent="0" justifyLastLine="0" shrinkToFit="0" readingOrder="0"/>
    </dxf>
    <dxf>
      <numFmt numFmtId="166" formatCode="##,##0"/>
    </dxf>
    <dxf>
      <numFmt numFmtId="166" formatCode="##,##0"/>
    </dxf>
    <dxf>
      <numFmt numFmtId="166" formatCode="##,##0"/>
    </dxf>
    <dxf>
      <numFmt numFmtId="166" formatCode="##,##0"/>
    </dxf>
    <dxf>
      <numFmt numFmtId="166" formatCode="##,##0"/>
    </dxf>
    <dxf>
      <border diagonalUp="0" diagonalDown="0" outline="0">
        <left/>
        <right/>
        <top/>
        <bottom/>
      </border>
    </dxf>
    <dxf>
      <numFmt numFmtId="166" formatCode="##,##0"/>
    </dxf>
    <dxf>
      <border diagonalUp="0" diagonalDown="0" outline="0">
        <left/>
        <right/>
        <top/>
        <bottom/>
      </border>
    </dxf>
    <dxf>
      <numFmt numFmtId="166" formatCode="##,##0"/>
    </dxf>
    <dxf>
      <numFmt numFmtId="166" formatCode="##,##0"/>
    </dxf>
    <dxf>
      <numFmt numFmtId="166" formatCode="##,##0"/>
    </dxf>
    <dxf>
      <numFmt numFmtId="166" formatCode="##,##0"/>
    </dxf>
    <dxf>
      <numFmt numFmtId="166" formatCode="##,##0"/>
    </dxf>
    <dxf>
      <numFmt numFmtId="166" formatCode="##,##0"/>
    </dxf>
    <dxf>
      <numFmt numFmtId="164" formatCode="####"/>
    </dxf>
    <dxf>
      <numFmt numFmtId="166" formatCode="##,##0"/>
    </dxf>
    <dxf>
      <numFmt numFmtId="166" formatCode="##,##0"/>
    </dxf>
    <dxf>
      <numFmt numFmtId="166" formatCode="##,##0"/>
    </dxf>
    <dxf>
      <numFmt numFmtId="166" formatCode="##,##0"/>
    </dxf>
    <dxf>
      <numFmt numFmtId="166" formatCode="##,##0"/>
    </dxf>
    <dxf>
      <numFmt numFmtId="166" formatCode="##,##0"/>
    </dxf>
    <dxf>
      <numFmt numFmtId="166" formatCode="##,##0"/>
    </dxf>
    <dxf>
      <numFmt numFmtId="19" formatCode="m/d/yyyy"/>
    </dxf>
    <dxf>
      <font>
        <b/>
        <color rgb="FFFFFFFF"/>
      </font>
      <fill>
        <patternFill patternType="solid">
          <fgColor indexed="64"/>
          <bgColor rgb="FF000000"/>
        </patternFill>
      </fill>
      <alignment horizontal="center" vertical="bottom" textRotation="0" wrapText="1" indent="0" justifyLastLine="0" shrinkToFit="0" readingOrder="0"/>
    </dxf>
    <dxf>
      <numFmt numFmtId="165" formatCode="0.0000"/>
      <border diagonalUp="0" diagonalDown="0" outline="0">
        <left/>
        <right/>
        <top/>
        <bottom style="medium">
          <color indexed="64"/>
        </bottom>
      </border>
    </dxf>
    <dxf>
      <numFmt numFmtId="165" formatCode="0.0000"/>
      <border diagonalUp="0" diagonalDown="0" outline="0">
        <left/>
        <right/>
        <top/>
        <bottom style="medium">
          <color indexed="64"/>
        </bottom>
      </border>
    </dxf>
    <dxf>
      <numFmt numFmtId="165" formatCode="0.0000"/>
      <border diagonalUp="0" diagonalDown="0" outline="0">
        <left/>
        <right/>
        <top/>
        <bottom style="medium">
          <color indexed="64"/>
        </bottom>
      </border>
    </dxf>
    <dxf>
      <numFmt numFmtId="165" formatCode="0.0000"/>
      <border diagonalUp="0" diagonalDown="0" outline="0">
        <left/>
        <right/>
        <top/>
        <bottom style="medium">
          <color indexed="64"/>
        </bottom>
      </border>
    </dxf>
    <dxf>
      <border outline="0">
        <bottom style="medium">
          <color indexed="64"/>
        </bottom>
      </border>
    </dxf>
    <dxf>
      <border diagonalUp="0" diagonalDown="0">
        <left/>
        <right style="medium">
          <color indexed="64"/>
        </right>
        <top/>
        <bottom/>
        <vertical/>
        <horizontal/>
      </border>
    </dxf>
    <dxf>
      <numFmt numFmtId="165" formatCode="0.0000"/>
    </dxf>
    <dxf>
      <numFmt numFmtId="165" formatCode="0.0000"/>
    </dxf>
    <dxf>
      <numFmt numFmtId="165" formatCode="0.0000"/>
    </dxf>
    <dxf>
      <numFmt numFmtId="165" formatCode="0.0000"/>
    </dxf>
    <dxf>
      <border diagonalUp="0" diagonalDown="0">
        <left style="medium">
          <color indexed="64"/>
        </left>
        <right/>
        <top/>
        <bottom/>
        <vertical/>
        <horizontal/>
      </border>
    </dxf>
    <dxf>
      <border outline="0">
        <bottom style="medium">
          <color indexed="64"/>
        </bottom>
      </border>
    </dxf>
    <dxf>
      <font>
        <color rgb="FF000000"/>
      </font>
      <fill>
        <patternFill patternType="solid">
          <fgColor indexed="64"/>
          <bgColor rgb="FFFFFFFF"/>
        </patternFill>
      </fill>
    </dxf>
    <dxf>
      <font>
        <color rgb="FF000000"/>
      </font>
      <fill>
        <patternFill patternType="solid">
          <fgColor indexed="64"/>
          <bgColor rgb="FFFFFFFF"/>
        </patternFill>
      </fill>
    </dxf>
    <dxf>
      <font>
        <color rgb="FF000000"/>
      </font>
      <fill>
        <patternFill patternType="solid">
          <fgColor indexed="64"/>
          <bgColor rgb="FFFFFFFF"/>
        </patternFill>
      </fill>
    </dxf>
    <dxf>
      <font>
        <color rgb="FF000000"/>
      </font>
      <fill>
        <patternFill patternType="solid">
          <fgColor indexed="64"/>
          <bgColor rgb="FFFFFFFF"/>
        </patternFill>
      </fill>
    </dxf>
    <dxf>
      <font>
        <color rgb="FF000000"/>
      </font>
      <numFmt numFmtId="165" formatCode="0.0000"/>
      <fill>
        <patternFill patternType="solid">
          <fgColor indexed="64"/>
          <bgColor rgb="FFFFFFFF"/>
        </patternFill>
      </fill>
      <border diagonalUp="0" diagonalDown="0" outline="0">
        <left/>
        <right/>
        <top/>
        <bottom style="medium">
          <color indexed="64"/>
        </bottom>
      </border>
    </dxf>
    <dxf>
      <font>
        <color rgb="FF000000"/>
      </font>
      <numFmt numFmtId="165" formatCode="0.0000"/>
      <fill>
        <patternFill patternType="solid">
          <fgColor indexed="64"/>
          <bgColor rgb="FFFFFFFF"/>
        </patternFill>
      </fill>
      <border diagonalUp="0" diagonalDown="0" outline="0">
        <left/>
        <right/>
        <top/>
        <bottom style="medium">
          <color indexed="64"/>
        </bottom>
      </border>
    </dxf>
    <dxf>
      <font>
        <color rgb="FF000000"/>
      </font>
      <numFmt numFmtId="165" formatCode="0.0000"/>
      <fill>
        <patternFill patternType="solid">
          <fgColor indexed="64"/>
          <bgColor rgb="FFFFFFFF"/>
        </patternFill>
      </fill>
      <border diagonalUp="0" diagonalDown="0" outline="0">
        <left/>
        <right/>
        <top/>
        <bottom style="medium">
          <color indexed="64"/>
        </bottom>
      </border>
    </dxf>
    <dxf>
      <font>
        <color rgb="FF000000"/>
      </font>
      <numFmt numFmtId="165" formatCode="0.0000"/>
      <fill>
        <patternFill patternType="solid">
          <fgColor indexed="64"/>
          <bgColor rgb="FFFFFFFF"/>
        </patternFill>
      </fill>
      <border diagonalUp="0" diagonalDown="0" outline="0">
        <left/>
        <right/>
        <top/>
        <bottom style="medium">
          <color indexed="64"/>
        </bottom>
      </border>
    </dxf>
    <dxf>
      <font>
        <color rgb="FF000000"/>
      </font>
      <fill>
        <patternFill patternType="solid">
          <fgColor indexed="64"/>
          <bgColor rgb="FFFFFFFF"/>
        </patternFill>
      </fill>
    </dxf>
    <dxf>
      <font>
        <color rgb="FF000000"/>
      </font>
      <fill>
        <patternFill patternType="solid">
          <fgColor indexed="64"/>
          <bgColor rgb="FFFFFFFF"/>
        </patternFill>
      </fill>
    </dxf>
    <dxf>
      <font>
        <color rgb="FF000000"/>
      </font>
      <fill>
        <patternFill patternType="solid">
          <fgColor indexed="64"/>
          <bgColor rgb="FFFFFFFF"/>
        </patternFill>
      </fill>
    </dxf>
    <dxf>
      <font>
        <color rgb="FF000000"/>
      </font>
      <fill>
        <patternFill patternType="solid">
          <fgColor indexed="64"/>
          <bgColor rgb="FFFFFFFF"/>
        </patternFill>
      </fill>
    </dxf>
    <dxf>
      <font>
        <color rgb="FF000000"/>
      </font>
      <fill>
        <patternFill patternType="solid">
          <fgColor indexed="64"/>
          <bgColor rgb="FFFFFFFF"/>
        </patternFill>
      </fill>
    </dxf>
    <dxf>
      <font>
        <color rgb="FF000000"/>
      </font>
      <fill>
        <patternFill patternType="solid">
          <fgColor indexed="64"/>
          <bgColor rgb="FFFFFFFF"/>
        </patternFill>
      </fill>
    </dxf>
    <dxf>
      <border outline="0">
        <bottom style="medium">
          <color indexed="64"/>
        </bottom>
      </border>
    </dxf>
    <dxf>
      <font>
        <color rgb="FF000000"/>
      </font>
      <fill>
        <patternFill patternType="solid">
          <fgColor indexed="64"/>
          <bgColor rgb="FFFFFFFF"/>
        </patternFill>
      </fill>
    </dxf>
    <dxf>
      <font>
        <b/>
        <color rgb="FFFFFFFF"/>
      </font>
      <fill>
        <patternFill patternType="solid">
          <fgColor indexed="64"/>
          <bgColor rgb="FF000000"/>
        </patternFill>
      </fill>
    </dxf>
    <dxf>
      <font>
        <b val="0"/>
        <color rgb="FF000000"/>
      </font>
      <fill>
        <patternFill>
          <fgColor indexed="64"/>
          <bgColor rgb="FFFFFFFF"/>
        </patternFill>
      </fill>
    </dxf>
    <dxf>
      <font>
        <b val="0"/>
        <color rgb="FF000000"/>
      </font>
      <fill>
        <patternFill>
          <fgColor indexed="64"/>
          <bgColor rgb="FFFFFFFF"/>
        </patternFill>
      </fill>
    </dxf>
    <dxf>
      <font>
        <b val="0"/>
        <color rgb="FF000000"/>
      </font>
      <fill>
        <patternFill>
          <fgColor indexed="64"/>
          <bgColor rgb="FFFFFFFF"/>
        </patternFill>
      </fill>
    </dxf>
    <dxf>
      <font>
        <b val="0"/>
        <color rgb="FF000000"/>
      </font>
      <fill>
        <patternFill>
          <fgColor indexed="64"/>
          <bgColor rgb="FFFFFFFF"/>
        </patternFill>
      </fill>
    </dxf>
    <dxf>
      <font>
        <b val="0"/>
        <color rgb="FF000000"/>
      </font>
      <numFmt numFmtId="165" formatCode="0.0000"/>
      <fill>
        <patternFill>
          <fgColor indexed="64"/>
          <bgColor rgb="FFFFFFFF"/>
        </patternFill>
      </fill>
    </dxf>
    <dxf>
      <font>
        <b val="0"/>
        <color rgb="FF000000"/>
      </font>
      <numFmt numFmtId="165" formatCode="0.0000"/>
      <fill>
        <patternFill>
          <fgColor indexed="64"/>
          <bgColor rgb="FFFFFFFF"/>
        </patternFill>
      </fill>
    </dxf>
    <dxf>
      <font>
        <b val="0"/>
        <color rgb="FF000000"/>
      </font>
      <numFmt numFmtId="165" formatCode="0.0000"/>
      <fill>
        <patternFill>
          <fgColor indexed="64"/>
          <bgColor rgb="FFFFFFFF"/>
        </patternFill>
      </fill>
    </dxf>
    <dxf>
      <font>
        <b val="0"/>
        <color rgb="FF000000"/>
      </font>
      <numFmt numFmtId="165" formatCode="0.0000"/>
      <fill>
        <patternFill>
          <fgColor indexed="64"/>
          <bgColor rgb="FFFFFFFF"/>
        </patternFill>
      </fill>
    </dxf>
    <dxf>
      <font>
        <b val="0"/>
        <color rgb="FF000000"/>
      </font>
      <fill>
        <patternFill>
          <fgColor indexed="64"/>
          <bgColor rgb="FFFFFFFF"/>
        </patternFill>
      </fill>
    </dxf>
    <dxf>
      <font>
        <b val="0"/>
        <color rgb="FF000000"/>
      </font>
      <fill>
        <patternFill>
          <fgColor indexed="64"/>
          <bgColor rgb="FFFFFFFF"/>
        </patternFill>
      </fill>
    </dxf>
    <dxf>
      <font>
        <b val="0"/>
        <color rgb="FF000000"/>
      </font>
      <fill>
        <patternFill>
          <fgColor indexed="64"/>
          <bgColor rgb="FFFFFFFF"/>
        </patternFill>
      </fill>
    </dxf>
    <dxf>
      <font>
        <b val="0"/>
        <color rgb="FF000000"/>
      </font>
      <fill>
        <patternFill>
          <fgColor indexed="64"/>
          <bgColor rgb="FFFFFFFF"/>
        </patternFill>
      </fill>
    </dxf>
    <dxf>
      <font>
        <b val="0"/>
        <color rgb="FF000000"/>
      </font>
      <fill>
        <patternFill>
          <fgColor indexed="64"/>
          <bgColor rgb="FFFFFFFF"/>
        </patternFill>
      </fill>
    </dxf>
    <dxf>
      <font>
        <b val="0"/>
        <color rgb="FF000000"/>
      </font>
      <fill>
        <patternFill>
          <fgColor indexed="64"/>
          <bgColor rgb="FFFFFFFF"/>
        </patternFill>
      </fill>
    </dxf>
    <dxf>
      <border outline="0">
        <bottom style="medium">
          <color indexed="64"/>
        </bottom>
      </border>
    </dxf>
    <dxf>
      <font>
        <b val="0"/>
        <color rgb="FF000000"/>
      </font>
      <fill>
        <patternFill>
          <fgColor indexed="64"/>
          <bgColor rgb="FFFFFFFF"/>
        </patternFill>
      </fill>
    </dxf>
    <dxf>
      <font>
        <b/>
        <color rgb="FFFFFFFF"/>
      </font>
      <fill>
        <patternFill patternType="solid">
          <fgColor indexed="64"/>
          <bgColor rgb="FF000000"/>
        </patternFill>
      </fill>
    </dxf>
    <dxf>
      <font>
        <b val="0"/>
        <i val="0"/>
        <strike val="0"/>
        <condense val="0"/>
        <extend val="0"/>
        <outline val="0"/>
        <shadow val="0"/>
        <u val="none"/>
        <vertAlign val="baseline"/>
        <sz val="11"/>
        <color theme="1"/>
        <name val="Calibri"/>
        <family val="2"/>
        <scheme val="minor"/>
      </font>
      <numFmt numFmtId="164" formatCode="####"/>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5" formatCode="#,##0_);\(#,##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5" formatCode="#,##0_);\(#,##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5" formatCode="#,##0_);\(#,##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5" formatCode="#,##0_);\(#,##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5" formatCode="#,##0_);\(#,##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5" formatCode="#,##0_);\(#,##0\)"/>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5" formatCode="#,##0_);\(#,##0\)"/>
      <alignment horizontal="center" vertical="bottom" textRotation="0" wrapText="0" indent="0" justifyLastLine="0" shrinkToFit="0" readingOrder="0"/>
    </dxf>
    <dxf>
      <numFmt numFmtId="19" formatCode="m/d/yyyy"/>
      <alignment horizontal="center" vertical="bottom"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5" formatCode="#,##0_);\(#,##0\)"/>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256107</c:v>
              </c:pt>
              <c:pt idx="1">
                <c:v>265927</c:v>
              </c:pt>
              <c:pt idx="2">
                <c:v>237277</c:v>
              </c:pt>
              <c:pt idx="3">
                <c:v>201834</c:v>
              </c:pt>
              <c:pt idx="4">
                <c:v>215584</c:v>
              </c:pt>
              <c:pt idx="5">
                <c:v>239665</c:v>
              </c:pt>
              <c:pt idx="6">
                <c:v>216025</c:v>
              </c:pt>
              <c:pt idx="7">
                <c:v>265071</c:v>
              </c:pt>
              <c:pt idx="8">
                <c:v>243292</c:v>
              </c:pt>
              <c:pt idx="9">
                <c:v>253998</c:v>
              </c:pt>
              <c:pt idx="10">
                <c:v>182621.5</c:v>
              </c:pt>
              <c:pt idx="11">
                <c:v>233990.39999999999</c:v>
              </c:pt>
            </c:numLit>
          </c:xVal>
          <c:yVal>
            <c:numLit>
              <c:formatCode>General</c:formatCode>
              <c:ptCount val="12"/>
              <c:pt idx="0">
                <c:v>47790.114149303801</c:v>
              </c:pt>
              <c:pt idx="1">
                <c:v>49252.844671244697</c:v>
              </c:pt>
              <c:pt idx="2">
                <c:v>48295.408027194797</c:v>
              </c:pt>
              <c:pt idx="3">
                <c:v>43874.697743737299</c:v>
              </c:pt>
              <c:pt idx="4">
                <c:v>47726.191660490302</c:v>
              </c:pt>
              <c:pt idx="5">
                <c:v>49043.2246927296</c:v>
              </c:pt>
              <c:pt idx="6">
                <c:v>54187.621810023003</c:v>
              </c:pt>
              <c:pt idx="7">
                <c:v>56026.4254860441</c:v>
              </c:pt>
              <c:pt idx="8">
                <c:v>54271.642094028502</c:v>
              </c:pt>
              <c:pt idx="9">
                <c:v>54237.0441697266</c:v>
              </c:pt>
              <c:pt idx="10">
                <c:v>46925.291775047997</c:v>
              </c:pt>
              <c:pt idx="11">
                <c:v>45178.609460963999</c:v>
              </c:pt>
            </c:numLit>
          </c:yVal>
          <c:smooth val="0"/>
          <c:extLst>
            <c:ext xmlns:c16="http://schemas.microsoft.com/office/drawing/2014/chart" uri="{C3380CC4-5D6E-409C-BE32-E72D297353CC}">
              <c16:uniqueId val="{00000003-1B56-4D51-817E-8BA7137E6346}"/>
            </c:ext>
          </c:extLst>
        </c:ser>
        <c:ser>
          <c:idx val="0"/>
          <c:order val="0"/>
          <c:tx>
            <c:strRef>
              <c:f>'1 Electricity (MMBTU)'!$A$2</c:f>
              <c:strCache>
                <c:ptCount val="1"/>
                <c:pt idx="0">
                  <c:v>The best model for the data provided is #4</c:v>
                </c:pt>
              </c:strCache>
            </c:strRef>
          </c:tx>
          <c:yVal>
            <c:numRef>
              <c:f>'1 Electricity (MMBTU)'!$B$2:$G$2</c:f>
            </c:numRef>
          </c:yVal>
          <c:smooth val="0"/>
          <c:extLst>
            <c:ext xmlns:c16="http://schemas.microsoft.com/office/drawing/2014/chart" uri="{C3380CC4-5D6E-409C-BE32-E72D297353CC}">
              <c16:uniqueId val="{00000000-1B56-4D51-817E-8BA7137E6346}"/>
            </c:ext>
          </c:extLst>
        </c:ser>
        <c:dLbls>
          <c:showLegendKey val="0"/>
          <c:showVal val="0"/>
          <c:showCatName val="0"/>
          <c:showSerName val="0"/>
          <c:showPercent val="0"/>
          <c:showBubbleSize val="0"/>
        </c:dLbls>
        <c:axId val="692946440"/>
        <c:axId val="692944800"/>
      </c:scatterChart>
      <c:valAx>
        <c:axId val="692946440"/>
        <c:scaling>
          <c:orientation val="minMax"/>
        </c:scaling>
        <c:delete val="0"/>
        <c:axPos val="b"/>
        <c:title>
          <c:tx>
            <c:rich>
              <a:bodyPr/>
              <a:lstStyle/>
              <a:p>
                <a:pPr>
                  <a:defRPr/>
                </a:pPr>
                <a:r>
                  <a:rPr lang="en-US"/>
                  <a:t>Production</a:t>
                </a:r>
              </a:p>
            </c:rich>
          </c:tx>
          <c:overlay val="0"/>
        </c:title>
        <c:numFmt formatCode="###,##0" sourceLinked="0"/>
        <c:majorTickMark val="out"/>
        <c:minorTickMark val="none"/>
        <c:tickLblPos val="nextTo"/>
        <c:crossAx val="692944800"/>
        <c:crosses val="autoZero"/>
        <c:crossBetween val="midCat"/>
      </c:valAx>
      <c:valAx>
        <c:axId val="692944800"/>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6929464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1619</c:v>
              </c:pt>
              <c:pt idx="1">
                <c:v>1453</c:v>
              </c:pt>
              <c:pt idx="2">
                <c:v>1126</c:v>
              </c:pt>
              <c:pt idx="3">
                <c:v>657</c:v>
              </c:pt>
              <c:pt idx="4">
                <c:v>272</c:v>
              </c:pt>
              <c:pt idx="5">
                <c:v>12</c:v>
              </c:pt>
              <c:pt idx="6">
                <c:v>2</c:v>
              </c:pt>
              <c:pt idx="7">
                <c:v>7</c:v>
              </c:pt>
              <c:pt idx="8">
                <c:v>84</c:v>
              </c:pt>
              <c:pt idx="9">
                <c:v>478</c:v>
              </c:pt>
              <c:pt idx="10">
                <c:v>913</c:v>
              </c:pt>
              <c:pt idx="11">
                <c:v>1605</c:v>
              </c:pt>
            </c:numLit>
          </c:xVal>
          <c:yVal>
            <c:numLit>
              <c:formatCode>General</c:formatCode>
              <c:ptCount val="12"/>
              <c:pt idx="0">
                <c:v>30294</c:v>
              </c:pt>
              <c:pt idx="1">
                <c:v>28094</c:v>
              </c:pt>
              <c:pt idx="2">
                <c:v>24387</c:v>
              </c:pt>
              <c:pt idx="3">
                <c:v>15818</c:v>
              </c:pt>
              <c:pt idx="4">
                <c:v>14085</c:v>
              </c:pt>
              <c:pt idx="5">
                <c:v>14866</c:v>
              </c:pt>
              <c:pt idx="6">
                <c:v>13297</c:v>
              </c:pt>
              <c:pt idx="7">
                <c:v>16001.8</c:v>
              </c:pt>
              <c:pt idx="8">
                <c:v>15913</c:v>
              </c:pt>
              <c:pt idx="9">
                <c:v>17474</c:v>
              </c:pt>
              <c:pt idx="10">
                <c:v>15894</c:v>
              </c:pt>
              <c:pt idx="11">
                <c:v>22872</c:v>
              </c:pt>
            </c:numLit>
          </c:yVal>
          <c:smooth val="0"/>
          <c:extLst>
            <c:ext xmlns:c16="http://schemas.microsoft.com/office/drawing/2014/chart" uri="{C3380CC4-5D6E-409C-BE32-E72D297353CC}">
              <c16:uniqueId val="{00000003-D13B-47B7-A1E2-74313179F6F8}"/>
            </c:ext>
          </c:extLst>
        </c:ser>
        <c:ser>
          <c:idx val="0"/>
          <c:order val="0"/>
          <c:tx>
            <c:strRef>
              <c:f>'1 Natural Gas (MMBTU)'!$A$2</c:f>
              <c:strCache>
                <c:ptCount val="1"/>
                <c:pt idx="0">
                  <c:v>The best model for the data provided is #4</c:v>
                </c:pt>
              </c:strCache>
            </c:strRef>
          </c:tx>
          <c:yVal>
            <c:numRef>
              <c:f>'1 Natural Gas (MMBTU)'!$B$2:$G$2</c:f>
            </c:numRef>
          </c:yVal>
          <c:smooth val="0"/>
          <c:extLst>
            <c:ext xmlns:c16="http://schemas.microsoft.com/office/drawing/2014/chart" uri="{C3380CC4-5D6E-409C-BE32-E72D297353CC}">
              <c16:uniqueId val="{00000000-D13B-47B7-A1E2-74313179F6F8}"/>
            </c:ext>
          </c:extLst>
        </c:ser>
        <c:dLbls>
          <c:showLegendKey val="0"/>
          <c:showVal val="0"/>
          <c:showCatName val="0"/>
          <c:showSerName val="0"/>
          <c:showPercent val="0"/>
          <c:showBubbleSize val="0"/>
        </c:dLbls>
        <c:axId val="689130464"/>
        <c:axId val="363414224"/>
      </c:scatterChart>
      <c:valAx>
        <c:axId val="689130464"/>
        <c:scaling>
          <c:orientation val="minMax"/>
        </c:scaling>
        <c:delete val="0"/>
        <c:axPos val="b"/>
        <c:title>
          <c:tx>
            <c:rich>
              <a:bodyPr/>
              <a:lstStyle/>
              <a:p>
                <a:pPr>
                  <a:defRPr/>
                </a:pPr>
                <a:r>
                  <a:rPr lang="en-US"/>
                  <a:t>HDD</a:t>
                </a:r>
              </a:p>
            </c:rich>
          </c:tx>
          <c:overlay val="0"/>
        </c:title>
        <c:numFmt formatCode="###,##0" sourceLinked="0"/>
        <c:majorTickMark val="out"/>
        <c:minorTickMark val="none"/>
        <c:tickLblPos val="nextTo"/>
        <c:crossAx val="363414224"/>
        <c:crosses val="autoZero"/>
        <c:crossBetween val="midCat"/>
      </c:valAx>
      <c:valAx>
        <c:axId val="363414224"/>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6891304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0</c:v>
              </c:pt>
              <c:pt idx="1">
                <c:v>0</c:v>
              </c:pt>
              <c:pt idx="2">
                <c:v>0</c:v>
              </c:pt>
              <c:pt idx="3">
                <c:v>0</c:v>
              </c:pt>
              <c:pt idx="4">
                <c:v>11</c:v>
              </c:pt>
              <c:pt idx="5">
                <c:v>94</c:v>
              </c:pt>
              <c:pt idx="6">
                <c:v>216</c:v>
              </c:pt>
              <c:pt idx="7">
                <c:v>148</c:v>
              </c:pt>
              <c:pt idx="8">
                <c:v>15</c:v>
              </c:pt>
              <c:pt idx="9">
                <c:v>5</c:v>
              </c:pt>
              <c:pt idx="10">
                <c:v>0</c:v>
              </c:pt>
              <c:pt idx="11">
                <c:v>0</c:v>
              </c:pt>
            </c:numLit>
          </c:xVal>
          <c:yVal>
            <c:numLit>
              <c:formatCode>General</c:formatCode>
              <c:ptCount val="12"/>
              <c:pt idx="0">
                <c:v>30294</c:v>
              </c:pt>
              <c:pt idx="1">
                <c:v>28094</c:v>
              </c:pt>
              <c:pt idx="2">
                <c:v>24387</c:v>
              </c:pt>
              <c:pt idx="3">
                <c:v>15818</c:v>
              </c:pt>
              <c:pt idx="4">
                <c:v>14085</c:v>
              </c:pt>
              <c:pt idx="5">
                <c:v>14866</c:v>
              </c:pt>
              <c:pt idx="6">
                <c:v>13297</c:v>
              </c:pt>
              <c:pt idx="7">
                <c:v>16001.8</c:v>
              </c:pt>
              <c:pt idx="8">
                <c:v>15913</c:v>
              </c:pt>
              <c:pt idx="9">
                <c:v>17474</c:v>
              </c:pt>
              <c:pt idx="10">
                <c:v>15894</c:v>
              </c:pt>
              <c:pt idx="11">
                <c:v>22872</c:v>
              </c:pt>
            </c:numLit>
          </c:yVal>
          <c:smooth val="0"/>
          <c:extLst>
            <c:ext xmlns:c16="http://schemas.microsoft.com/office/drawing/2014/chart" uri="{C3380CC4-5D6E-409C-BE32-E72D297353CC}">
              <c16:uniqueId val="{00000003-A4C6-42F1-B847-9D51977D15F2}"/>
            </c:ext>
          </c:extLst>
        </c:ser>
        <c:ser>
          <c:idx val="0"/>
          <c:order val="0"/>
          <c:tx>
            <c:strRef>
              <c:f>'1 Natural Gas (MMBTU)'!$A$2</c:f>
              <c:strCache>
                <c:ptCount val="1"/>
                <c:pt idx="0">
                  <c:v>The best model for the data provided is #4</c:v>
                </c:pt>
              </c:strCache>
            </c:strRef>
          </c:tx>
          <c:yVal>
            <c:numRef>
              <c:f>'1 Natural Gas (MMBTU)'!$B$2:$G$2</c:f>
            </c:numRef>
          </c:yVal>
          <c:smooth val="0"/>
          <c:extLst>
            <c:ext xmlns:c16="http://schemas.microsoft.com/office/drawing/2014/chart" uri="{C3380CC4-5D6E-409C-BE32-E72D297353CC}">
              <c16:uniqueId val="{00000000-A4C6-42F1-B847-9D51977D15F2}"/>
            </c:ext>
          </c:extLst>
        </c:ser>
        <c:dLbls>
          <c:showLegendKey val="0"/>
          <c:showVal val="0"/>
          <c:showCatName val="0"/>
          <c:showSerName val="0"/>
          <c:showPercent val="0"/>
          <c:showBubbleSize val="0"/>
        </c:dLbls>
        <c:axId val="363414880"/>
        <c:axId val="363415208"/>
      </c:scatterChart>
      <c:valAx>
        <c:axId val="363414880"/>
        <c:scaling>
          <c:orientation val="minMax"/>
        </c:scaling>
        <c:delete val="0"/>
        <c:axPos val="b"/>
        <c:title>
          <c:tx>
            <c:rich>
              <a:bodyPr/>
              <a:lstStyle/>
              <a:p>
                <a:pPr>
                  <a:defRPr/>
                </a:pPr>
                <a:r>
                  <a:rPr lang="en-US"/>
                  <a:t>CDD</a:t>
                </a:r>
              </a:p>
            </c:rich>
          </c:tx>
          <c:overlay val="0"/>
        </c:title>
        <c:numFmt formatCode="###,##0" sourceLinked="0"/>
        <c:majorTickMark val="out"/>
        <c:minorTickMark val="none"/>
        <c:tickLblPos val="nextTo"/>
        <c:crossAx val="363415208"/>
        <c:crosses val="autoZero"/>
        <c:crossBetween val="midCat"/>
      </c:valAx>
      <c:valAx>
        <c:axId val="363415208"/>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36341488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30294</c:v>
              </c:pt>
              <c:pt idx="1">
                <c:v>28094</c:v>
              </c:pt>
              <c:pt idx="2">
                <c:v>24387</c:v>
              </c:pt>
              <c:pt idx="3">
                <c:v>15818</c:v>
              </c:pt>
              <c:pt idx="4">
                <c:v>14085</c:v>
              </c:pt>
              <c:pt idx="5">
                <c:v>14866</c:v>
              </c:pt>
              <c:pt idx="6">
                <c:v>13297</c:v>
              </c:pt>
              <c:pt idx="7">
                <c:v>16001.8</c:v>
              </c:pt>
              <c:pt idx="8">
                <c:v>15913</c:v>
              </c:pt>
              <c:pt idx="9">
                <c:v>17474</c:v>
              </c:pt>
              <c:pt idx="10">
                <c:v>15894</c:v>
              </c:pt>
              <c:pt idx="11">
                <c:v>22872</c:v>
              </c:pt>
            </c:numLit>
          </c:val>
          <c:smooth val="0"/>
          <c:extLst>
            <c:ext xmlns:c16="http://schemas.microsoft.com/office/drawing/2014/chart" uri="{C3380CC4-5D6E-409C-BE32-E72D297353CC}">
              <c16:uniqueId val="{00000003-0335-4858-AFA4-E2F993B1EE46}"/>
            </c:ext>
          </c:extLst>
        </c:ser>
        <c:ser>
          <c:idx val="2"/>
          <c:order val="2"/>
          <c:tx>
            <c:v>Model 4</c:v>
          </c:tx>
          <c:val>
            <c:numLit>
              <c:formatCode>General</c:formatCode>
              <c:ptCount val="12"/>
              <c:pt idx="0">
                <c:v>28099.485232615531</c:v>
              </c:pt>
              <c:pt idx="1">
                <c:v>27762.812436468652</c:v>
              </c:pt>
              <c:pt idx="2">
                <c:v>22661.623948955486</c:v>
              </c:pt>
              <c:pt idx="3">
                <c:v>15867.532424769639</c:v>
              </c:pt>
              <c:pt idx="4">
                <c:v>14252.133134522972</c:v>
              </c:pt>
              <c:pt idx="5">
                <c:v>14529.321381767431</c:v>
              </c:pt>
              <c:pt idx="6">
                <c:v>12268.367954495798</c:v>
              </c:pt>
              <c:pt idx="7">
                <c:v>16841.100628192238</c:v>
              </c:pt>
              <c:pt idx="8">
                <c:v>15404.585346715607</c:v>
              </c:pt>
              <c:pt idx="9">
                <c:v>19348.894565728333</c:v>
              </c:pt>
              <c:pt idx="10">
                <c:v>16010.53690804801</c:v>
              </c:pt>
              <c:pt idx="11">
                <c:v>25949.406037720306</c:v>
              </c:pt>
            </c:numLit>
          </c:val>
          <c:smooth val="0"/>
          <c:extLst>
            <c:ext xmlns:c16="http://schemas.microsoft.com/office/drawing/2014/chart" uri="{C3380CC4-5D6E-409C-BE32-E72D297353CC}">
              <c16:uniqueId val="{00000004-0335-4858-AFA4-E2F993B1EE46}"/>
            </c:ext>
          </c:extLst>
        </c:ser>
        <c:ser>
          <c:idx val="0"/>
          <c:order val="0"/>
          <c:tx>
            <c:strRef>
              <c:f>'1 Natural Gas (MMBTU)'!$A$2</c:f>
              <c:strCache>
                <c:ptCount val="1"/>
                <c:pt idx="0">
                  <c:v>The best model for the data provided is #4</c:v>
                </c:pt>
              </c:strCache>
            </c:strRef>
          </c:tx>
          <c:val>
            <c:numRef>
              <c:f>'1 Natural Gas (MMBTU)'!$B$2:$G$2</c:f>
            </c:numRef>
          </c:val>
          <c:smooth val="0"/>
          <c:extLst>
            <c:ext xmlns:c16="http://schemas.microsoft.com/office/drawing/2014/chart" uri="{C3380CC4-5D6E-409C-BE32-E72D297353CC}">
              <c16:uniqueId val="{00000000-0335-4858-AFA4-E2F993B1EE46}"/>
            </c:ext>
          </c:extLst>
        </c:ser>
        <c:dLbls>
          <c:showLegendKey val="0"/>
          <c:showVal val="0"/>
          <c:showCatName val="0"/>
          <c:showSerName val="0"/>
          <c:showPercent val="0"/>
          <c:showBubbleSize val="0"/>
        </c:dLbls>
        <c:marker val="1"/>
        <c:smooth val="0"/>
        <c:axId val="505837144"/>
        <c:axId val="505838128"/>
      </c:lineChart>
      <c:catAx>
        <c:axId val="505837144"/>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505838128"/>
        <c:crosses val="autoZero"/>
        <c:auto val="1"/>
        <c:lblAlgn val="ctr"/>
        <c:lblOffset val="100"/>
        <c:noMultiLvlLbl val="0"/>
      </c:catAx>
      <c:valAx>
        <c:axId val="505838128"/>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5058371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30294</c:v>
              </c:pt>
              <c:pt idx="1">
                <c:v>28094</c:v>
              </c:pt>
              <c:pt idx="2">
                <c:v>24387</c:v>
              </c:pt>
              <c:pt idx="3">
                <c:v>15818</c:v>
              </c:pt>
              <c:pt idx="4">
                <c:v>14085</c:v>
              </c:pt>
              <c:pt idx="5">
                <c:v>14866</c:v>
              </c:pt>
              <c:pt idx="6">
                <c:v>13297</c:v>
              </c:pt>
              <c:pt idx="7">
                <c:v>16001.8</c:v>
              </c:pt>
              <c:pt idx="8">
                <c:v>15913</c:v>
              </c:pt>
              <c:pt idx="9">
                <c:v>17474</c:v>
              </c:pt>
              <c:pt idx="10">
                <c:v>15894</c:v>
              </c:pt>
              <c:pt idx="11">
                <c:v>22872</c:v>
              </c:pt>
            </c:numLit>
          </c:val>
          <c:smooth val="0"/>
          <c:extLst>
            <c:ext xmlns:c16="http://schemas.microsoft.com/office/drawing/2014/chart" uri="{C3380CC4-5D6E-409C-BE32-E72D297353CC}">
              <c16:uniqueId val="{00000003-FAE7-4F5A-8340-8C2BA820116C}"/>
            </c:ext>
          </c:extLst>
        </c:ser>
        <c:ser>
          <c:idx val="2"/>
          <c:order val="2"/>
          <c:tx>
            <c:v>Model 2</c:v>
          </c:tx>
          <c:val>
            <c:numLit>
              <c:formatCode>General</c:formatCode>
              <c:ptCount val="12"/>
              <c:pt idx="0">
                <c:v>26484.615638068113</c:v>
              </c:pt>
              <c:pt idx="1">
                <c:v>25168.182463868856</c:v>
              </c:pt>
              <c:pt idx="2">
                <c:v>22574.967717102852</c:v>
              </c:pt>
              <c:pt idx="3">
                <c:v>18855.647483973626</c:v>
              </c:pt>
              <c:pt idx="4">
                <c:v>15802.47415827053</c:v>
              </c:pt>
              <c:pt idx="5">
                <c:v>13740.590873380128</c:v>
              </c:pt>
              <c:pt idx="6">
                <c:v>13661.287670115113</c:v>
              </c:pt>
              <c:pt idx="7">
                <c:v>13700.93927174762</c:v>
              </c:pt>
              <c:pt idx="8">
                <c:v>14311.573936888239</c:v>
              </c:pt>
              <c:pt idx="9">
                <c:v>17436.120145529851</c:v>
              </c:pt>
              <c:pt idx="10">
                <c:v>20885.809487558021</c:v>
              </c:pt>
              <c:pt idx="11">
                <c:v>26373.591153497095</c:v>
              </c:pt>
            </c:numLit>
          </c:val>
          <c:smooth val="0"/>
          <c:extLst>
            <c:ext xmlns:c16="http://schemas.microsoft.com/office/drawing/2014/chart" uri="{C3380CC4-5D6E-409C-BE32-E72D297353CC}">
              <c16:uniqueId val="{00000004-FAE7-4F5A-8340-8C2BA820116C}"/>
            </c:ext>
          </c:extLst>
        </c:ser>
        <c:ser>
          <c:idx val="0"/>
          <c:order val="0"/>
          <c:tx>
            <c:strRef>
              <c:f>'1 Natural Gas (MMBTU)'!$A$2</c:f>
              <c:strCache>
                <c:ptCount val="1"/>
                <c:pt idx="0">
                  <c:v>The best model for the data provided is #4</c:v>
                </c:pt>
              </c:strCache>
            </c:strRef>
          </c:tx>
          <c:val>
            <c:numRef>
              <c:f>'1 Natural Gas (MMBTU)'!$B$2:$G$2</c:f>
            </c:numRef>
          </c:val>
          <c:smooth val="0"/>
          <c:extLst>
            <c:ext xmlns:c16="http://schemas.microsoft.com/office/drawing/2014/chart" uri="{C3380CC4-5D6E-409C-BE32-E72D297353CC}">
              <c16:uniqueId val="{00000000-FAE7-4F5A-8340-8C2BA820116C}"/>
            </c:ext>
          </c:extLst>
        </c:ser>
        <c:dLbls>
          <c:showLegendKey val="0"/>
          <c:showVal val="0"/>
          <c:showCatName val="0"/>
          <c:showSerName val="0"/>
          <c:showPercent val="0"/>
          <c:showBubbleSize val="0"/>
        </c:dLbls>
        <c:marker val="1"/>
        <c:smooth val="0"/>
        <c:axId val="363246336"/>
        <c:axId val="817441128"/>
      </c:lineChart>
      <c:catAx>
        <c:axId val="363246336"/>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817441128"/>
        <c:crosses val="autoZero"/>
        <c:auto val="1"/>
        <c:lblAlgn val="ctr"/>
        <c:lblOffset val="100"/>
        <c:noMultiLvlLbl val="0"/>
      </c:catAx>
      <c:valAx>
        <c:axId val="817441128"/>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36324633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30294</c:v>
              </c:pt>
              <c:pt idx="1">
                <c:v>28094</c:v>
              </c:pt>
              <c:pt idx="2">
                <c:v>24387</c:v>
              </c:pt>
              <c:pt idx="3">
                <c:v>15818</c:v>
              </c:pt>
              <c:pt idx="4">
                <c:v>14085</c:v>
              </c:pt>
              <c:pt idx="5">
                <c:v>14866</c:v>
              </c:pt>
              <c:pt idx="6">
                <c:v>13297</c:v>
              </c:pt>
              <c:pt idx="7">
                <c:v>16001.8</c:v>
              </c:pt>
              <c:pt idx="8">
                <c:v>15913</c:v>
              </c:pt>
              <c:pt idx="9">
                <c:v>17474</c:v>
              </c:pt>
              <c:pt idx="10">
                <c:v>15894</c:v>
              </c:pt>
              <c:pt idx="11">
                <c:v>22872</c:v>
              </c:pt>
            </c:numLit>
          </c:val>
          <c:smooth val="0"/>
          <c:extLst>
            <c:ext xmlns:c16="http://schemas.microsoft.com/office/drawing/2014/chart" uri="{C3380CC4-5D6E-409C-BE32-E72D297353CC}">
              <c16:uniqueId val="{00000003-58DC-4E29-A6BD-437C3B548140}"/>
            </c:ext>
          </c:extLst>
        </c:ser>
        <c:ser>
          <c:idx val="2"/>
          <c:order val="2"/>
          <c:tx>
            <c:v>Model 5</c:v>
          </c:tx>
          <c:val>
            <c:numLit>
              <c:formatCode>General</c:formatCode>
              <c:ptCount val="12"/>
              <c:pt idx="0">
                <c:v>23365.73232740441</c:v>
              </c:pt>
              <c:pt idx="1">
                <c:v>24547.565109238578</c:v>
              </c:pt>
              <c:pt idx="2">
                <c:v>21099.549915801825</c:v>
              </c:pt>
              <c:pt idx="3">
                <c:v>16834.000090287729</c:v>
              </c:pt>
              <c:pt idx="4">
                <c:v>18041.734602030821</c:v>
              </c:pt>
              <c:pt idx="5">
                <c:v>17566.510535060977</c:v>
              </c:pt>
              <c:pt idx="6">
                <c:v>9763.0108714220514</c:v>
              </c:pt>
              <c:pt idx="7">
                <c:v>18429.394228667032</c:v>
              </c:pt>
              <c:pt idx="8">
                <c:v>21213.808833932897</c:v>
              </c:pt>
              <c:pt idx="9">
                <c:v>22908.700500610445</c:v>
              </c:pt>
              <c:pt idx="10">
                <c:v>14521.783967987431</c:v>
              </c:pt>
              <c:pt idx="11">
                <c:v>20704.009017555778</c:v>
              </c:pt>
            </c:numLit>
          </c:val>
          <c:smooth val="0"/>
          <c:extLst>
            <c:ext xmlns:c16="http://schemas.microsoft.com/office/drawing/2014/chart" uri="{C3380CC4-5D6E-409C-BE32-E72D297353CC}">
              <c16:uniqueId val="{00000004-58DC-4E29-A6BD-437C3B548140}"/>
            </c:ext>
          </c:extLst>
        </c:ser>
        <c:ser>
          <c:idx val="0"/>
          <c:order val="0"/>
          <c:tx>
            <c:strRef>
              <c:f>'1 Natural Gas (MMBTU)'!$A$2</c:f>
              <c:strCache>
                <c:ptCount val="1"/>
                <c:pt idx="0">
                  <c:v>The best model for the data provided is #4</c:v>
                </c:pt>
              </c:strCache>
            </c:strRef>
          </c:tx>
          <c:val>
            <c:numRef>
              <c:f>'1 Natural Gas (MMBTU)'!$B$2:$G$2</c:f>
            </c:numRef>
          </c:val>
          <c:smooth val="0"/>
          <c:extLst>
            <c:ext xmlns:c16="http://schemas.microsoft.com/office/drawing/2014/chart" uri="{C3380CC4-5D6E-409C-BE32-E72D297353CC}">
              <c16:uniqueId val="{00000000-58DC-4E29-A6BD-437C3B548140}"/>
            </c:ext>
          </c:extLst>
        </c:ser>
        <c:dLbls>
          <c:showLegendKey val="0"/>
          <c:showVal val="0"/>
          <c:showCatName val="0"/>
          <c:showSerName val="0"/>
          <c:showPercent val="0"/>
          <c:showBubbleSize val="0"/>
        </c:dLbls>
        <c:marker val="1"/>
        <c:smooth val="0"/>
        <c:axId val="817441456"/>
        <c:axId val="817439160"/>
      </c:lineChart>
      <c:catAx>
        <c:axId val="817441456"/>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817439160"/>
        <c:crosses val="autoZero"/>
        <c:auto val="1"/>
        <c:lblAlgn val="ctr"/>
        <c:lblOffset val="100"/>
        <c:noMultiLvlLbl val="0"/>
      </c:catAx>
      <c:valAx>
        <c:axId val="817439160"/>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81744145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30294</c:v>
              </c:pt>
              <c:pt idx="1">
                <c:v>28094</c:v>
              </c:pt>
              <c:pt idx="2">
                <c:v>24387</c:v>
              </c:pt>
              <c:pt idx="3">
                <c:v>15818</c:v>
              </c:pt>
              <c:pt idx="4">
                <c:v>14085</c:v>
              </c:pt>
              <c:pt idx="5">
                <c:v>14866</c:v>
              </c:pt>
              <c:pt idx="6">
                <c:v>13297</c:v>
              </c:pt>
              <c:pt idx="7">
                <c:v>16001.8</c:v>
              </c:pt>
              <c:pt idx="8">
                <c:v>15913</c:v>
              </c:pt>
              <c:pt idx="9">
                <c:v>17474</c:v>
              </c:pt>
              <c:pt idx="10">
                <c:v>15894</c:v>
              </c:pt>
              <c:pt idx="11">
                <c:v>22872</c:v>
              </c:pt>
            </c:numLit>
          </c:val>
          <c:smooth val="0"/>
          <c:extLst>
            <c:ext xmlns:c16="http://schemas.microsoft.com/office/drawing/2014/chart" uri="{C3380CC4-5D6E-409C-BE32-E72D297353CC}">
              <c16:uniqueId val="{00000003-D9FA-400E-9263-0BBCA8FC1895}"/>
            </c:ext>
          </c:extLst>
        </c:ser>
        <c:ser>
          <c:idx val="2"/>
          <c:order val="2"/>
          <c:tx>
            <c:v>Model 7</c:v>
          </c:tx>
          <c:val>
            <c:numLit>
              <c:formatCode>General</c:formatCode>
              <c:ptCount val="12"/>
              <c:pt idx="0">
                <c:v>28176.325590947235</c:v>
              </c:pt>
              <c:pt idx="1">
                <c:v>27779.403126192978</c:v>
              </c:pt>
              <c:pt idx="2">
                <c:v>22626.564282582214</c:v>
              </c:pt>
              <c:pt idx="3">
                <c:v>15750.504153365984</c:v>
              </c:pt>
              <c:pt idx="4">
                <c:v>14049.63021973413</c:v>
              </c:pt>
              <c:pt idx="5">
                <c:v>14534.607598164488</c:v>
              </c:pt>
              <c:pt idx="6">
                <c:v>12765.863985952898</c:v>
              </c:pt>
              <c:pt idx="7">
                <c:v>17013.989753572947</c:v>
              </c:pt>
              <c:pt idx="8">
                <c:v>15125.828550131971</c:v>
              </c:pt>
              <c:pt idx="9">
                <c:v>19127.76412177195</c:v>
              </c:pt>
              <c:pt idx="10">
                <c:v>15992.106187691743</c:v>
              </c:pt>
              <c:pt idx="11">
                <c:v>26053.212429891471</c:v>
              </c:pt>
            </c:numLit>
          </c:val>
          <c:smooth val="0"/>
          <c:extLst>
            <c:ext xmlns:c16="http://schemas.microsoft.com/office/drawing/2014/chart" uri="{C3380CC4-5D6E-409C-BE32-E72D297353CC}">
              <c16:uniqueId val="{00000004-D9FA-400E-9263-0BBCA8FC1895}"/>
            </c:ext>
          </c:extLst>
        </c:ser>
        <c:ser>
          <c:idx val="0"/>
          <c:order val="0"/>
          <c:tx>
            <c:strRef>
              <c:f>'1 Natural Gas (MMBTU)'!$A$2</c:f>
              <c:strCache>
                <c:ptCount val="1"/>
                <c:pt idx="0">
                  <c:v>The best model for the data provided is #4</c:v>
                </c:pt>
              </c:strCache>
            </c:strRef>
          </c:tx>
          <c:val>
            <c:numRef>
              <c:f>'1 Natural Gas (MMBTU)'!$B$2:$G$2</c:f>
            </c:numRef>
          </c:val>
          <c:smooth val="0"/>
          <c:extLst>
            <c:ext xmlns:c16="http://schemas.microsoft.com/office/drawing/2014/chart" uri="{C3380CC4-5D6E-409C-BE32-E72D297353CC}">
              <c16:uniqueId val="{00000000-D9FA-400E-9263-0BBCA8FC1895}"/>
            </c:ext>
          </c:extLst>
        </c:ser>
        <c:dLbls>
          <c:showLegendKey val="0"/>
          <c:showVal val="0"/>
          <c:showCatName val="0"/>
          <c:showSerName val="0"/>
          <c:showPercent val="0"/>
          <c:showBubbleSize val="0"/>
        </c:dLbls>
        <c:marker val="1"/>
        <c:smooth val="0"/>
        <c:axId val="491442368"/>
        <c:axId val="491442040"/>
      </c:lineChart>
      <c:catAx>
        <c:axId val="491442368"/>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491442040"/>
        <c:crosses val="autoZero"/>
        <c:auto val="1"/>
        <c:lblAlgn val="ctr"/>
        <c:lblOffset val="100"/>
        <c:noMultiLvlLbl val="0"/>
      </c:catAx>
      <c:valAx>
        <c:axId val="491442040"/>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49144236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30294</c:v>
              </c:pt>
              <c:pt idx="1">
                <c:v>28094</c:v>
              </c:pt>
              <c:pt idx="2">
                <c:v>24387</c:v>
              </c:pt>
              <c:pt idx="3">
                <c:v>15818</c:v>
              </c:pt>
              <c:pt idx="4">
                <c:v>14085</c:v>
              </c:pt>
              <c:pt idx="5">
                <c:v>14866</c:v>
              </c:pt>
              <c:pt idx="6">
                <c:v>13297</c:v>
              </c:pt>
              <c:pt idx="7">
                <c:v>16001.8</c:v>
              </c:pt>
              <c:pt idx="8">
                <c:v>15913</c:v>
              </c:pt>
              <c:pt idx="9">
                <c:v>17474</c:v>
              </c:pt>
              <c:pt idx="10">
                <c:v>15894</c:v>
              </c:pt>
              <c:pt idx="11">
                <c:v>22872</c:v>
              </c:pt>
            </c:numLit>
          </c:val>
          <c:smooth val="0"/>
          <c:extLst>
            <c:ext xmlns:c16="http://schemas.microsoft.com/office/drawing/2014/chart" uri="{C3380CC4-5D6E-409C-BE32-E72D297353CC}">
              <c16:uniqueId val="{00000003-802C-41B5-BA2C-6424EC247BC4}"/>
            </c:ext>
          </c:extLst>
        </c:ser>
        <c:ser>
          <c:idx val="2"/>
          <c:order val="2"/>
          <c:tx>
            <c:v>Model 6</c:v>
          </c:tx>
          <c:val>
            <c:numLit>
              <c:formatCode>General</c:formatCode>
              <c:ptCount val="12"/>
              <c:pt idx="0">
                <c:v>26775.574515927685</c:v>
              </c:pt>
              <c:pt idx="1">
                <c:v>25328.508370813925</c:v>
              </c:pt>
              <c:pt idx="2">
                <c:v>22477.962410258508</c:v>
              </c:pt>
              <c:pt idx="3">
                <c:v>18389.564687015409</c:v>
              </c:pt>
              <c:pt idx="4">
                <c:v>15153.14148839474</c:v>
              </c:pt>
              <c:pt idx="5">
                <c:v>13790.025749889413</c:v>
              </c:pt>
              <c:pt idx="6">
                <c:v>15030.703154908591</c:v>
              </c:pt>
              <c:pt idx="7">
                <c:v>14334.176333951924</c:v>
              </c:pt>
              <c:pt idx="8">
                <c:v>13557.831560407778</c:v>
              </c:pt>
              <c:pt idx="9">
                <c:v>16883.594169359243</c:v>
              </c:pt>
              <c:pt idx="10">
                <c:v>20621.184766226994</c:v>
              </c:pt>
              <c:pt idx="11">
                <c:v>26653.532792845803</c:v>
              </c:pt>
            </c:numLit>
          </c:val>
          <c:smooth val="0"/>
          <c:extLst>
            <c:ext xmlns:c16="http://schemas.microsoft.com/office/drawing/2014/chart" uri="{C3380CC4-5D6E-409C-BE32-E72D297353CC}">
              <c16:uniqueId val="{00000004-802C-41B5-BA2C-6424EC247BC4}"/>
            </c:ext>
          </c:extLst>
        </c:ser>
        <c:ser>
          <c:idx val="0"/>
          <c:order val="0"/>
          <c:tx>
            <c:strRef>
              <c:f>'1 Natural Gas (MMBTU)'!$A$2</c:f>
              <c:strCache>
                <c:ptCount val="1"/>
                <c:pt idx="0">
                  <c:v>The best model for the data provided is #4</c:v>
                </c:pt>
              </c:strCache>
            </c:strRef>
          </c:tx>
          <c:val>
            <c:numRef>
              <c:f>'1 Natural Gas (MMBTU)'!$B$2:$G$2</c:f>
            </c:numRef>
          </c:val>
          <c:smooth val="0"/>
          <c:extLst>
            <c:ext xmlns:c16="http://schemas.microsoft.com/office/drawing/2014/chart" uri="{C3380CC4-5D6E-409C-BE32-E72D297353CC}">
              <c16:uniqueId val="{00000000-802C-41B5-BA2C-6424EC247BC4}"/>
            </c:ext>
          </c:extLst>
        </c:ser>
        <c:dLbls>
          <c:showLegendKey val="0"/>
          <c:showVal val="0"/>
          <c:showCatName val="0"/>
          <c:showSerName val="0"/>
          <c:showPercent val="0"/>
          <c:showBubbleSize val="0"/>
        </c:dLbls>
        <c:marker val="1"/>
        <c:smooth val="0"/>
        <c:axId val="491444008"/>
        <c:axId val="491444336"/>
      </c:lineChart>
      <c:catAx>
        <c:axId val="491444008"/>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491444336"/>
        <c:crosses val="autoZero"/>
        <c:auto val="1"/>
        <c:lblAlgn val="ctr"/>
        <c:lblOffset val="100"/>
        <c:noMultiLvlLbl val="0"/>
      </c:catAx>
      <c:valAx>
        <c:axId val="491444336"/>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4914440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lineChart>
        <c:grouping val="standard"/>
        <c:varyColors val="0"/>
        <c:ser>
          <c:idx val="0"/>
          <c:order val="0"/>
          <c:tx>
            <c:strRef>
              <c:f>'1 Model Data'!$Q$14</c:f>
              <c:strCache>
                <c:ptCount val="1"/>
                <c:pt idx="0">
                  <c:v>Total Modeled Energy Consumption (MMBTU)</c:v>
                </c:pt>
              </c:strCache>
            </c:strRef>
          </c:tx>
          <c:spPr>
            <a:ln>
              <a:solidFill>
                <a:srgbClr val="008000"/>
              </a:solidFill>
            </a:ln>
          </c:spPr>
          <c:marker>
            <c:spPr>
              <a:ln>
                <a:solidFill>
                  <a:srgbClr val="008000"/>
                </a:solidFill>
              </a:ln>
            </c:spPr>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'1 Model Data'!$Q$15:$Q$50</c:f>
              <c:numCache>
                <c:formatCode>##,##0</c:formatCode>
                <c:ptCount val="36"/>
                <c:pt idx="0">
                  <c:v>78084.028558573016</c:v>
                </c:pt>
                <c:pt idx="1">
                  <c:v>78435.841650444898</c:v>
                </c:pt>
                <c:pt idx="2">
                  <c:v>71325.985068049849</c:v>
                </c:pt>
                <c:pt idx="3">
                  <c:v>62046.964284286361</c:v>
                </c:pt>
                <c:pt idx="4">
                  <c:v>61741.019076242766</c:v>
                </c:pt>
                <c:pt idx="5">
                  <c:v>66312.993843596909</c:v>
                </c:pt>
                <c:pt idx="6">
                  <c:v>66225.79917554339</c:v>
                </c:pt>
                <c:pt idx="7">
                  <c:v>72101.767498814588</c:v>
                </c:pt>
                <c:pt idx="8">
                  <c:v>64961.7074423456</c:v>
                </c:pt>
                <c:pt idx="9">
                  <c:v>69342.589960920173</c:v>
                </c:pt>
                <c:pt idx="10">
                  <c:v>60842.969264147148</c:v>
                </c:pt>
                <c:pt idx="11">
                  <c:v>74383.341727124134</c:v>
                </c:pt>
                <c:pt idx="12">
                  <c:v>70771.102940051773</c:v>
                </c:pt>
                <c:pt idx="13">
                  <c:v>64649.342934083441</c:v>
                </c:pt>
                <c:pt idx="14">
                  <c:v>62498.952650259802</c:v>
                </c:pt>
                <c:pt idx="15">
                  <c:v>58888.721997351196</c:v>
                </c:pt>
                <c:pt idx="16">
                  <c:v>56850.947511612409</c:v>
                </c:pt>
                <c:pt idx="17">
                  <c:v>68296.276859040736</c:v>
                </c:pt>
                <c:pt idx="18">
                  <c:v>65899.665974818621</c:v>
                </c:pt>
                <c:pt idx="19">
                  <c:v>67977.909219966561</c:v>
                </c:pt>
                <c:pt idx="20">
                  <c:v>63693.076812538755</c:v>
                </c:pt>
                <c:pt idx="21">
                  <c:v>71519.570970160567</c:v>
                </c:pt>
                <c:pt idx="22">
                  <c:v>64039.283815069597</c:v>
                </c:pt>
                <c:pt idx="23">
                  <c:v>69307.987236804867</c:v>
                </c:pt>
                <c:pt idx="24">
                  <c:v>71599.433029466119</c:v>
                </c:pt>
                <c:pt idx="25">
                  <c:v>69693.666324258957</c:v>
                </c:pt>
                <c:pt idx="26">
                  <c:v>66671.931622578209</c:v>
                </c:pt>
                <c:pt idx="27">
                  <c:v>61551.961989739779</c:v>
                </c:pt>
                <c:pt idx="28">
                  <c:v>60625.500501357412</c:v>
                </c:pt>
                <c:pt idx="29">
                  <c:v>67944.301167971513</c:v>
                </c:pt>
                <c:pt idx="30">
                  <c:v>74564.94922557837</c:v>
                </c:pt>
                <c:pt idx="31">
                  <c:v>74789.942402162691</c:v>
                </c:pt>
                <c:pt idx="32">
                  <c:v>76311.914261650294</c:v>
                </c:pt>
                <c:pt idx="33">
                  <c:v>70911.541946374709</c:v>
                </c:pt>
                <c:pt idx="34">
                  <c:v>65158.321912645071</c:v>
                </c:pt>
                <c:pt idx="35">
                  <c:v>67068.846634605026</c:v>
                </c:pt>
              </c:numCache>
            </c:numRef>
          </c:val>
          <c:smooth val="0"/>
          <c:extLst>
            <c:ext xmlns:c16="http://schemas.microsoft.com/office/drawing/2014/chart" uri="{C3380CC4-5D6E-409C-BE32-E72D297353CC}">
              <c16:uniqueId val="{00000003-8559-404E-ABED-092E413FD426}"/>
            </c:ext>
          </c:extLst>
        </c:ser>
        <c:ser>
          <c:idx val="1"/>
          <c:order val="1"/>
          <c:tx>
            <c:strRef>
              <c:f>'1 Model Data'!$J$14</c:f>
              <c:strCache>
                <c:ptCount val="1"/>
                <c:pt idx="0">
                  <c:v>TOTAL  (MMBTU)</c:v>
                </c:pt>
              </c:strCache>
            </c:strRef>
          </c:tx>
          <c:spPr>
            <a:ln w="19050" cap="rnd" cmpd="sng" algn="ctr">
              <a:solidFill>
                <a:srgbClr val="1E90FF">
                  <a:alpha val="0"/>
                </a:srgbClr>
              </a:solidFill>
              <a:prstDash val="solid"/>
              <a:round/>
              <a:headEnd type="none" w="med" len="med"/>
              <a:tailEnd type="none" w="med" len="med"/>
            </a:ln>
          </c:spPr>
          <c:marker>
            <c:symbol val="plus"/>
            <c:size val="5"/>
            <c:spPr>
              <a:solidFill>
                <a:srgbClr val="000080"/>
              </a:solidFill>
              <a:ln w="19050" cap="rnd" cmpd="sng" algn="ctr">
                <a:solidFill>
                  <a:srgbClr val="1E90FF">
                    <a:alpha val="0"/>
                  </a:srgbClr>
                </a:solidFill>
                <a:prstDash val="solid"/>
                <a:round/>
                <a:headEnd type="none" w="med" len="med"/>
                <a:tailEnd type="none" w="med" len="med"/>
              </a:ln>
            </c:spPr>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'1 Model Data'!$J$15:$J$50</c:f>
              <c:numCache>
                <c:formatCode>##,##0</c:formatCode>
                <c:ptCount val="36"/>
                <c:pt idx="0">
                  <c:v>78084.114149303845</c:v>
                </c:pt>
                <c:pt idx="1">
                  <c:v>77346.844671244689</c:v>
                </c:pt>
                <c:pt idx="2">
                  <c:v>72682.40802719479</c:v>
                </c:pt>
                <c:pt idx="3">
                  <c:v>59692.697743737306</c:v>
                </c:pt>
                <c:pt idx="4">
                  <c:v>61811.191660490287</c:v>
                </c:pt>
                <c:pt idx="5">
                  <c:v>63909.224692729593</c:v>
                </c:pt>
                <c:pt idx="6">
                  <c:v>67484.621810023003</c:v>
                </c:pt>
                <c:pt idx="7">
                  <c:v>72028.225486044146</c:v>
                </c:pt>
                <c:pt idx="8">
                  <c:v>70184.642094028532</c:v>
                </c:pt>
                <c:pt idx="9">
                  <c:v>71711.044169726636</c:v>
                </c:pt>
                <c:pt idx="10">
                  <c:v>62819.291775047997</c:v>
                </c:pt>
                <c:pt idx="11">
                  <c:v>68050.609460963999</c:v>
                </c:pt>
                <c:pt idx="12">
                  <c:v>66423.443610661998</c:v>
                </c:pt>
                <c:pt idx="13">
                  <c:v>58628.069678391999</c:v>
                </c:pt>
                <c:pt idx="14">
                  <c:v>59458.993955774</c:v>
                </c:pt>
                <c:pt idx="15">
                  <c:v>52880.648643085995</c:v>
                </c:pt>
                <c:pt idx="16">
                  <c:v>51017.215969796001</c:v>
                </c:pt>
                <c:pt idx="17">
                  <c:v>55185.704107915997</c:v>
                </c:pt>
                <c:pt idx="18">
                  <c:v>58568.737849903999</c:v>
                </c:pt>
                <c:pt idx="19">
                  <c:v>60876.336744736</c:v>
                </c:pt>
                <c:pt idx="20">
                  <c:v>59781.779318415996</c:v>
                </c:pt>
                <c:pt idx="21">
                  <c:v>67117.573802227998</c:v>
                </c:pt>
                <c:pt idx="22">
                  <c:v>62146.961712507997</c:v>
                </c:pt>
                <c:pt idx="23">
                  <c:v>66087.607635360007</c:v>
                </c:pt>
                <c:pt idx="24">
                  <c:v>66708.028504568007</c:v>
                </c:pt>
                <c:pt idx="25">
                  <c:v>61583.907424188001</c:v>
                </c:pt>
                <c:pt idx="26">
                  <c:v>59737.368693313998</c:v>
                </c:pt>
                <c:pt idx="27">
                  <c:v>55817.828139140001</c:v>
                </c:pt>
                <c:pt idx="28">
                  <c:v>55724.245089976001</c:v>
                </c:pt>
                <c:pt idx="29">
                  <c:v>58762.104832628</c:v>
                </c:pt>
                <c:pt idx="30">
                  <c:v>64457.041486634</c:v>
                </c:pt>
                <c:pt idx="31">
                  <c:v>66374.995671864002</c:v>
                </c:pt>
                <c:pt idx="32">
                  <c:v>64643.198427052004</c:v>
                </c:pt>
                <c:pt idx="33">
                  <c:v>67891.418874185998</c:v>
                </c:pt>
                <c:pt idx="34">
                  <c:v>64633.410249068002</c:v>
                </c:pt>
                <c:pt idx="35">
                  <c:v>61976.020785724002</c:v>
                </c:pt>
              </c:numCache>
            </c:numRef>
          </c:val>
          <c:smooth val="0"/>
          <c:extLst>
            <c:ext xmlns:c16="http://schemas.microsoft.com/office/drawing/2014/chart" uri="{C3380CC4-5D6E-409C-BE32-E72D297353CC}">
              <c16:uniqueId val="{00000004-8559-404E-ABED-092E413FD426}"/>
            </c:ext>
          </c:extLst>
        </c:ser>
        <c:dLbls>
          <c:showLegendKey val="0"/>
          <c:showVal val="0"/>
          <c:showCatName val="0"/>
          <c:showSerName val="0"/>
          <c:showPercent val="0"/>
          <c:showBubbleSize val="0"/>
        </c:dLbls>
        <c:marker val="1"/>
        <c:smooth val="0"/>
        <c:axId val="899783816"/>
        <c:axId val="899781192"/>
      </c:lineChart>
      <c:catAx>
        <c:axId val="899783816"/>
        <c:scaling>
          <c:orientation val="minMax"/>
        </c:scaling>
        <c:delete val="0"/>
        <c:axPos val="b"/>
        <c:title>
          <c:tx>
            <c:rich>
              <a:bodyPr/>
              <a:lstStyle/>
              <a:p>
                <a:pPr>
                  <a:defRPr/>
                </a:pPr>
                <a:r>
                  <a:rPr lang="en-US"/>
                  <a:t>Input Interval</a:t>
                </a:r>
              </a:p>
            </c:rich>
          </c:tx>
          <c:overlay val="0"/>
        </c:title>
        <c:numFmt formatCode="General" sourceLinked="1"/>
        <c:majorTickMark val="out"/>
        <c:minorTickMark val="none"/>
        <c:tickLblPos val="nextTo"/>
        <c:crossAx val="899781192"/>
        <c:crosses val="autoZero"/>
        <c:auto val="1"/>
        <c:lblAlgn val="ctr"/>
        <c:lblOffset val="100"/>
        <c:tickLblSkip val="6"/>
        <c:tickMarkSkip val="6"/>
        <c:noMultiLvlLbl val="0"/>
      </c:catAx>
      <c:valAx>
        <c:axId val="899781192"/>
        <c:scaling>
          <c:orientation val="minMax"/>
        </c:scaling>
        <c:delete val="0"/>
        <c:axPos val="l"/>
        <c:majorGridlines/>
        <c:title>
          <c:tx>
            <c:rich>
              <a:bodyPr/>
              <a:lstStyle/>
              <a:p>
                <a:pPr>
                  <a:defRPr/>
                </a:pPr>
                <a:r>
                  <a:rPr lang="en-US"/>
                  <a:t>Total Consumption (MMBTU)</a:t>
                </a:r>
              </a:p>
            </c:rich>
          </c:tx>
          <c:overlay val="0"/>
        </c:title>
        <c:numFmt formatCode="##,##0" sourceLinked="1"/>
        <c:majorTickMark val="out"/>
        <c:minorTickMark val="none"/>
        <c:tickLblPos val="nextTo"/>
        <c:crossAx val="89978381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chart>
    <c:autoTitleDeleted val="0"/>
    <c:plotArea>
      <c:layout/>
      <c:lineChart>
        <c:grouping val="standard"/>
        <c:varyColors val="0"/>
        <c:ser>
          <c:idx val="0"/>
          <c:order val="0"/>
          <c:tx>
            <c:strRef>
              <c:f>'1 EnPI Results'!$A$17</c:f>
              <c:strCache>
                <c:ptCount val="1"/>
                <c:pt idx="0">
                  <c:v>Annual Improvement in Energy Intensity (%)</c:v>
                </c:pt>
              </c:strCache>
            </c:strRef>
          </c:tx>
          <c:spPr>
            <a:ln>
              <a:solidFill>
                <a:srgbClr val="006400"/>
              </a:solidFill>
            </a:ln>
          </c:spPr>
          <c:marker>
            <c:spPr>
              <a:solidFill>
                <a:srgbClr val="006400"/>
              </a:solidFill>
              <a:ln>
                <a:solidFill>
                  <a:srgbClr val="006400"/>
                </a:solidFill>
              </a:ln>
            </c:spPr>
          </c:marker>
          <c:val>
            <c:numRef>
              <c:f>'1 EnPI Results'!$B$17:$D$17</c:f>
              <c:numCache>
                <c:formatCode>0.00%</c:formatCode>
                <c:ptCount val="3"/>
                <c:pt idx="0">
                  <c:v>0</c:v>
                </c:pt>
                <c:pt idx="1">
                  <c:v>8.4421685929728096E-2</c:v>
                </c:pt>
                <c:pt idx="2">
                  <c:v>1.0612143497545912E-2</c:v>
                </c:pt>
              </c:numCache>
            </c:numRef>
          </c:val>
          <c:smooth val="0"/>
          <c:extLst>
            <c:ext xmlns:c16="http://schemas.microsoft.com/office/drawing/2014/chart" uri="{C3380CC4-5D6E-409C-BE32-E72D297353CC}">
              <c16:uniqueId val="{00000003-C7CD-4807-B7F0-063C1CFEA9E4}"/>
            </c:ext>
          </c:extLst>
        </c:ser>
        <c:ser>
          <c:idx val="1"/>
          <c:order val="1"/>
          <c:tx>
            <c:strRef>
              <c:f>'1 EnPI Results'!$A$16</c:f>
              <c:strCache>
                <c:ptCount val="1"/>
                <c:pt idx="0">
                  <c:v>Total Improvement in Energy Intensity (%)</c:v>
                </c:pt>
              </c:strCache>
            </c:strRef>
          </c:tx>
          <c:spPr>
            <a:ln>
              <a:solidFill>
                <a:srgbClr val="9ACD32"/>
              </a:solidFill>
            </a:ln>
          </c:spPr>
          <c:marker>
            <c:spPr>
              <a:solidFill>
                <a:srgbClr val="9ACD32"/>
              </a:solidFill>
              <a:ln>
                <a:solidFill>
                  <a:srgbClr val="9ACD32"/>
                </a:solidFill>
              </a:ln>
            </c:spPr>
          </c:marker>
          <c:val>
            <c:numRef>
              <c:f>'1 EnPI Results'!$B$16:$D$16</c:f>
              <c:numCache>
                <c:formatCode>0.00%</c:formatCode>
                <c:ptCount val="3"/>
                <c:pt idx="0">
                  <c:v>0</c:v>
                </c:pt>
                <c:pt idx="1">
                  <c:v>8.4421685929728096E-2</c:v>
                </c:pt>
                <c:pt idx="2">
                  <c:v>9.5033829427274008E-2</c:v>
                </c:pt>
              </c:numCache>
            </c:numRef>
          </c:val>
          <c:smooth val="0"/>
          <c:extLst>
            <c:ext xmlns:c16="http://schemas.microsoft.com/office/drawing/2014/chart" uri="{C3380CC4-5D6E-409C-BE32-E72D297353CC}">
              <c16:uniqueId val="{00000004-C7CD-4807-B7F0-063C1CFEA9E4}"/>
            </c:ext>
          </c:extLst>
        </c:ser>
        <c:dLbls>
          <c:showLegendKey val="0"/>
          <c:showVal val="0"/>
          <c:showCatName val="0"/>
          <c:showSerName val="0"/>
          <c:showPercent val="0"/>
          <c:showBubbleSize val="0"/>
        </c:dLbls>
        <c:marker val="1"/>
        <c:smooth val="0"/>
        <c:axId val="899779552"/>
        <c:axId val="899786440"/>
      </c:lineChart>
      <c:catAx>
        <c:axId val="899779552"/>
        <c:scaling>
          <c:orientation val="minMax"/>
        </c:scaling>
        <c:delete val="0"/>
        <c:axPos val="b"/>
        <c:title>
          <c:tx>
            <c:rich>
              <a:bodyPr/>
              <a:lstStyle/>
              <a:p>
                <a:pPr>
                  <a:defRPr/>
                </a:pPr>
                <a:r>
                  <a:rPr lang="en-US"/>
                  <a:t>Reporting Year</a:t>
                </a:r>
              </a:p>
            </c:rich>
          </c:tx>
          <c:overlay val="0"/>
        </c:title>
        <c:majorTickMark val="out"/>
        <c:minorTickMark val="none"/>
        <c:tickLblPos val="nextTo"/>
        <c:crossAx val="899786440"/>
        <c:crosses val="autoZero"/>
        <c:auto val="1"/>
        <c:lblAlgn val="ctr"/>
        <c:lblOffset val="100"/>
        <c:noMultiLvlLbl val="0"/>
      </c:catAx>
      <c:valAx>
        <c:axId val="899786440"/>
        <c:scaling>
          <c:orientation val="minMax"/>
        </c:scaling>
        <c:delete val="0"/>
        <c:axPos val="l"/>
        <c:majorGridlines/>
        <c:title>
          <c:tx>
            <c:rich>
              <a:bodyPr/>
              <a:lstStyle/>
              <a:p>
                <a:pPr>
                  <a:defRPr/>
                </a:pPr>
                <a:r>
                  <a:rPr lang="en-US"/>
                  <a:t>Percent Improvement</a:t>
                </a:r>
              </a:p>
            </c:rich>
          </c:tx>
          <c:overlay val="0"/>
        </c:title>
        <c:numFmt formatCode="0.00%" sourceLinked="1"/>
        <c:majorTickMark val="out"/>
        <c:minorTickMark val="none"/>
        <c:tickLblPos val="nextTo"/>
        <c:crossAx val="89977955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lineChart>
        <c:grouping val="standard"/>
        <c:varyColors val="0"/>
        <c:ser>
          <c:idx val="0"/>
          <c:order val="0"/>
          <c:tx>
            <c:v>Total Modeled Energy Consumption (MMBTU)</c:v>
          </c:tx>
          <c:spPr>
            <a:ln>
              <a:solidFill>
                <a:srgbClr val="006400"/>
              </a:solidFill>
            </a:ln>
          </c:spPr>
          <c:marker>
            <c:symbol val="none"/>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'1 Model Data'!$Q$15:$Q$50</c:f>
              <c:numCache>
                <c:formatCode>##,##0</c:formatCode>
                <c:ptCount val="36"/>
                <c:pt idx="0">
                  <c:v>78084.028558573016</c:v>
                </c:pt>
                <c:pt idx="1">
                  <c:v>78435.841650444898</c:v>
                </c:pt>
                <c:pt idx="2">
                  <c:v>71325.985068049849</c:v>
                </c:pt>
                <c:pt idx="3">
                  <c:v>62046.964284286361</c:v>
                </c:pt>
                <c:pt idx="4">
                  <c:v>61741.019076242766</c:v>
                </c:pt>
                <c:pt idx="5">
                  <c:v>66312.993843596909</c:v>
                </c:pt>
                <c:pt idx="6">
                  <c:v>66225.79917554339</c:v>
                </c:pt>
                <c:pt idx="7">
                  <c:v>72101.767498814588</c:v>
                </c:pt>
                <c:pt idx="8">
                  <c:v>64961.7074423456</c:v>
                </c:pt>
                <c:pt idx="9">
                  <c:v>69342.589960920173</c:v>
                </c:pt>
                <c:pt idx="10">
                  <c:v>60842.969264147148</c:v>
                </c:pt>
                <c:pt idx="11">
                  <c:v>74383.341727124134</c:v>
                </c:pt>
                <c:pt idx="12">
                  <c:v>70771.102940051773</c:v>
                </c:pt>
                <c:pt idx="13">
                  <c:v>64649.342934083441</c:v>
                </c:pt>
                <c:pt idx="14">
                  <c:v>62498.952650259802</c:v>
                </c:pt>
                <c:pt idx="15">
                  <c:v>58888.721997351196</c:v>
                </c:pt>
                <c:pt idx="16">
                  <c:v>56850.947511612409</c:v>
                </c:pt>
                <c:pt idx="17">
                  <c:v>68296.276859040736</c:v>
                </c:pt>
                <c:pt idx="18">
                  <c:v>65899.665974818621</c:v>
                </c:pt>
                <c:pt idx="19">
                  <c:v>67977.909219966561</c:v>
                </c:pt>
                <c:pt idx="20">
                  <c:v>63693.076812538755</c:v>
                </c:pt>
                <c:pt idx="21">
                  <c:v>71519.570970160567</c:v>
                </c:pt>
                <c:pt idx="22">
                  <c:v>64039.283815069597</c:v>
                </c:pt>
                <c:pt idx="23">
                  <c:v>69307.987236804867</c:v>
                </c:pt>
                <c:pt idx="24">
                  <c:v>71599.433029466119</c:v>
                </c:pt>
                <c:pt idx="25">
                  <c:v>69693.666324258957</c:v>
                </c:pt>
                <c:pt idx="26">
                  <c:v>66671.931622578209</c:v>
                </c:pt>
                <c:pt idx="27">
                  <c:v>61551.961989739779</c:v>
                </c:pt>
                <c:pt idx="28">
                  <c:v>60625.500501357412</c:v>
                </c:pt>
                <c:pt idx="29">
                  <c:v>67944.301167971513</c:v>
                </c:pt>
                <c:pt idx="30">
                  <c:v>74564.94922557837</c:v>
                </c:pt>
                <c:pt idx="31">
                  <c:v>74789.942402162691</c:v>
                </c:pt>
                <c:pt idx="32">
                  <c:v>76311.914261650294</c:v>
                </c:pt>
                <c:pt idx="33">
                  <c:v>70911.541946374709</c:v>
                </c:pt>
                <c:pt idx="34">
                  <c:v>65158.321912645071</c:v>
                </c:pt>
                <c:pt idx="35">
                  <c:v>67068.846634605026</c:v>
                </c:pt>
              </c:numCache>
            </c:numRef>
          </c:val>
          <c:smooth val="0"/>
          <c:extLst>
            <c:ext xmlns:c16="http://schemas.microsoft.com/office/drawing/2014/chart" uri="{C3380CC4-5D6E-409C-BE32-E72D297353CC}">
              <c16:uniqueId val="{00000001-B544-47FB-97BD-1118C89E6678}"/>
            </c:ext>
          </c:extLst>
        </c:ser>
        <c:ser>
          <c:idx val="1"/>
          <c:order val="1"/>
          <c:tx>
            <c:v>TOTAL (MMBTU)</c:v>
          </c:tx>
          <c:spPr>
            <a:ln w="19050" cap="rnd" cmpd="sng" algn="ctr">
              <a:solidFill>
                <a:srgbClr val="1E90FF">
                  <a:alpha val="0"/>
                </a:srgbClr>
              </a:solidFill>
              <a:prstDash val="solid"/>
              <a:round/>
              <a:headEnd type="none" w="med" len="med"/>
              <a:tailEnd type="none" w="med" len="med"/>
            </a:ln>
          </c:spPr>
          <c:marker>
            <c:symbol val="plus"/>
            <c:size val="5"/>
            <c:spPr>
              <a:solidFill>
                <a:srgbClr val="000080"/>
              </a:solidFill>
              <a:ln w="19050" cap="rnd" cmpd="sng" algn="ctr">
                <a:solidFill>
                  <a:srgbClr val="1E90FF">
                    <a:alpha val="0"/>
                  </a:srgbClr>
                </a:solidFill>
                <a:prstDash val="solid"/>
                <a:round/>
                <a:headEnd type="none" w="med" len="med"/>
                <a:tailEnd type="none" w="med" len="med"/>
              </a:ln>
            </c:spPr>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'1 Model Data'!$J$15:$J$50</c:f>
              <c:numCache>
                <c:formatCode>##,##0</c:formatCode>
                <c:ptCount val="36"/>
                <c:pt idx="0">
                  <c:v>78084.114149303845</c:v>
                </c:pt>
                <c:pt idx="1">
                  <c:v>77346.844671244689</c:v>
                </c:pt>
                <c:pt idx="2">
                  <c:v>72682.40802719479</c:v>
                </c:pt>
                <c:pt idx="3">
                  <c:v>59692.697743737306</c:v>
                </c:pt>
                <c:pt idx="4">
                  <c:v>61811.191660490287</c:v>
                </c:pt>
                <c:pt idx="5">
                  <c:v>63909.224692729593</c:v>
                </c:pt>
                <c:pt idx="6">
                  <c:v>67484.621810023003</c:v>
                </c:pt>
                <c:pt idx="7">
                  <c:v>72028.225486044146</c:v>
                </c:pt>
                <c:pt idx="8">
                  <c:v>70184.642094028532</c:v>
                </c:pt>
                <c:pt idx="9">
                  <c:v>71711.044169726636</c:v>
                </c:pt>
                <c:pt idx="10">
                  <c:v>62819.291775047997</c:v>
                </c:pt>
                <c:pt idx="11">
                  <c:v>68050.609460963999</c:v>
                </c:pt>
                <c:pt idx="12">
                  <c:v>66423.443610661998</c:v>
                </c:pt>
                <c:pt idx="13">
                  <c:v>58628.069678391999</c:v>
                </c:pt>
                <c:pt idx="14">
                  <c:v>59458.993955774</c:v>
                </c:pt>
                <c:pt idx="15">
                  <c:v>52880.648643085995</c:v>
                </c:pt>
                <c:pt idx="16">
                  <c:v>51017.215969796001</c:v>
                </c:pt>
                <c:pt idx="17">
                  <c:v>55185.704107915997</c:v>
                </c:pt>
                <c:pt idx="18">
                  <c:v>58568.737849903999</c:v>
                </c:pt>
                <c:pt idx="19">
                  <c:v>60876.336744736</c:v>
                </c:pt>
                <c:pt idx="20">
                  <c:v>59781.779318415996</c:v>
                </c:pt>
                <c:pt idx="21">
                  <c:v>67117.573802227998</c:v>
                </c:pt>
                <c:pt idx="22">
                  <c:v>62146.961712507997</c:v>
                </c:pt>
                <c:pt idx="23">
                  <c:v>66087.607635360007</c:v>
                </c:pt>
                <c:pt idx="24">
                  <c:v>66708.028504568007</c:v>
                </c:pt>
                <c:pt idx="25">
                  <c:v>61583.907424188001</c:v>
                </c:pt>
                <c:pt idx="26">
                  <c:v>59737.368693313998</c:v>
                </c:pt>
                <c:pt idx="27">
                  <c:v>55817.828139140001</c:v>
                </c:pt>
                <c:pt idx="28">
                  <c:v>55724.245089976001</c:v>
                </c:pt>
                <c:pt idx="29">
                  <c:v>58762.104832628</c:v>
                </c:pt>
                <c:pt idx="30">
                  <c:v>64457.041486634</c:v>
                </c:pt>
                <c:pt idx="31">
                  <c:v>66374.995671864002</c:v>
                </c:pt>
                <c:pt idx="32">
                  <c:v>64643.198427052004</c:v>
                </c:pt>
                <c:pt idx="33">
                  <c:v>67891.418874185998</c:v>
                </c:pt>
                <c:pt idx="34">
                  <c:v>64633.410249068002</c:v>
                </c:pt>
                <c:pt idx="35">
                  <c:v>61976.020785724002</c:v>
                </c:pt>
              </c:numCache>
            </c:numRef>
          </c:val>
          <c:smooth val="0"/>
          <c:extLst>
            <c:ext xmlns:c16="http://schemas.microsoft.com/office/drawing/2014/chart" uri="{C3380CC4-5D6E-409C-BE32-E72D297353CC}">
              <c16:uniqueId val="{00000002-B544-47FB-97BD-1118C89E6678}"/>
            </c:ext>
          </c:extLst>
        </c:ser>
        <c:dLbls>
          <c:showLegendKey val="0"/>
          <c:showVal val="0"/>
          <c:showCatName val="0"/>
          <c:showSerName val="0"/>
          <c:showPercent val="0"/>
          <c:showBubbleSize val="0"/>
        </c:dLbls>
        <c:smooth val="0"/>
        <c:axId val="689130464"/>
        <c:axId val="689130792"/>
      </c:lineChart>
      <c:catAx>
        <c:axId val="689130464"/>
        <c:scaling>
          <c:orientation val="minMax"/>
        </c:scaling>
        <c:delete val="0"/>
        <c:axPos val="b"/>
        <c:title>
          <c:tx>
            <c:rich>
              <a:bodyPr/>
              <a:lstStyle/>
              <a:p>
                <a:pPr>
                  <a:defRPr/>
                </a:pPr>
                <a:r>
                  <a:rPr lang="en-US"/>
                  <a:t>Time Period</a:t>
                </a:r>
              </a:p>
            </c:rich>
          </c:tx>
          <c:overlay val="0"/>
        </c:title>
        <c:numFmt formatCode="General" sourceLinked="1"/>
        <c:majorTickMark val="out"/>
        <c:minorTickMark val="none"/>
        <c:tickLblPos val="nextTo"/>
        <c:crossAx val="689130792"/>
        <c:crosses val="autoZero"/>
        <c:auto val="1"/>
        <c:lblAlgn val="ctr"/>
        <c:lblOffset val="100"/>
        <c:tickLblSkip val="6"/>
        <c:tickMarkSkip val="6"/>
        <c:noMultiLvlLbl val="0"/>
      </c:catAx>
      <c:valAx>
        <c:axId val="689130792"/>
        <c:scaling>
          <c:orientation val="minMax"/>
        </c:scaling>
        <c:delete val="0"/>
        <c:axPos val="l"/>
        <c:majorGridlines/>
        <c:title>
          <c:tx>
            <c:rich>
              <a:bodyPr/>
              <a:lstStyle/>
              <a:p>
                <a:pPr>
                  <a:defRPr/>
                </a:pPr>
                <a:r>
                  <a:rPr lang="en-US"/>
                  <a:t>Total Consumption (MMBTU)</a:t>
                </a:r>
              </a:p>
            </c:rich>
          </c:tx>
          <c:overlay val="0"/>
        </c:title>
        <c:numFmt formatCode="##,##0" sourceLinked="1"/>
        <c:majorTickMark val="out"/>
        <c:minorTickMark val="none"/>
        <c:tickLblPos val="nextTo"/>
        <c:crossAx val="68913046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1619</c:v>
              </c:pt>
              <c:pt idx="1">
                <c:v>1453</c:v>
              </c:pt>
              <c:pt idx="2">
                <c:v>1126</c:v>
              </c:pt>
              <c:pt idx="3">
                <c:v>657</c:v>
              </c:pt>
              <c:pt idx="4">
                <c:v>272</c:v>
              </c:pt>
              <c:pt idx="5">
                <c:v>12</c:v>
              </c:pt>
              <c:pt idx="6">
                <c:v>2</c:v>
              </c:pt>
              <c:pt idx="7">
                <c:v>7</c:v>
              </c:pt>
              <c:pt idx="8">
                <c:v>84</c:v>
              </c:pt>
              <c:pt idx="9">
                <c:v>478</c:v>
              </c:pt>
              <c:pt idx="10">
                <c:v>913</c:v>
              </c:pt>
              <c:pt idx="11">
                <c:v>1605</c:v>
              </c:pt>
            </c:numLit>
          </c:xVal>
          <c:yVal>
            <c:numLit>
              <c:formatCode>General</c:formatCode>
              <c:ptCount val="12"/>
              <c:pt idx="0">
                <c:v>47790.114149303801</c:v>
              </c:pt>
              <c:pt idx="1">
                <c:v>49252.844671244697</c:v>
              </c:pt>
              <c:pt idx="2">
                <c:v>48295.408027194797</c:v>
              </c:pt>
              <c:pt idx="3">
                <c:v>43874.697743737299</c:v>
              </c:pt>
              <c:pt idx="4">
                <c:v>47726.191660490302</c:v>
              </c:pt>
              <c:pt idx="5">
                <c:v>49043.2246927296</c:v>
              </c:pt>
              <c:pt idx="6">
                <c:v>54187.621810023003</c:v>
              </c:pt>
              <c:pt idx="7">
                <c:v>56026.4254860441</c:v>
              </c:pt>
              <c:pt idx="8">
                <c:v>54271.642094028502</c:v>
              </c:pt>
              <c:pt idx="9">
                <c:v>54237.0441697266</c:v>
              </c:pt>
              <c:pt idx="10">
                <c:v>46925.291775047997</c:v>
              </c:pt>
              <c:pt idx="11">
                <c:v>45178.609460963999</c:v>
              </c:pt>
            </c:numLit>
          </c:yVal>
          <c:smooth val="0"/>
          <c:extLst>
            <c:ext xmlns:c16="http://schemas.microsoft.com/office/drawing/2014/chart" uri="{C3380CC4-5D6E-409C-BE32-E72D297353CC}">
              <c16:uniqueId val="{00000003-9C8B-4CE7-91EA-C2513EBA4101}"/>
            </c:ext>
          </c:extLst>
        </c:ser>
        <c:ser>
          <c:idx val="0"/>
          <c:order val="0"/>
          <c:tx>
            <c:strRef>
              <c:f>'1 Electricity (MMBTU)'!$A$2</c:f>
              <c:strCache>
                <c:ptCount val="1"/>
                <c:pt idx="0">
                  <c:v>The best model for the data provided is #4</c:v>
                </c:pt>
              </c:strCache>
            </c:strRef>
          </c:tx>
          <c:yVal>
            <c:numRef>
              <c:f>'1 Electricity (MMBTU)'!$B$2:$G$2</c:f>
            </c:numRef>
          </c:yVal>
          <c:smooth val="0"/>
          <c:extLst>
            <c:ext xmlns:c16="http://schemas.microsoft.com/office/drawing/2014/chart" uri="{C3380CC4-5D6E-409C-BE32-E72D297353CC}">
              <c16:uniqueId val="{00000000-9C8B-4CE7-91EA-C2513EBA4101}"/>
            </c:ext>
          </c:extLst>
        </c:ser>
        <c:dLbls>
          <c:showLegendKey val="0"/>
          <c:showVal val="0"/>
          <c:showCatName val="0"/>
          <c:showSerName val="0"/>
          <c:showPercent val="0"/>
          <c:showBubbleSize val="0"/>
        </c:dLbls>
        <c:axId val="692943160"/>
        <c:axId val="692937912"/>
      </c:scatterChart>
      <c:valAx>
        <c:axId val="692943160"/>
        <c:scaling>
          <c:orientation val="minMax"/>
        </c:scaling>
        <c:delete val="0"/>
        <c:axPos val="b"/>
        <c:title>
          <c:tx>
            <c:rich>
              <a:bodyPr/>
              <a:lstStyle/>
              <a:p>
                <a:pPr>
                  <a:defRPr/>
                </a:pPr>
                <a:r>
                  <a:rPr lang="en-US"/>
                  <a:t>HDD</a:t>
                </a:r>
              </a:p>
            </c:rich>
          </c:tx>
          <c:overlay val="0"/>
        </c:title>
        <c:numFmt formatCode="###,##0" sourceLinked="0"/>
        <c:majorTickMark val="out"/>
        <c:minorTickMark val="none"/>
        <c:tickLblPos val="nextTo"/>
        <c:crossAx val="692937912"/>
        <c:crosses val="autoZero"/>
        <c:crossBetween val="midCat"/>
      </c:valAx>
      <c:valAx>
        <c:axId val="692937912"/>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69294316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chart>
    <c:autoTitleDeleted val="1"/>
    <c:plotArea>
      <c:layout/>
      <c:scatterChart>
        <c:scatterStyle val="lineMarker"/>
        <c:varyColors val="0"/>
        <c:ser>
          <c:idx val="0"/>
          <c:order val="0"/>
          <c:tx>
            <c:v>Energy Performance Indicator (forecast)</c:v>
          </c:tx>
          <c:spPr>
            <a:ln w="19050">
              <a:noFill/>
            </a:ln>
          </c:spPr>
          <c:marker>
            <c:symbol val="circle"/>
            <c:size val="5"/>
            <c:spPr>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Data'!$W$26:$W$50</c:f>
              <c:numCache>
                <c:formatCode>0.00</c:formatCode>
                <c:ptCount val="25"/>
                <c:pt idx="0">
                  <c:v>1</c:v>
                </c:pt>
                <c:pt idx="1">
                  <c:v>0.99468799170370215</c:v>
                </c:pt>
                <c:pt idx="2">
                  <c:v>0.98846769153870262</c:v>
                </c:pt>
                <c:pt idx="3">
                  <c:v>0.98281585218486711</c:v>
                </c:pt>
                <c:pt idx="4">
                  <c:v>0.97813818910975503</c:v>
                </c:pt>
                <c:pt idx="5">
                  <c:v>0.97050861402623012</c:v>
                </c:pt>
                <c:pt idx="6">
                  <c:v>0.95702655330400344</c:v>
                </c:pt>
                <c:pt idx="7">
                  <c:v>0.946128639073335</c:v>
                </c:pt>
                <c:pt idx="8">
                  <c:v>0.93689700549566313</c:v>
                </c:pt>
                <c:pt idx="9">
                  <c:v>0.9251455114319862</c:v>
                </c:pt>
                <c:pt idx="10">
                  <c:v>0.91674193659443726</c:v>
                </c:pt>
                <c:pt idx="11">
                  <c:v>0.91217870569548543</c:v>
                </c:pt>
                <c:pt idx="12">
                  <c:v>0.9155783140702719</c:v>
                </c:pt>
                <c:pt idx="13">
                  <c:v>0.91497489659816</c:v>
                </c:pt>
                <c:pt idx="14">
                  <c:v>0.91287485358414111</c:v>
                </c:pt>
                <c:pt idx="15">
                  <c:v>0.90843016345638439</c:v>
                </c:pt>
                <c:pt idx="16">
                  <c:v>0.90907978187654492</c:v>
                </c:pt>
                <c:pt idx="17">
                  <c:v>0.91067261134141542</c:v>
                </c:pt>
                <c:pt idx="18">
                  <c:v>0.91554059024175161</c:v>
                </c:pt>
                <c:pt idx="19">
                  <c:v>0.91301322832773013</c:v>
                </c:pt>
                <c:pt idx="20">
                  <c:v>0.91212987531038103</c:v>
                </c:pt>
                <c:pt idx="21">
                  <c:v>0.90410617811562044</c:v>
                </c:pt>
                <c:pt idx="22">
                  <c:v>0.90570466606968991</c:v>
                </c:pt>
                <c:pt idx="23">
                  <c:v>0.90748114012238335</c:v>
                </c:pt>
                <c:pt idx="24">
                  <c:v>0.90496617057272588</c:v>
                </c:pt>
              </c:numCache>
            </c:numRef>
          </c:yVal>
          <c:smooth val="0"/>
          <c:extLst>
            <c:ext xmlns:c16="http://schemas.microsoft.com/office/drawing/2014/chart" uri="{C3380CC4-5D6E-409C-BE32-E72D297353CC}">
              <c16:uniqueId val="{00000001-8FCC-4000-A23D-1438997ED5B2}"/>
            </c:ext>
          </c:extLst>
        </c:ser>
        <c:dLbls>
          <c:showLegendKey val="0"/>
          <c:showVal val="0"/>
          <c:showCatName val="0"/>
          <c:showSerName val="0"/>
          <c:showPercent val="0"/>
          <c:showBubbleSize val="0"/>
        </c:dLbls>
        <c:axId val="499379552"/>
        <c:axId val="499377912"/>
      </c:scatterChart>
      <c:valAx>
        <c:axId val="499379552"/>
        <c:scaling>
          <c:orientation val="minMax"/>
          <c:min val="25"/>
        </c:scaling>
        <c:delete val="0"/>
        <c:axPos val="b"/>
        <c:majorGridlines/>
        <c:title>
          <c:tx>
            <c:rich>
              <a:bodyPr/>
              <a:lstStyle/>
              <a:p>
                <a:pPr>
                  <a:defRPr/>
                </a:pPr>
                <a:r>
                  <a:rPr lang="en-US"/>
                  <a:t>Input Interval</a:t>
                </a:r>
              </a:p>
            </c:rich>
          </c:tx>
          <c:overlay val="0"/>
        </c:title>
        <c:numFmt formatCode="General" sourceLinked="1"/>
        <c:majorTickMark val="out"/>
        <c:minorTickMark val="none"/>
        <c:tickLblPos val="nextTo"/>
        <c:crossAx val="499377912"/>
        <c:crosses val="autoZero"/>
        <c:crossBetween val="midCat"/>
      </c:valAx>
      <c:valAx>
        <c:axId val="499377912"/>
        <c:scaling>
          <c:orientation val="minMax"/>
        </c:scaling>
        <c:delete val="0"/>
        <c:axPos val="l"/>
        <c:majorGridlines/>
        <c:title>
          <c:tx>
            <c:rich>
              <a:bodyPr/>
              <a:lstStyle/>
              <a:p>
                <a:pPr>
                  <a:defRPr/>
                </a:pPr>
                <a:r>
                  <a:rPr lang="en-US"/>
                  <a:t>Trailing Twelve Month EnPI(TTM)</a:t>
                </a:r>
              </a:p>
            </c:rich>
          </c:tx>
          <c:overlay val="0"/>
        </c:title>
        <c:numFmt formatCode="0.00" sourceLinked="1"/>
        <c:majorTickMark val="out"/>
        <c:minorTickMark val="none"/>
        <c:tickLblPos val="nextTo"/>
        <c:crossAx val="499379552"/>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Actual Energy Consumption (TTM)</c:v>
          </c:tx>
          <c:spPr>
            <a:ln w="19050">
              <a:noFill/>
            </a:ln>
          </c:spPr>
          <c:marker>
            <c:symbol val="x"/>
            <c:size val="5"/>
            <c:spPr>
              <a:ln>
                <a:solidFill>
                  <a:srgbClr val="7D60A0"/>
                </a:solidFill>
                <a:prstDash val="solid"/>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Data'!$Y$26:$Y$50</c:f>
              <c:numCache>
                <c:formatCode>##,##0</c:formatCode>
                <c:ptCount val="25"/>
                <c:pt idx="0">
                  <c:v>825804.9157405349</c:v>
                </c:pt>
                <c:pt idx="1">
                  <c:v>814144.24520189303</c:v>
                </c:pt>
                <c:pt idx="2">
                  <c:v>795425.47020904033</c:v>
                </c:pt>
                <c:pt idx="3">
                  <c:v>782202.05613761954</c:v>
                </c:pt>
                <c:pt idx="4">
                  <c:v>775390.00703696825</c:v>
                </c:pt>
                <c:pt idx="5">
                  <c:v>764596.03134627384</c:v>
                </c:pt>
                <c:pt idx="6">
                  <c:v>755872.51076146029</c:v>
                </c:pt>
                <c:pt idx="7">
                  <c:v>746956.62680134131</c:v>
                </c:pt>
                <c:pt idx="8">
                  <c:v>735804.73806003295</c:v>
                </c:pt>
                <c:pt idx="9">
                  <c:v>725401.87528442056</c:v>
                </c:pt>
                <c:pt idx="10">
                  <c:v>720808.40491692198</c:v>
                </c:pt>
                <c:pt idx="11">
                  <c:v>720136.07485438196</c:v>
                </c:pt>
                <c:pt idx="12">
                  <c:v>718173.07302877784</c:v>
                </c:pt>
                <c:pt idx="13">
                  <c:v>718457.65792268398</c:v>
                </c:pt>
                <c:pt idx="14">
                  <c:v>721413.49566847994</c:v>
                </c:pt>
                <c:pt idx="15">
                  <c:v>721691.87040601997</c:v>
                </c:pt>
                <c:pt idx="16">
                  <c:v>724629.04990207404</c:v>
                </c:pt>
                <c:pt idx="17">
                  <c:v>729336.0790222541</c:v>
                </c:pt>
                <c:pt idx="18">
                  <c:v>732912.47974696616</c:v>
                </c:pt>
                <c:pt idx="19">
                  <c:v>738800.78338369611</c:v>
                </c:pt>
                <c:pt idx="20">
                  <c:v>744299.44231082394</c:v>
                </c:pt>
                <c:pt idx="21">
                  <c:v>749160.86141945992</c:v>
                </c:pt>
                <c:pt idx="22">
                  <c:v>749934.70649141807</c:v>
                </c:pt>
                <c:pt idx="23">
                  <c:v>752421.15502797801</c:v>
                </c:pt>
                <c:pt idx="24">
                  <c:v>748309.56817834207</c:v>
                </c:pt>
              </c:numCache>
            </c:numRef>
          </c:yVal>
          <c:smooth val="0"/>
          <c:extLst>
            <c:ext xmlns:c16="http://schemas.microsoft.com/office/drawing/2014/chart" uri="{C3380CC4-5D6E-409C-BE32-E72D297353CC}">
              <c16:uniqueId val="{00000001-5D0C-450D-84DC-E6DE08700E37}"/>
            </c:ext>
          </c:extLst>
        </c:ser>
        <c:ser>
          <c:idx val="1"/>
          <c:order val="1"/>
          <c:tx>
            <c:v>Actual Energy Consumption to meet 5% target</c:v>
          </c:tx>
          <c:spPr>
            <a:ln w="19050">
              <a:noFill/>
            </a:ln>
          </c:spPr>
          <c:marker>
            <c:symbol val="diamond"/>
            <c:size val="5"/>
            <c:spPr>
              <a:solidFill>
                <a:srgbClr val="4F81BD"/>
              </a:solidFill>
              <a:ln>
                <a:solidFill>
                  <a:srgbClr val="4F81BD"/>
                </a:solidFill>
                <a:prstDash val="solid"/>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Data'!$Z$26:$Z$50</c:f>
              <c:numCache>
                <c:formatCode>##,##0</c:formatCode>
                <c:ptCount val="25"/>
                <c:pt idx="0">
                  <c:v>784514.66995350807</c:v>
                </c:pt>
                <c:pt idx="1">
                  <c:v>777567.4778349892</c:v>
                </c:pt>
                <c:pt idx="2">
                  <c:v>764470.30405444594</c:v>
                </c:pt>
                <c:pt idx="3">
                  <c:v>756084.62325754529</c:v>
                </c:pt>
                <c:pt idx="4">
                  <c:v>753084.29308495694</c:v>
                </c:pt>
                <c:pt idx="5">
                  <c:v>748438.725098558</c:v>
                </c:pt>
                <c:pt idx="6">
                  <c:v>750322.84396322956</c:v>
                </c:pt>
                <c:pt idx="7">
                  <c:v>750013.01742254104</c:v>
                </c:pt>
                <c:pt idx="8">
                  <c:v>746095.35205763555</c:v>
                </c:pt>
                <c:pt idx="9">
                  <c:v>744890.15295931883</c:v>
                </c:pt>
                <c:pt idx="10">
                  <c:v>746958.2849180972</c:v>
                </c:pt>
                <c:pt idx="11">
                  <c:v>749994.78374147357</c:v>
                </c:pt>
                <c:pt idx="12">
                  <c:v>745173.19697567041</c:v>
                </c:pt>
                <c:pt idx="13">
                  <c:v>745960.11056061392</c:v>
                </c:pt>
                <c:pt idx="14">
                  <c:v>750752.21778128075</c:v>
                </c:pt>
                <c:pt idx="15">
                  <c:v>754716.5478049831</c:v>
                </c:pt>
                <c:pt idx="16">
                  <c:v>757246.62579775229</c:v>
                </c:pt>
                <c:pt idx="17">
                  <c:v>760832.45113801002</c:v>
                </c:pt>
                <c:pt idx="18">
                  <c:v>760498.07423149433</c:v>
                </c:pt>
                <c:pt idx="19">
                  <c:v>768730.09331971605</c:v>
                </c:pt>
                <c:pt idx="20">
                  <c:v>775201.52484280244</c:v>
                </c:pt>
                <c:pt idx="21">
                  <c:v>787189.42041945842</c:v>
                </c:pt>
                <c:pt idx="22">
                  <c:v>786611.79284686188</c:v>
                </c:pt>
                <c:pt idx="23">
                  <c:v>787674.87903955858</c:v>
                </c:pt>
                <c:pt idx="24">
                  <c:v>785547.69546746858</c:v>
                </c:pt>
              </c:numCache>
            </c:numRef>
          </c:yVal>
          <c:smooth val="0"/>
          <c:extLst>
            <c:ext xmlns:c16="http://schemas.microsoft.com/office/drawing/2014/chart" uri="{C3380CC4-5D6E-409C-BE32-E72D297353CC}">
              <c16:uniqueId val="{00000002-5D0C-450D-84DC-E6DE08700E37}"/>
            </c:ext>
          </c:extLst>
        </c:ser>
        <c:ser>
          <c:idx val="2"/>
          <c:order val="2"/>
          <c:tx>
            <c:v>Actual Energy Consumption to meet 10% target</c:v>
          </c:tx>
          <c:spPr>
            <a:ln w="19050">
              <a:noFill/>
            </a:ln>
          </c:spPr>
          <c:marker>
            <c:symbol val="square"/>
            <c:size val="5"/>
            <c:spPr>
              <a:solidFill>
                <a:srgbClr val="C0504D"/>
              </a:solidFill>
              <a:ln>
                <a:solidFill>
                  <a:srgbClr val="C0504D"/>
                </a:solidFill>
                <a:prstDash val="solid"/>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Data'!$AA$26:$AA$50</c:f>
              <c:numCache>
                <c:formatCode>##,##0</c:formatCode>
                <c:ptCount val="25"/>
                <c:pt idx="0">
                  <c:v>743224.42416648136</c:v>
                </c:pt>
                <c:pt idx="1">
                  <c:v>736642.87373841088</c:v>
                </c:pt>
                <c:pt idx="2">
                  <c:v>724235.02489368571</c:v>
                </c:pt>
                <c:pt idx="3">
                  <c:v>716290.69571767456</c:v>
                </c:pt>
                <c:pt idx="4">
                  <c:v>713448.27765943296</c:v>
                </c:pt>
                <c:pt idx="5">
                  <c:v>709047.21325126546</c:v>
                </c:pt>
                <c:pt idx="6">
                  <c:v>710832.16796516499</c:v>
                </c:pt>
                <c:pt idx="7">
                  <c:v>710538.64808451256</c:v>
                </c:pt>
                <c:pt idx="8">
                  <c:v>706827.17563354946</c:v>
                </c:pt>
                <c:pt idx="9">
                  <c:v>705685.40806672315</c:v>
                </c:pt>
                <c:pt idx="10">
                  <c:v>707644.6909750395</c:v>
                </c:pt>
                <c:pt idx="11">
                  <c:v>710521.37407086976</c:v>
                </c:pt>
                <c:pt idx="12">
                  <c:v>705953.55502958258</c:v>
                </c:pt>
                <c:pt idx="13">
                  <c:v>706699.05211005535</c:v>
                </c:pt>
                <c:pt idx="14">
                  <c:v>711238.94316121342</c:v>
                </c:pt>
                <c:pt idx="15">
                  <c:v>714994.62423629977</c:v>
                </c:pt>
                <c:pt idx="16">
                  <c:v>717391.54022944963</c:v>
                </c:pt>
                <c:pt idx="17">
                  <c:v>720788.63792022003</c:v>
                </c:pt>
                <c:pt idx="18">
                  <c:v>720471.85979825794</c:v>
                </c:pt>
                <c:pt idx="19">
                  <c:v>728270.61472394166</c:v>
                </c:pt>
                <c:pt idx="20">
                  <c:v>734401.44458791823</c:v>
                </c:pt>
                <c:pt idx="21">
                  <c:v>745758.39829211857</c:v>
                </c:pt>
                <c:pt idx="22">
                  <c:v>745211.17217071133</c:v>
                </c:pt>
                <c:pt idx="23">
                  <c:v>746218.30645852932</c:v>
                </c:pt>
                <c:pt idx="24">
                  <c:v>744203.07991654926</c:v>
                </c:pt>
              </c:numCache>
            </c:numRef>
          </c:yVal>
          <c:smooth val="0"/>
          <c:extLst>
            <c:ext xmlns:c16="http://schemas.microsoft.com/office/drawing/2014/chart" uri="{C3380CC4-5D6E-409C-BE32-E72D297353CC}">
              <c16:uniqueId val="{00000003-5D0C-450D-84DC-E6DE08700E37}"/>
            </c:ext>
          </c:extLst>
        </c:ser>
        <c:ser>
          <c:idx val="3"/>
          <c:order val="3"/>
          <c:tx>
            <c:v>Actual Energy Consumption to meet 15% target</c:v>
          </c:tx>
          <c:spPr>
            <a:ln w="19050">
              <a:noFill/>
            </a:ln>
          </c:spPr>
          <c:marker>
            <c:symbol val="triangle"/>
            <c:size val="5"/>
            <c:spPr>
              <a:solidFill>
                <a:srgbClr val="9BBB59"/>
              </a:solidFill>
              <a:ln>
                <a:solidFill>
                  <a:srgbClr val="9BBB59"/>
                </a:solidFill>
                <a:prstDash val="solid"/>
              </a:ln>
            </c:spPr>
          </c:marker>
          <c:xVal>
            <c:numLit>
              <c:formatCode>General</c:formatCode>
              <c:ptCount val="25"/>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numLit>
          </c:xVal>
          <c:yVal>
            <c:numRef>
              <c:f>'1 Model Data'!$AB$26:$AB$50</c:f>
              <c:numCache>
                <c:formatCode>##,##0</c:formatCode>
                <c:ptCount val="25"/>
                <c:pt idx="0">
                  <c:v>701934.17837945465</c:v>
                </c:pt>
                <c:pt idx="1">
                  <c:v>695718.26964183245</c:v>
                </c:pt>
                <c:pt idx="2">
                  <c:v>683999.74573292537</c:v>
                </c:pt>
                <c:pt idx="3">
                  <c:v>676496.76817780372</c:v>
                </c:pt>
                <c:pt idx="4">
                  <c:v>673812.26223390887</c:v>
                </c:pt>
                <c:pt idx="5">
                  <c:v>669655.70140397293</c:v>
                </c:pt>
                <c:pt idx="6">
                  <c:v>671341.49196710018</c:v>
                </c:pt>
                <c:pt idx="7">
                  <c:v>671064.27874648408</c:v>
                </c:pt>
                <c:pt idx="8">
                  <c:v>667558.99920946336</c:v>
                </c:pt>
                <c:pt idx="9">
                  <c:v>666480.66317412746</c:v>
                </c:pt>
                <c:pt idx="10">
                  <c:v>668331.09703198168</c:v>
                </c:pt>
                <c:pt idx="11">
                  <c:v>671047.96440026583</c:v>
                </c:pt>
                <c:pt idx="12">
                  <c:v>666733.91308349452</c:v>
                </c:pt>
                <c:pt idx="13">
                  <c:v>667437.99365949666</c:v>
                </c:pt>
                <c:pt idx="14">
                  <c:v>671725.66854114598</c:v>
                </c:pt>
                <c:pt idx="15">
                  <c:v>675272.70066761645</c:v>
                </c:pt>
                <c:pt idx="16">
                  <c:v>677536.45466114674</c:v>
                </c:pt>
                <c:pt idx="17">
                  <c:v>680744.82470242993</c:v>
                </c:pt>
                <c:pt idx="18">
                  <c:v>680445.64536502131</c:v>
                </c:pt>
                <c:pt idx="19">
                  <c:v>687811.13612816704</c:v>
                </c:pt>
                <c:pt idx="20">
                  <c:v>693601.36433303379</c:v>
                </c:pt>
                <c:pt idx="21">
                  <c:v>704327.3761647786</c:v>
                </c:pt>
                <c:pt idx="22">
                  <c:v>703810.55149456067</c:v>
                </c:pt>
                <c:pt idx="23">
                  <c:v>704761.73387749982</c:v>
                </c:pt>
                <c:pt idx="24">
                  <c:v>702858.46436562983</c:v>
                </c:pt>
              </c:numCache>
            </c:numRef>
          </c:yVal>
          <c:smooth val="0"/>
          <c:extLst>
            <c:ext xmlns:c16="http://schemas.microsoft.com/office/drawing/2014/chart" uri="{C3380CC4-5D6E-409C-BE32-E72D297353CC}">
              <c16:uniqueId val="{00000004-5D0C-450D-84DC-E6DE08700E37}"/>
            </c:ext>
          </c:extLst>
        </c:ser>
        <c:dLbls>
          <c:showLegendKey val="0"/>
          <c:showVal val="0"/>
          <c:showCatName val="0"/>
          <c:showSerName val="0"/>
          <c:showPercent val="0"/>
          <c:showBubbleSize val="0"/>
        </c:dLbls>
        <c:axId val="899784800"/>
        <c:axId val="899785128"/>
      </c:scatterChart>
      <c:valAx>
        <c:axId val="899784800"/>
        <c:scaling>
          <c:orientation val="minMax"/>
          <c:min val="25"/>
        </c:scaling>
        <c:delete val="0"/>
        <c:axPos val="b"/>
        <c:majorGridlines/>
        <c:title>
          <c:tx>
            <c:rich>
              <a:bodyPr/>
              <a:lstStyle/>
              <a:p>
                <a:pPr>
                  <a:defRPr/>
                </a:pPr>
                <a:r>
                  <a:rPr lang="en-US"/>
                  <a:t>Input Interval</a:t>
                </a:r>
              </a:p>
            </c:rich>
          </c:tx>
          <c:overlay val="0"/>
        </c:title>
        <c:numFmt formatCode="General" sourceLinked="1"/>
        <c:majorTickMark val="out"/>
        <c:minorTickMark val="none"/>
        <c:tickLblPos val="nextTo"/>
        <c:crossAx val="899785128"/>
        <c:crosses val="autoZero"/>
        <c:crossBetween val="midCat"/>
      </c:valAx>
      <c:valAx>
        <c:axId val="899785128"/>
        <c:scaling>
          <c:orientation val="minMax"/>
        </c:scaling>
        <c:delete val="0"/>
        <c:axPos val="l"/>
        <c:majorGridlines/>
        <c:title>
          <c:tx>
            <c:rich>
              <a:bodyPr/>
              <a:lstStyle/>
              <a:p>
                <a:pPr>
                  <a:defRPr/>
                </a:pPr>
                <a:r>
                  <a:rPr lang="en-US"/>
                  <a:t>Primary 12 months energy consumption across all energy sources (MMBtu)</a:t>
                </a:r>
              </a:p>
            </c:rich>
          </c:tx>
          <c:overlay val="0"/>
        </c:title>
        <c:numFmt formatCode="##,##0" sourceLinked="1"/>
        <c:majorTickMark val="out"/>
        <c:minorTickMark val="none"/>
        <c:tickLblPos val="nextTo"/>
        <c:crossAx val="899784800"/>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tx>
            <c:v>Energy savings TTM (MMBTu)</c:v>
          </c:tx>
          <c:spPr>
            <a:ln w="19050">
              <a:noFill/>
            </a:ln>
          </c:spPr>
          <c:marker>
            <c:symbol val="x"/>
            <c:size val="5"/>
            <c:spPr>
              <a:ln>
                <a:solidFill>
                  <a:srgbClr val="7D60A0"/>
                </a:solidFill>
                <a:prstDash val="solid"/>
              </a:ln>
            </c:spPr>
          </c:marker>
          <c:xVal>
            <c:numLit>
              <c:formatCode>General</c:formatCode>
              <c:ptCount val="24"/>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numLit>
          </c:xVal>
          <c:yVal>
            <c:numRef>
              <c:f>'1 Model Data'!$V$27:$V$50</c:f>
              <c:numCache>
                <c:formatCode>##,##0</c:formatCode>
                <c:ptCount val="24"/>
                <c:pt idx="0">
                  <c:v>4347.8367296746001</c:v>
                </c:pt>
                <c:pt idx="1">
                  <c:v>9280.1130061659496</c:v>
                </c:pt>
                <c:pt idx="2">
                  <c:v>13676.49465979659</c:v>
                </c:pt>
                <c:pt idx="3">
                  <c:v>17330.30147351278</c:v>
                </c:pt>
                <c:pt idx="4">
                  <c:v>23234.2055995767</c:v>
                </c:pt>
                <c:pt idx="5">
                  <c:v>33941.009199834079</c:v>
                </c:pt>
                <c:pt idx="6">
                  <c:v>42530.75995922822</c:v>
                </c:pt>
                <c:pt idx="7">
                  <c:v>49558.790421688696</c:v>
                </c:pt>
                <c:pt idx="8">
                  <c:v>58693.022567494074</c:v>
                </c:pt>
                <c:pt idx="9">
                  <c:v>65463.473944233032</c:v>
                </c:pt>
                <c:pt idx="10">
                  <c:v>69332.118557695532</c:v>
                </c:pt>
                <c:pt idx="11">
                  <c:v>66219.765892980504</c:v>
                </c:pt>
                <c:pt idx="12">
                  <c:v>66763.511088488623</c:v>
                </c:pt>
                <c:pt idx="13">
                  <c:v>68851.996732868254</c:v>
                </c:pt>
                <c:pt idx="14">
                  <c:v>72746.60096764646</c:v>
                </c:pt>
                <c:pt idx="15">
                  <c:v>72472.661463981029</c:v>
                </c:pt>
                <c:pt idx="16">
                  <c:v>71540.185333545902</c:v>
                </c:pt>
                <c:pt idx="17">
                  <c:v>67611.808917764807</c:v>
                </c:pt>
                <c:pt idx="18">
                  <c:v>70388.788531794562</c:v>
                </c:pt>
                <c:pt idx="19">
                  <c:v>71702.162786862929</c:v>
                </c:pt>
                <c:pt idx="20">
                  <c:v>79459.581127338461</c:v>
                </c:pt>
                <c:pt idx="21">
                  <c:v>78077.707031594473</c:v>
                </c:pt>
                <c:pt idx="22">
                  <c:v>76710.296592610073</c:v>
                </c:pt>
                <c:pt idx="23">
                  <c:v>78582.742840045947</c:v>
                </c:pt>
              </c:numCache>
            </c:numRef>
          </c:yVal>
          <c:smooth val="0"/>
          <c:extLst>
            <c:ext xmlns:c16="http://schemas.microsoft.com/office/drawing/2014/chart" uri="{C3380CC4-5D6E-409C-BE32-E72D297353CC}">
              <c16:uniqueId val="{00000001-6C7F-4259-B3A0-CCFC2C61484B}"/>
            </c:ext>
          </c:extLst>
        </c:ser>
        <c:ser>
          <c:idx val="1"/>
          <c:order val="1"/>
          <c:tx>
            <c:v>5% improvement savings</c:v>
          </c:tx>
          <c:spPr>
            <a:ln w="19050">
              <a:noFill/>
            </a:ln>
          </c:spPr>
          <c:marker>
            <c:symbol val="diamond"/>
            <c:size val="5"/>
            <c:spPr>
              <a:solidFill>
                <a:srgbClr val="4F81BD"/>
              </a:solidFill>
              <a:ln>
                <a:solidFill>
                  <a:srgbClr val="4F81BD"/>
                </a:solidFill>
                <a:prstDash val="solid"/>
              </a:ln>
            </c:spPr>
          </c:marker>
          <c:xVal>
            <c:numLit>
              <c:formatCode>General</c:formatCode>
              <c:ptCount val="24"/>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numLit>
          </c:xVal>
          <c:yVal>
            <c:numRef>
              <c:f>'1 Model Data'!$AC$27:$AC$50</c:f>
              <c:numCache>
                <c:formatCode>##,##0</c:formatCode>
                <c:ptCount val="24"/>
                <c:pt idx="0">
                  <c:v>40924.604096578434</c:v>
                </c:pt>
                <c:pt idx="1">
                  <c:v>40235.279160760343</c:v>
                </c:pt>
                <c:pt idx="2">
                  <c:v>39793.927539870841</c:v>
                </c:pt>
                <c:pt idx="3">
                  <c:v>39636.015425524092</c:v>
                </c:pt>
                <c:pt idx="4">
                  <c:v>39391.511847292539</c:v>
                </c:pt>
                <c:pt idx="5">
                  <c:v>39490.675998064806</c:v>
                </c:pt>
                <c:pt idx="6">
                  <c:v>39474.369338028482</c:v>
                </c:pt>
                <c:pt idx="7">
                  <c:v>39268.176424086094</c:v>
                </c:pt>
                <c:pt idx="8">
                  <c:v>39204.744892595802</c:v>
                </c:pt>
                <c:pt idx="9">
                  <c:v>39313.593943057815</c:v>
                </c:pt>
                <c:pt idx="10">
                  <c:v>39473.409670603927</c:v>
                </c:pt>
                <c:pt idx="11">
                  <c:v>39219.641946087941</c:v>
                </c:pt>
                <c:pt idx="12">
                  <c:v>39261.058450558688</c:v>
                </c:pt>
                <c:pt idx="13">
                  <c:v>39513.274620067445</c:v>
                </c:pt>
                <c:pt idx="14">
                  <c:v>39721.923568683327</c:v>
                </c:pt>
                <c:pt idx="15">
                  <c:v>39855.085568302777</c:v>
                </c:pt>
                <c:pt idx="16">
                  <c:v>40043.813217789982</c:v>
                </c:pt>
                <c:pt idx="17">
                  <c:v>40026.21443323663</c:v>
                </c:pt>
                <c:pt idx="18">
                  <c:v>40459.478595774621</c:v>
                </c:pt>
                <c:pt idx="19">
                  <c:v>40800.080254884437</c:v>
                </c:pt>
                <c:pt idx="20">
                  <c:v>41431.022127339966</c:v>
                </c:pt>
                <c:pt idx="21">
                  <c:v>41400.620676150662</c:v>
                </c:pt>
                <c:pt idx="22">
                  <c:v>41456.572581029497</c:v>
                </c:pt>
                <c:pt idx="23">
                  <c:v>41344.615550919436</c:v>
                </c:pt>
              </c:numCache>
            </c:numRef>
          </c:yVal>
          <c:smooth val="0"/>
          <c:extLst>
            <c:ext xmlns:c16="http://schemas.microsoft.com/office/drawing/2014/chart" uri="{C3380CC4-5D6E-409C-BE32-E72D297353CC}">
              <c16:uniqueId val="{00000002-6C7F-4259-B3A0-CCFC2C61484B}"/>
            </c:ext>
          </c:extLst>
        </c:ser>
        <c:ser>
          <c:idx val="2"/>
          <c:order val="2"/>
          <c:tx>
            <c:v>10% improvement savings</c:v>
          </c:tx>
          <c:spPr>
            <a:ln w="19050">
              <a:noFill/>
            </a:ln>
          </c:spPr>
          <c:marker>
            <c:symbol val="square"/>
            <c:size val="5"/>
            <c:spPr>
              <a:solidFill>
                <a:srgbClr val="C0504D"/>
              </a:solidFill>
              <a:ln>
                <a:solidFill>
                  <a:srgbClr val="C0504D"/>
                </a:solidFill>
                <a:prstDash val="solid"/>
              </a:ln>
            </c:spPr>
          </c:marker>
          <c:xVal>
            <c:numLit>
              <c:formatCode>General</c:formatCode>
              <c:ptCount val="24"/>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numLit>
          </c:xVal>
          <c:yVal>
            <c:numRef>
              <c:f>'1 Model Data'!$AD$27:$AD$50</c:f>
              <c:numCache>
                <c:formatCode>##,##0</c:formatCode>
                <c:ptCount val="24"/>
                <c:pt idx="0">
                  <c:v>81849.208193156752</c:v>
                </c:pt>
                <c:pt idx="1">
                  <c:v>80470.55832152057</c:v>
                </c:pt>
                <c:pt idx="2">
                  <c:v>79587.855079741566</c:v>
                </c:pt>
                <c:pt idx="3">
                  <c:v>79272.030851048068</c:v>
                </c:pt>
                <c:pt idx="4">
                  <c:v>78783.023694585077</c:v>
                </c:pt>
                <c:pt idx="5">
                  <c:v>78981.351996129379</c:v>
                </c:pt>
                <c:pt idx="6">
                  <c:v>78948.738676056964</c:v>
                </c:pt>
                <c:pt idx="7">
                  <c:v>78536.352848172188</c:v>
                </c:pt>
                <c:pt idx="8">
                  <c:v>78409.489785191487</c:v>
                </c:pt>
                <c:pt idx="9">
                  <c:v>78627.187886115513</c:v>
                </c:pt>
                <c:pt idx="10">
                  <c:v>78946.819341207738</c:v>
                </c:pt>
                <c:pt idx="11">
                  <c:v>78439.283892175765</c:v>
                </c:pt>
                <c:pt idx="12">
                  <c:v>78522.116901117261</c:v>
                </c:pt>
                <c:pt idx="13">
                  <c:v>79026.549240134773</c:v>
                </c:pt>
                <c:pt idx="14">
                  <c:v>79443.847137366654</c:v>
                </c:pt>
                <c:pt idx="15">
                  <c:v>79710.171136605437</c:v>
                </c:pt>
                <c:pt idx="16">
                  <c:v>80087.626435579965</c:v>
                </c:pt>
                <c:pt idx="17">
                  <c:v>80052.428866473027</c:v>
                </c:pt>
                <c:pt idx="18">
                  <c:v>80918.957191549009</c:v>
                </c:pt>
                <c:pt idx="19">
                  <c:v>81600.160509768641</c:v>
                </c:pt>
                <c:pt idx="20">
                  <c:v>82862.044254679815</c:v>
                </c:pt>
                <c:pt idx="21">
                  <c:v>82801.241352301207</c:v>
                </c:pt>
                <c:pt idx="22">
                  <c:v>82913.145162058761</c:v>
                </c:pt>
                <c:pt idx="23">
                  <c:v>82689.231101838755</c:v>
                </c:pt>
              </c:numCache>
            </c:numRef>
          </c:yVal>
          <c:smooth val="0"/>
          <c:extLst>
            <c:ext xmlns:c16="http://schemas.microsoft.com/office/drawing/2014/chart" uri="{C3380CC4-5D6E-409C-BE32-E72D297353CC}">
              <c16:uniqueId val="{00000003-6C7F-4259-B3A0-CCFC2C61484B}"/>
            </c:ext>
          </c:extLst>
        </c:ser>
        <c:ser>
          <c:idx val="3"/>
          <c:order val="3"/>
          <c:tx>
            <c:v>15% improvement savings</c:v>
          </c:tx>
          <c:spPr>
            <a:ln w="19050">
              <a:noFill/>
            </a:ln>
          </c:spPr>
          <c:marker>
            <c:symbol val="triangle"/>
            <c:size val="5"/>
            <c:spPr>
              <a:solidFill>
                <a:srgbClr val="9BBB59"/>
              </a:solidFill>
              <a:ln>
                <a:solidFill>
                  <a:srgbClr val="9BBB59"/>
                </a:solidFill>
                <a:prstDash val="solid"/>
              </a:ln>
            </c:spPr>
          </c:marker>
          <c:xVal>
            <c:numLit>
              <c:formatCode>General</c:formatCode>
              <c:ptCount val="24"/>
              <c:pt idx="0">
                <c:v>26</c:v>
              </c:pt>
              <c:pt idx="1">
                <c:v>27</c:v>
              </c:pt>
              <c:pt idx="2">
                <c:v>28</c:v>
              </c:pt>
              <c:pt idx="3">
                <c:v>29</c:v>
              </c:pt>
              <c:pt idx="4">
                <c:v>30</c:v>
              </c:pt>
              <c:pt idx="5">
                <c:v>31</c:v>
              </c:pt>
              <c:pt idx="6">
                <c:v>32</c:v>
              </c:pt>
              <c:pt idx="7">
                <c:v>33</c:v>
              </c:pt>
              <c:pt idx="8">
                <c:v>34</c:v>
              </c:pt>
              <c:pt idx="9">
                <c:v>35</c:v>
              </c:pt>
              <c:pt idx="10">
                <c:v>36</c:v>
              </c:pt>
              <c:pt idx="11">
                <c:v>37</c:v>
              </c:pt>
              <c:pt idx="12">
                <c:v>38</c:v>
              </c:pt>
              <c:pt idx="13">
                <c:v>39</c:v>
              </c:pt>
              <c:pt idx="14">
                <c:v>40</c:v>
              </c:pt>
              <c:pt idx="15">
                <c:v>41</c:v>
              </c:pt>
              <c:pt idx="16">
                <c:v>42</c:v>
              </c:pt>
              <c:pt idx="17">
                <c:v>43</c:v>
              </c:pt>
              <c:pt idx="18">
                <c:v>44</c:v>
              </c:pt>
              <c:pt idx="19">
                <c:v>45</c:v>
              </c:pt>
              <c:pt idx="20">
                <c:v>46</c:v>
              </c:pt>
              <c:pt idx="21">
                <c:v>47</c:v>
              </c:pt>
              <c:pt idx="22">
                <c:v>48</c:v>
              </c:pt>
              <c:pt idx="23">
                <c:v>49</c:v>
              </c:pt>
            </c:numLit>
          </c:xVal>
          <c:yVal>
            <c:numRef>
              <c:f>'1 Model Data'!$AE$27:$AE$50</c:f>
              <c:numCache>
                <c:formatCode>##,##0</c:formatCode>
                <c:ptCount val="24"/>
                <c:pt idx="0">
                  <c:v>122773.81228973519</c:v>
                </c:pt>
                <c:pt idx="1">
                  <c:v>120705.83748228091</c:v>
                </c:pt>
                <c:pt idx="2">
                  <c:v>119381.78261961241</c:v>
                </c:pt>
                <c:pt idx="3">
                  <c:v>118908.04627657216</c:v>
                </c:pt>
                <c:pt idx="4">
                  <c:v>118174.53554187762</c:v>
                </c:pt>
                <c:pt idx="5">
                  <c:v>118472.02799419418</c:v>
                </c:pt>
                <c:pt idx="6">
                  <c:v>118423.10801408545</c:v>
                </c:pt>
                <c:pt idx="7">
                  <c:v>117804.52927225828</c:v>
                </c:pt>
                <c:pt idx="8">
                  <c:v>117614.23467778717</c:v>
                </c:pt>
                <c:pt idx="9">
                  <c:v>117940.78182917333</c:v>
                </c:pt>
                <c:pt idx="10">
                  <c:v>118420.22901181167</c:v>
                </c:pt>
                <c:pt idx="11">
                  <c:v>117658.92583826382</c:v>
                </c:pt>
                <c:pt idx="12">
                  <c:v>117783.17535167595</c:v>
                </c:pt>
                <c:pt idx="13">
                  <c:v>118539.82386020222</c:v>
                </c:pt>
                <c:pt idx="14">
                  <c:v>119165.77070604998</c:v>
                </c:pt>
                <c:pt idx="15">
                  <c:v>119565.25670490833</c:v>
                </c:pt>
                <c:pt idx="16">
                  <c:v>120131.43965337006</c:v>
                </c:pt>
                <c:pt idx="17">
                  <c:v>120078.64329970966</c:v>
                </c:pt>
                <c:pt idx="18">
                  <c:v>121378.43578732363</c:v>
                </c:pt>
                <c:pt idx="19">
                  <c:v>122400.24076465308</c:v>
                </c:pt>
                <c:pt idx="20">
                  <c:v>124293.06638201978</c:v>
                </c:pt>
                <c:pt idx="21">
                  <c:v>124201.86202845187</c:v>
                </c:pt>
                <c:pt idx="22">
                  <c:v>124369.71774308826</c:v>
                </c:pt>
                <c:pt idx="23">
                  <c:v>124033.84665275819</c:v>
                </c:pt>
              </c:numCache>
            </c:numRef>
          </c:yVal>
          <c:smooth val="0"/>
          <c:extLst>
            <c:ext xmlns:c16="http://schemas.microsoft.com/office/drawing/2014/chart" uri="{C3380CC4-5D6E-409C-BE32-E72D297353CC}">
              <c16:uniqueId val="{00000004-6C7F-4259-B3A0-CCFC2C61484B}"/>
            </c:ext>
          </c:extLst>
        </c:ser>
        <c:dLbls>
          <c:showLegendKey val="0"/>
          <c:showVal val="0"/>
          <c:showCatName val="0"/>
          <c:showSerName val="0"/>
          <c:showPercent val="0"/>
          <c:showBubbleSize val="0"/>
        </c:dLbls>
        <c:axId val="899788408"/>
        <c:axId val="899786768"/>
      </c:scatterChart>
      <c:valAx>
        <c:axId val="899788408"/>
        <c:scaling>
          <c:orientation val="minMax"/>
          <c:min val="26"/>
        </c:scaling>
        <c:delete val="0"/>
        <c:axPos val="b"/>
        <c:majorGridlines/>
        <c:title>
          <c:tx>
            <c:rich>
              <a:bodyPr/>
              <a:lstStyle/>
              <a:p>
                <a:pPr>
                  <a:defRPr/>
                </a:pPr>
                <a:r>
                  <a:rPr lang="en-US"/>
                  <a:t>Input Interval</a:t>
                </a:r>
              </a:p>
            </c:rich>
          </c:tx>
          <c:overlay val="0"/>
        </c:title>
        <c:numFmt formatCode="General" sourceLinked="1"/>
        <c:majorTickMark val="out"/>
        <c:minorTickMark val="none"/>
        <c:tickLblPos val="nextTo"/>
        <c:crossAx val="899786768"/>
        <c:crosses val="autoZero"/>
        <c:crossBetween val="midCat"/>
      </c:valAx>
      <c:valAx>
        <c:axId val="899786768"/>
        <c:scaling>
          <c:orientation val="minMax"/>
        </c:scaling>
        <c:delete val="0"/>
        <c:axPos val="l"/>
        <c:majorGridlines/>
        <c:title>
          <c:tx>
            <c:rich>
              <a:bodyPr/>
              <a:lstStyle/>
              <a:p>
                <a:pPr>
                  <a:defRPr/>
                </a:pPr>
                <a:r>
                  <a:rPr lang="en-US"/>
                  <a:t>Primary trailing twelve months of energy savings (MMBtu)</a:t>
                </a:r>
              </a:p>
            </c:rich>
          </c:tx>
          <c:overlay val="0"/>
        </c:title>
        <c:numFmt formatCode="##,##0" sourceLinked="1"/>
        <c:majorTickMark val="out"/>
        <c:minorTickMark val="none"/>
        <c:tickLblPos val="nextTo"/>
        <c:crossAx val="899788408"/>
        <c:crosses val="autoZero"/>
        <c:crossBetween val="midCat"/>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lineChart>
        <c:grouping val="standard"/>
        <c:varyColors val="0"/>
        <c:ser>
          <c:idx val="0"/>
          <c:order val="0"/>
          <c:tx>
            <c:strRef>
              <c:f>'2 Detail Data'!$J$14</c:f>
              <c:strCache>
                <c:ptCount val="1"/>
                <c:pt idx="0">
                  <c:v>TOTAL  (MMBTU)</c:v>
                </c:pt>
              </c:strCache>
            </c:strRef>
          </c:tx>
          <c:spPr>
            <a:ln w="19050" cap="rnd" cmpd="sng" algn="ctr">
              <a:solidFill>
                <a:srgbClr val="1E90FF">
                  <a:alpha val="0"/>
                </a:srgbClr>
              </a:solidFill>
              <a:prstDash val="solid"/>
              <a:round/>
              <a:headEnd type="none" w="med" len="med"/>
              <a:tailEnd type="none" w="med" len="med"/>
            </a:ln>
          </c:spPr>
          <c:marker>
            <c:spPr>
              <a:solidFill>
                <a:srgbClr val="000080"/>
              </a:solidFill>
              <a:ln w="19050" cap="rnd" cmpd="sng" algn="ctr">
                <a:solidFill>
                  <a:srgbClr val="1E90FF">
                    <a:alpha val="0"/>
                  </a:srgbClr>
                </a:solidFill>
                <a:prstDash val="solid"/>
                <a:round/>
                <a:headEnd type="none" w="med" len="med"/>
                <a:tailEnd type="none" w="med" len="med"/>
              </a:ln>
            </c:spPr>
          </c:marker>
          <c:val>
            <c:numRef>
              <c:f>'2 Detail Data'!$J$15:$J$50</c:f>
              <c:numCache>
                <c:formatCode>##,##0</c:formatCode>
                <c:ptCount val="36"/>
                <c:pt idx="0">
                  <c:v>78084.114149303845</c:v>
                </c:pt>
                <c:pt idx="1">
                  <c:v>77346.844671244689</c:v>
                </c:pt>
                <c:pt idx="2">
                  <c:v>72682.40802719479</c:v>
                </c:pt>
                <c:pt idx="3">
                  <c:v>59692.697743737306</c:v>
                </c:pt>
                <c:pt idx="4">
                  <c:v>61811.191660490287</c:v>
                </c:pt>
                <c:pt idx="5">
                  <c:v>63909.224692729593</c:v>
                </c:pt>
                <c:pt idx="6">
                  <c:v>67484.621810023003</c:v>
                </c:pt>
                <c:pt idx="7">
                  <c:v>72028.225486044146</c:v>
                </c:pt>
                <c:pt idx="8">
                  <c:v>70184.642094028532</c:v>
                </c:pt>
                <c:pt idx="9">
                  <c:v>71711.044169726636</c:v>
                </c:pt>
                <c:pt idx="10">
                  <c:v>62819.291775047997</c:v>
                </c:pt>
                <c:pt idx="11">
                  <c:v>68050.609460963999</c:v>
                </c:pt>
                <c:pt idx="12">
                  <c:v>66423.443610661998</c:v>
                </c:pt>
                <c:pt idx="13">
                  <c:v>58628.069678391999</c:v>
                </c:pt>
                <c:pt idx="14">
                  <c:v>59458.993955774</c:v>
                </c:pt>
                <c:pt idx="15">
                  <c:v>52880.648643085995</c:v>
                </c:pt>
                <c:pt idx="16">
                  <c:v>51017.215969796001</c:v>
                </c:pt>
                <c:pt idx="17">
                  <c:v>55185.704107915997</c:v>
                </c:pt>
                <c:pt idx="18">
                  <c:v>58568.737849903999</c:v>
                </c:pt>
                <c:pt idx="19">
                  <c:v>60876.336744736</c:v>
                </c:pt>
                <c:pt idx="20">
                  <c:v>59781.779318415996</c:v>
                </c:pt>
                <c:pt idx="21">
                  <c:v>67117.573802227998</c:v>
                </c:pt>
                <c:pt idx="22">
                  <c:v>62146.961712507997</c:v>
                </c:pt>
                <c:pt idx="23">
                  <c:v>66087.607635360007</c:v>
                </c:pt>
                <c:pt idx="24">
                  <c:v>66708.028504568007</c:v>
                </c:pt>
                <c:pt idx="25">
                  <c:v>61583.907424188001</c:v>
                </c:pt>
                <c:pt idx="26">
                  <c:v>59737.368693313998</c:v>
                </c:pt>
                <c:pt idx="27">
                  <c:v>55817.828139140001</c:v>
                </c:pt>
                <c:pt idx="28">
                  <c:v>55724.245089976001</c:v>
                </c:pt>
                <c:pt idx="29">
                  <c:v>58762.104832628</c:v>
                </c:pt>
                <c:pt idx="30">
                  <c:v>64457.041486634</c:v>
                </c:pt>
                <c:pt idx="31">
                  <c:v>66374.995671864002</c:v>
                </c:pt>
                <c:pt idx="32">
                  <c:v>64643.198427052004</c:v>
                </c:pt>
                <c:pt idx="33">
                  <c:v>67891.418874185998</c:v>
                </c:pt>
                <c:pt idx="34">
                  <c:v>64633.410249068002</c:v>
                </c:pt>
                <c:pt idx="35">
                  <c:v>61976.020785724002</c:v>
                </c:pt>
              </c:numCache>
            </c:numRef>
          </c:val>
          <c:smooth val="0"/>
          <c:extLst>
            <c:ext xmlns:c16="http://schemas.microsoft.com/office/drawing/2014/chart" uri="{C3380CC4-5D6E-409C-BE32-E72D297353CC}">
              <c16:uniqueId val="{00000003-AFE7-4771-B5B1-E08B43CB3FB9}"/>
            </c:ext>
          </c:extLst>
        </c:ser>
        <c:dLbls>
          <c:showLegendKey val="0"/>
          <c:showVal val="0"/>
          <c:showCatName val="0"/>
          <c:showSerName val="0"/>
          <c:showPercent val="0"/>
          <c:showBubbleSize val="0"/>
        </c:dLbls>
        <c:marker val="1"/>
        <c:smooth val="0"/>
        <c:axId val="513678880"/>
        <c:axId val="513684784"/>
      </c:lineChart>
      <c:catAx>
        <c:axId val="513678880"/>
        <c:scaling>
          <c:orientation val="minMax"/>
        </c:scaling>
        <c:delete val="0"/>
        <c:axPos val="b"/>
        <c:title>
          <c:tx>
            <c:rich>
              <a:bodyPr/>
              <a:lstStyle/>
              <a:p>
                <a:pPr>
                  <a:defRPr/>
                </a:pPr>
                <a:r>
                  <a:rPr lang="en-US"/>
                  <a:t>Year</a:t>
                </a:r>
              </a:p>
            </c:rich>
          </c:tx>
          <c:overlay val="0"/>
        </c:title>
        <c:majorTickMark val="out"/>
        <c:minorTickMark val="none"/>
        <c:tickLblPos val="nextTo"/>
        <c:crossAx val="513684784"/>
        <c:crosses val="autoZero"/>
        <c:auto val="1"/>
        <c:lblAlgn val="ctr"/>
        <c:lblOffset val="100"/>
        <c:noMultiLvlLbl val="0"/>
      </c:catAx>
      <c:valAx>
        <c:axId val="513684784"/>
        <c:scaling>
          <c:orientation val="minMax"/>
        </c:scaling>
        <c:delete val="0"/>
        <c:axPos val="l"/>
        <c:majorGridlines/>
        <c:title>
          <c:tx>
            <c:rich>
              <a:bodyPr/>
              <a:lstStyle/>
              <a:p>
                <a:pPr>
                  <a:defRPr/>
                </a:pPr>
                <a:r>
                  <a:rPr lang="en-US"/>
                  <a:t>Total Consumption (MMBtu)</a:t>
                </a:r>
              </a:p>
            </c:rich>
          </c:tx>
          <c:overlay val="0"/>
        </c:title>
        <c:numFmt formatCode="##,##0" sourceLinked="1"/>
        <c:majorTickMark val="out"/>
        <c:minorTickMark val="none"/>
        <c:tickLblPos val="nextTo"/>
        <c:crossAx val="5136788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chart>
    <c:autoTitleDeleted val="0"/>
    <c:plotArea>
      <c:layout/>
      <c:barChart>
        <c:barDir val="col"/>
        <c:grouping val="clustered"/>
        <c:varyColors val="0"/>
        <c:ser>
          <c:idx val="0"/>
          <c:order val="0"/>
          <c:tx>
            <c:strRef>
              <c:f>'2 EnPI Actual Results'!$A$11</c:f>
              <c:strCache>
                <c:ptCount val="1"/>
                <c:pt idx="0">
                  <c:v>Production Energy Intensity (MMBtu/unit production)</c:v>
                </c:pt>
              </c:strCache>
            </c:strRef>
          </c:tx>
          <c:invertIfNegative val="0"/>
          <c:val>
            <c:numRef>
              <c:f>'2 EnPI Actual Results'!$B$11:$D$11</c:f>
              <c:numCache>
                <c:formatCode>###,##0.000</c:formatCode>
                <c:ptCount val="3"/>
                <c:pt idx="0">
                  <c:v>0.29373525467599693</c:v>
                </c:pt>
                <c:pt idx="1">
                  <c:v>0.27758881881520475</c:v>
                </c:pt>
                <c:pt idx="2">
                  <c:v>0.28522494163534606</c:v>
                </c:pt>
              </c:numCache>
            </c:numRef>
          </c:val>
          <c:extLst>
            <c:ext xmlns:c16="http://schemas.microsoft.com/office/drawing/2014/chart" uri="{C3380CC4-5D6E-409C-BE32-E72D297353CC}">
              <c16:uniqueId val="{00000003-F55C-4738-B206-CB3B68250A08}"/>
            </c:ext>
          </c:extLst>
        </c:ser>
        <c:dLbls>
          <c:showLegendKey val="0"/>
          <c:showVal val="0"/>
          <c:showCatName val="0"/>
          <c:showSerName val="0"/>
          <c:showPercent val="0"/>
          <c:showBubbleSize val="0"/>
        </c:dLbls>
        <c:gapWidth val="150"/>
        <c:axId val="513686752"/>
        <c:axId val="513697904"/>
      </c:barChart>
      <c:lineChart>
        <c:grouping val="standard"/>
        <c:varyColors val="0"/>
        <c:ser>
          <c:idx val="1"/>
          <c:order val="1"/>
          <c:tx>
            <c:strRef>
              <c:f>'2 EnPI Actual Results'!$A$13</c:f>
              <c:strCache>
                <c:ptCount val="1"/>
                <c:pt idx="0">
                  <c:v>Annual Improvement in Energy Intensity (%)</c:v>
                </c:pt>
              </c:strCache>
            </c:strRef>
          </c:tx>
          <c:spPr>
            <a:ln>
              <a:solidFill>
                <a:srgbClr val="006400"/>
              </a:solidFill>
            </a:ln>
          </c:spPr>
          <c:marker>
            <c:spPr>
              <a:solidFill>
                <a:srgbClr val="006400"/>
              </a:solidFill>
              <a:ln>
                <a:solidFill>
                  <a:srgbClr val="006400"/>
                </a:solidFill>
              </a:ln>
            </c:spPr>
          </c:marker>
          <c:val>
            <c:numRef>
              <c:f>'2 EnPI Actual Results'!$B$13:$D$13</c:f>
              <c:numCache>
                <c:formatCode>0.00%</c:formatCode>
                <c:ptCount val="3"/>
                <c:pt idx="0">
                  <c:v>0</c:v>
                </c:pt>
                <c:pt idx="1">
                  <c:v>5.4969349452459876E-2</c:v>
                </c:pt>
                <c:pt idx="2">
                  <c:v>-2.599661667634787E-2</c:v>
                </c:pt>
              </c:numCache>
            </c:numRef>
          </c:val>
          <c:smooth val="0"/>
          <c:extLst>
            <c:ext xmlns:c16="http://schemas.microsoft.com/office/drawing/2014/chart" uri="{C3380CC4-5D6E-409C-BE32-E72D297353CC}">
              <c16:uniqueId val="{00000004-F55C-4738-B206-CB3B68250A08}"/>
            </c:ext>
          </c:extLst>
        </c:ser>
        <c:ser>
          <c:idx val="2"/>
          <c:order val="2"/>
          <c:tx>
            <c:strRef>
              <c:f>'2 EnPI Actual Results'!$A$12</c:f>
              <c:strCache>
                <c:ptCount val="1"/>
                <c:pt idx="0">
                  <c:v>Total Improvement in Energy Intensity (%)</c:v>
                </c:pt>
              </c:strCache>
            </c:strRef>
          </c:tx>
          <c:spPr>
            <a:ln>
              <a:solidFill>
                <a:srgbClr val="9ACD32"/>
              </a:solidFill>
            </a:ln>
          </c:spPr>
          <c:marker>
            <c:spPr>
              <a:solidFill>
                <a:srgbClr val="9ACD32"/>
              </a:solidFill>
              <a:ln>
                <a:solidFill>
                  <a:srgbClr val="9ACD32"/>
                </a:solidFill>
              </a:ln>
            </c:spPr>
          </c:marker>
          <c:val>
            <c:numRef>
              <c:f>'2 EnPI Actual Results'!$B$12:$D$12</c:f>
              <c:numCache>
                <c:formatCode>0.00%</c:formatCode>
                <c:ptCount val="3"/>
                <c:pt idx="0">
                  <c:v>0</c:v>
                </c:pt>
                <c:pt idx="1">
                  <c:v>5.4969349452459876E-2</c:v>
                </c:pt>
                <c:pt idx="2">
                  <c:v>2.8972732776112006E-2</c:v>
                </c:pt>
              </c:numCache>
            </c:numRef>
          </c:val>
          <c:smooth val="0"/>
          <c:extLst>
            <c:ext xmlns:c16="http://schemas.microsoft.com/office/drawing/2014/chart" uri="{C3380CC4-5D6E-409C-BE32-E72D297353CC}">
              <c16:uniqueId val="{00000005-F55C-4738-B206-CB3B68250A08}"/>
            </c:ext>
          </c:extLst>
        </c:ser>
        <c:dLbls>
          <c:showLegendKey val="0"/>
          <c:showVal val="0"/>
          <c:showCatName val="0"/>
          <c:showSerName val="0"/>
          <c:showPercent val="0"/>
          <c:showBubbleSize val="0"/>
        </c:dLbls>
        <c:marker val="1"/>
        <c:smooth val="0"/>
        <c:axId val="513699216"/>
        <c:axId val="513701184"/>
      </c:lineChart>
      <c:catAx>
        <c:axId val="513686752"/>
        <c:scaling>
          <c:orientation val="minMax"/>
        </c:scaling>
        <c:delete val="0"/>
        <c:axPos val="b"/>
        <c:title>
          <c:tx>
            <c:rich>
              <a:bodyPr/>
              <a:lstStyle/>
              <a:p>
                <a:pPr>
                  <a:defRPr/>
                </a:pPr>
                <a:r>
                  <a:rPr lang="en-US"/>
                  <a:t>Reporting Year</a:t>
                </a:r>
              </a:p>
            </c:rich>
          </c:tx>
          <c:overlay val="0"/>
        </c:title>
        <c:majorTickMark val="out"/>
        <c:minorTickMark val="none"/>
        <c:tickLblPos val="nextTo"/>
        <c:crossAx val="513697904"/>
        <c:crosses val="autoZero"/>
        <c:auto val="1"/>
        <c:lblAlgn val="ctr"/>
        <c:lblOffset val="100"/>
        <c:noMultiLvlLbl val="0"/>
      </c:catAx>
      <c:valAx>
        <c:axId val="513697904"/>
        <c:scaling>
          <c:orientation val="minMax"/>
        </c:scaling>
        <c:delete val="0"/>
        <c:axPos val="l"/>
        <c:majorGridlines/>
        <c:title>
          <c:tx>
            <c:rich>
              <a:bodyPr/>
              <a:lstStyle/>
              <a:p>
                <a:pPr>
                  <a:defRPr/>
                </a:pPr>
                <a:r>
                  <a:rPr lang="en-US"/>
                  <a:t>Energy Intensity (MMBtu/unit)</a:t>
                </a:r>
              </a:p>
            </c:rich>
          </c:tx>
          <c:overlay val="0"/>
        </c:title>
        <c:numFmt formatCode="###,##0.000" sourceLinked="1"/>
        <c:majorTickMark val="out"/>
        <c:minorTickMark val="none"/>
        <c:tickLblPos val="nextTo"/>
        <c:crossAx val="513686752"/>
        <c:crosses val="autoZero"/>
        <c:crossBetween val="between"/>
      </c:valAx>
      <c:valAx>
        <c:axId val="513701184"/>
        <c:scaling>
          <c:orientation val="minMax"/>
        </c:scaling>
        <c:delete val="0"/>
        <c:axPos val="r"/>
        <c:title>
          <c:tx>
            <c:rich>
              <a:bodyPr/>
              <a:lstStyle/>
              <a:p>
                <a:pPr>
                  <a:defRPr/>
                </a:pPr>
                <a:r>
                  <a:rPr lang="en-US"/>
                  <a:t>Percent Improvement</a:t>
                </a:r>
              </a:p>
            </c:rich>
          </c:tx>
          <c:overlay val="0"/>
        </c:title>
        <c:numFmt formatCode="0.00%" sourceLinked="1"/>
        <c:majorTickMark val="out"/>
        <c:minorTickMark val="none"/>
        <c:tickLblPos val="nextTo"/>
        <c:crossAx val="513699216"/>
        <c:crosses val="max"/>
        <c:crossBetween val="between"/>
      </c:valAx>
      <c:catAx>
        <c:axId val="513699216"/>
        <c:scaling>
          <c:orientation val="minMax"/>
        </c:scaling>
        <c:delete val="1"/>
        <c:axPos val="b"/>
        <c:majorTickMark val="out"/>
        <c:minorTickMark val="none"/>
        <c:tickLblPos val="nextTo"/>
        <c:crossAx val="513701184"/>
        <c:crosses val="autoZero"/>
        <c:auto val="1"/>
        <c:lblAlgn val="ctr"/>
        <c:lblOffset val="100"/>
        <c:noMultiLvlLbl val="0"/>
      </c:cat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211655.4</c:v>
              </c:pt>
              <c:pt idx="1">
                <c:v>213539</c:v>
              </c:pt>
              <c:pt idx="2">
                <c:v>223455.5</c:v>
              </c:pt>
              <c:pt idx="3">
                <c:v>208021.4</c:v>
              </c:pt>
              <c:pt idx="4">
                <c:v>190701.3</c:v>
              </c:pt>
              <c:pt idx="5">
                <c:v>206772.4</c:v>
              </c:pt>
              <c:pt idx="6">
                <c:v>236312</c:v>
              </c:pt>
              <c:pt idx="7">
                <c:v>234273.9</c:v>
              </c:pt>
              <c:pt idx="8">
                <c:v>240883</c:v>
              </c:pt>
              <c:pt idx="9">
                <c:v>253572</c:v>
              </c:pt>
              <c:pt idx="10">
                <c:v>210502</c:v>
              </c:pt>
              <c:pt idx="11">
                <c:v>193889</c:v>
              </c:pt>
            </c:numLit>
          </c:xVal>
          <c:yVal>
            <c:numLit>
              <c:formatCode>General</c:formatCode>
              <c:ptCount val="12"/>
              <c:pt idx="0">
                <c:v>43225.028504567999</c:v>
              </c:pt>
              <c:pt idx="1">
                <c:v>40331.907424188001</c:v>
              </c:pt>
              <c:pt idx="2">
                <c:v>43187.368693313998</c:v>
              </c:pt>
              <c:pt idx="3">
                <c:v>43206.828139140001</c:v>
              </c:pt>
              <c:pt idx="4">
                <c:v>44443.245089976001</c:v>
              </c:pt>
              <c:pt idx="5">
                <c:v>48203.104832628</c:v>
              </c:pt>
              <c:pt idx="6">
                <c:v>53166.041486634</c:v>
              </c:pt>
              <c:pt idx="7">
                <c:v>55001.995671864002</c:v>
              </c:pt>
              <c:pt idx="8">
                <c:v>52786.198427051997</c:v>
              </c:pt>
              <c:pt idx="9">
                <c:v>52510.418874185998</c:v>
              </c:pt>
              <c:pt idx="10">
                <c:v>46943.410249068002</c:v>
              </c:pt>
              <c:pt idx="11">
                <c:v>42919.020785724002</c:v>
              </c:pt>
            </c:numLit>
          </c:yVal>
          <c:smooth val="0"/>
          <c:extLst>
            <c:ext xmlns:c16="http://schemas.microsoft.com/office/drawing/2014/chart" uri="{C3380CC4-5D6E-409C-BE32-E72D297353CC}">
              <c16:uniqueId val="{00000003-EA09-4731-91F3-43455E5A45D9}"/>
            </c:ext>
          </c:extLst>
        </c:ser>
        <c:ser>
          <c:idx val="0"/>
          <c:order val="0"/>
          <c:tx>
            <c:strRef>
              <c:f>'3 Electricity (MMBTU)'!$A$2</c:f>
              <c:strCache>
                <c:ptCount val="1"/>
                <c:pt idx="0">
                  <c:v>The best model for the data provided is #5</c:v>
                </c:pt>
              </c:strCache>
            </c:strRef>
          </c:tx>
          <c:yVal>
            <c:numRef>
              <c:f>'3 Electricity (MMBTU)'!$B$2:$G$2</c:f>
            </c:numRef>
          </c:yVal>
          <c:smooth val="0"/>
          <c:extLst>
            <c:ext xmlns:c16="http://schemas.microsoft.com/office/drawing/2014/chart" uri="{C3380CC4-5D6E-409C-BE32-E72D297353CC}">
              <c16:uniqueId val="{00000000-EA09-4731-91F3-43455E5A45D9}"/>
            </c:ext>
          </c:extLst>
        </c:ser>
        <c:dLbls>
          <c:showLegendKey val="0"/>
          <c:showVal val="0"/>
          <c:showCatName val="0"/>
          <c:showSerName val="0"/>
          <c:showPercent val="0"/>
          <c:showBubbleSize val="0"/>
        </c:dLbls>
        <c:axId val="787636632"/>
        <c:axId val="506232904"/>
      </c:scatterChart>
      <c:valAx>
        <c:axId val="787636632"/>
        <c:scaling>
          <c:orientation val="minMax"/>
        </c:scaling>
        <c:delete val="0"/>
        <c:axPos val="b"/>
        <c:title>
          <c:tx>
            <c:rich>
              <a:bodyPr/>
              <a:lstStyle/>
              <a:p>
                <a:pPr>
                  <a:defRPr/>
                </a:pPr>
                <a:r>
                  <a:rPr lang="en-US"/>
                  <a:t>Production</a:t>
                </a:r>
              </a:p>
            </c:rich>
          </c:tx>
          <c:overlay val="0"/>
        </c:title>
        <c:numFmt formatCode="###,##0" sourceLinked="0"/>
        <c:majorTickMark val="out"/>
        <c:minorTickMark val="none"/>
        <c:tickLblPos val="nextTo"/>
        <c:crossAx val="506232904"/>
        <c:crosses val="autoZero"/>
        <c:crossBetween val="midCat"/>
      </c:valAx>
      <c:valAx>
        <c:axId val="506232904"/>
        <c:scaling>
          <c:orientation val="minMax"/>
        </c:scaling>
        <c:delete val="0"/>
        <c:axPos val="l"/>
        <c:majorGridlines/>
        <c:title>
          <c:tx>
            <c:rich>
              <a:bodyPr/>
              <a:lstStyle/>
              <a:p>
                <a:pPr>
                  <a:defRPr/>
                </a:pPr>
                <a:r>
                  <a:rPr lang="en-US"/>
                  <a:t>3 Electricity (MMBTU)</a:t>
                </a:r>
              </a:p>
            </c:rich>
          </c:tx>
          <c:overlay val="0"/>
        </c:title>
        <c:numFmt formatCode="###,##0" sourceLinked="0"/>
        <c:majorTickMark val="out"/>
        <c:minorTickMark val="none"/>
        <c:tickLblPos val="nextTo"/>
        <c:crossAx val="78763663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1718</c:v>
              </c:pt>
              <c:pt idx="1">
                <c:v>1423</c:v>
              </c:pt>
              <c:pt idx="2">
                <c:v>805</c:v>
              </c:pt>
              <c:pt idx="3">
                <c:v>327</c:v>
              </c:pt>
              <c:pt idx="4">
                <c:v>223</c:v>
              </c:pt>
              <c:pt idx="5">
                <c:v>13</c:v>
              </c:pt>
              <c:pt idx="6">
                <c:v>0</c:v>
              </c:pt>
              <c:pt idx="7">
                <c:v>3</c:v>
              </c:pt>
              <c:pt idx="8">
                <c:v>159</c:v>
              </c:pt>
              <c:pt idx="9">
                <c:v>374</c:v>
              </c:pt>
              <c:pt idx="10">
                <c:v>884</c:v>
              </c:pt>
              <c:pt idx="11">
                <c:v>1499</c:v>
              </c:pt>
            </c:numLit>
          </c:xVal>
          <c:yVal>
            <c:numLit>
              <c:formatCode>General</c:formatCode>
              <c:ptCount val="12"/>
              <c:pt idx="0">
                <c:v>43225.028504567999</c:v>
              </c:pt>
              <c:pt idx="1">
                <c:v>40331.907424188001</c:v>
              </c:pt>
              <c:pt idx="2">
                <c:v>43187.368693313998</c:v>
              </c:pt>
              <c:pt idx="3">
                <c:v>43206.828139140001</c:v>
              </c:pt>
              <c:pt idx="4">
                <c:v>44443.245089976001</c:v>
              </c:pt>
              <c:pt idx="5">
                <c:v>48203.104832628</c:v>
              </c:pt>
              <c:pt idx="6">
                <c:v>53166.041486634</c:v>
              </c:pt>
              <c:pt idx="7">
                <c:v>55001.995671864002</c:v>
              </c:pt>
              <c:pt idx="8">
                <c:v>52786.198427051997</c:v>
              </c:pt>
              <c:pt idx="9">
                <c:v>52510.418874185998</c:v>
              </c:pt>
              <c:pt idx="10">
                <c:v>46943.410249068002</c:v>
              </c:pt>
              <c:pt idx="11">
                <c:v>42919.020785724002</c:v>
              </c:pt>
            </c:numLit>
          </c:yVal>
          <c:smooth val="0"/>
          <c:extLst>
            <c:ext xmlns:c16="http://schemas.microsoft.com/office/drawing/2014/chart" uri="{C3380CC4-5D6E-409C-BE32-E72D297353CC}">
              <c16:uniqueId val="{00000003-0267-4067-B736-1181347E6059}"/>
            </c:ext>
          </c:extLst>
        </c:ser>
        <c:ser>
          <c:idx val="0"/>
          <c:order val="0"/>
          <c:tx>
            <c:strRef>
              <c:f>'3 Electricity (MMBTU)'!$A$2</c:f>
              <c:strCache>
                <c:ptCount val="1"/>
                <c:pt idx="0">
                  <c:v>The best model for the data provided is #5</c:v>
                </c:pt>
              </c:strCache>
            </c:strRef>
          </c:tx>
          <c:yVal>
            <c:numRef>
              <c:f>'3 Electricity (MMBTU)'!$B$2:$G$2</c:f>
            </c:numRef>
          </c:yVal>
          <c:smooth val="0"/>
          <c:extLst>
            <c:ext xmlns:c16="http://schemas.microsoft.com/office/drawing/2014/chart" uri="{C3380CC4-5D6E-409C-BE32-E72D297353CC}">
              <c16:uniqueId val="{00000000-0267-4067-B736-1181347E6059}"/>
            </c:ext>
          </c:extLst>
        </c:ser>
        <c:dLbls>
          <c:showLegendKey val="0"/>
          <c:showVal val="0"/>
          <c:showCatName val="0"/>
          <c:showSerName val="0"/>
          <c:showPercent val="0"/>
          <c:showBubbleSize val="0"/>
        </c:dLbls>
        <c:axId val="786074240"/>
        <c:axId val="786073584"/>
      </c:scatterChart>
      <c:valAx>
        <c:axId val="786074240"/>
        <c:scaling>
          <c:orientation val="minMax"/>
        </c:scaling>
        <c:delete val="0"/>
        <c:axPos val="b"/>
        <c:title>
          <c:tx>
            <c:rich>
              <a:bodyPr/>
              <a:lstStyle/>
              <a:p>
                <a:pPr>
                  <a:defRPr/>
                </a:pPr>
                <a:r>
                  <a:rPr lang="en-US"/>
                  <a:t>HDD</a:t>
                </a:r>
              </a:p>
            </c:rich>
          </c:tx>
          <c:overlay val="0"/>
        </c:title>
        <c:numFmt formatCode="###,##0" sourceLinked="0"/>
        <c:majorTickMark val="out"/>
        <c:minorTickMark val="none"/>
        <c:tickLblPos val="nextTo"/>
        <c:crossAx val="786073584"/>
        <c:crosses val="autoZero"/>
        <c:crossBetween val="midCat"/>
      </c:valAx>
      <c:valAx>
        <c:axId val="786073584"/>
        <c:scaling>
          <c:orientation val="minMax"/>
        </c:scaling>
        <c:delete val="0"/>
        <c:axPos val="l"/>
        <c:majorGridlines/>
        <c:title>
          <c:tx>
            <c:rich>
              <a:bodyPr/>
              <a:lstStyle/>
              <a:p>
                <a:pPr>
                  <a:defRPr/>
                </a:pPr>
                <a:r>
                  <a:rPr lang="en-US"/>
                  <a:t>3 Electricity (MMBTU)</a:t>
                </a:r>
              </a:p>
            </c:rich>
          </c:tx>
          <c:overlay val="0"/>
        </c:title>
        <c:numFmt formatCode="###,##0" sourceLinked="0"/>
        <c:majorTickMark val="out"/>
        <c:minorTickMark val="none"/>
        <c:tickLblPos val="nextTo"/>
        <c:crossAx val="786074240"/>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0</c:v>
              </c:pt>
              <c:pt idx="1">
                <c:v>0</c:v>
              </c:pt>
              <c:pt idx="2">
                <c:v>0</c:v>
              </c:pt>
              <c:pt idx="3">
                <c:v>31</c:v>
              </c:pt>
              <c:pt idx="4">
                <c:v>116</c:v>
              </c:pt>
              <c:pt idx="5">
                <c:v>316</c:v>
              </c:pt>
              <c:pt idx="6">
                <c:v>377</c:v>
              </c:pt>
              <c:pt idx="7">
                <c:v>394</c:v>
              </c:pt>
              <c:pt idx="8">
                <c:v>371</c:v>
              </c:pt>
              <c:pt idx="9">
                <c:v>82</c:v>
              </c:pt>
              <c:pt idx="10">
                <c:v>0</c:v>
              </c:pt>
              <c:pt idx="11">
                <c:v>0</c:v>
              </c:pt>
            </c:numLit>
          </c:xVal>
          <c:yVal>
            <c:numLit>
              <c:formatCode>General</c:formatCode>
              <c:ptCount val="12"/>
              <c:pt idx="0">
                <c:v>43225.028504567999</c:v>
              </c:pt>
              <c:pt idx="1">
                <c:v>40331.907424188001</c:v>
              </c:pt>
              <c:pt idx="2">
                <c:v>43187.368693313998</c:v>
              </c:pt>
              <c:pt idx="3">
                <c:v>43206.828139140001</c:v>
              </c:pt>
              <c:pt idx="4">
                <c:v>44443.245089976001</c:v>
              </c:pt>
              <c:pt idx="5">
                <c:v>48203.104832628</c:v>
              </c:pt>
              <c:pt idx="6">
                <c:v>53166.041486634</c:v>
              </c:pt>
              <c:pt idx="7">
                <c:v>55001.995671864002</c:v>
              </c:pt>
              <c:pt idx="8">
                <c:v>52786.198427051997</c:v>
              </c:pt>
              <c:pt idx="9">
                <c:v>52510.418874185998</c:v>
              </c:pt>
              <c:pt idx="10">
                <c:v>46943.410249068002</c:v>
              </c:pt>
              <c:pt idx="11">
                <c:v>42919.020785724002</c:v>
              </c:pt>
            </c:numLit>
          </c:yVal>
          <c:smooth val="0"/>
          <c:extLst>
            <c:ext xmlns:c16="http://schemas.microsoft.com/office/drawing/2014/chart" uri="{C3380CC4-5D6E-409C-BE32-E72D297353CC}">
              <c16:uniqueId val="{00000003-1BBC-49E9-8C2E-FDFEF03AFBAB}"/>
            </c:ext>
          </c:extLst>
        </c:ser>
        <c:ser>
          <c:idx val="0"/>
          <c:order val="0"/>
          <c:tx>
            <c:strRef>
              <c:f>'3 Electricity (MMBTU)'!$A$2</c:f>
              <c:strCache>
                <c:ptCount val="1"/>
                <c:pt idx="0">
                  <c:v>The best model for the data provided is #5</c:v>
                </c:pt>
              </c:strCache>
            </c:strRef>
          </c:tx>
          <c:yVal>
            <c:numRef>
              <c:f>'3 Electricity (MMBTU)'!$B$2:$G$2</c:f>
            </c:numRef>
          </c:yVal>
          <c:smooth val="0"/>
          <c:extLst>
            <c:ext xmlns:c16="http://schemas.microsoft.com/office/drawing/2014/chart" uri="{C3380CC4-5D6E-409C-BE32-E72D297353CC}">
              <c16:uniqueId val="{00000000-1BBC-49E9-8C2E-FDFEF03AFBAB}"/>
            </c:ext>
          </c:extLst>
        </c:ser>
        <c:dLbls>
          <c:showLegendKey val="0"/>
          <c:showVal val="0"/>
          <c:showCatName val="0"/>
          <c:showSerName val="0"/>
          <c:showPercent val="0"/>
          <c:showBubbleSize val="0"/>
        </c:dLbls>
        <c:axId val="806169552"/>
        <c:axId val="806169880"/>
      </c:scatterChart>
      <c:valAx>
        <c:axId val="806169552"/>
        <c:scaling>
          <c:orientation val="minMax"/>
        </c:scaling>
        <c:delete val="0"/>
        <c:axPos val="b"/>
        <c:title>
          <c:tx>
            <c:rich>
              <a:bodyPr/>
              <a:lstStyle/>
              <a:p>
                <a:pPr>
                  <a:defRPr/>
                </a:pPr>
                <a:r>
                  <a:rPr lang="en-US"/>
                  <a:t>CDD</a:t>
                </a:r>
              </a:p>
            </c:rich>
          </c:tx>
          <c:overlay val="0"/>
        </c:title>
        <c:numFmt formatCode="###,##0" sourceLinked="0"/>
        <c:majorTickMark val="out"/>
        <c:minorTickMark val="none"/>
        <c:tickLblPos val="nextTo"/>
        <c:crossAx val="806169880"/>
        <c:crosses val="autoZero"/>
        <c:crossBetween val="midCat"/>
      </c:valAx>
      <c:valAx>
        <c:axId val="806169880"/>
        <c:scaling>
          <c:orientation val="minMax"/>
        </c:scaling>
        <c:delete val="0"/>
        <c:axPos val="l"/>
        <c:majorGridlines/>
        <c:title>
          <c:tx>
            <c:rich>
              <a:bodyPr/>
              <a:lstStyle/>
              <a:p>
                <a:pPr>
                  <a:defRPr/>
                </a:pPr>
                <a:r>
                  <a:rPr lang="en-US"/>
                  <a:t>3 Electricity (MMBTU)</a:t>
                </a:r>
              </a:p>
            </c:rich>
          </c:tx>
          <c:overlay val="0"/>
        </c:title>
        <c:numFmt formatCode="###,##0" sourceLinked="0"/>
        <c:majorTickMark val="out"/>
        <c:minorTickMark val="none"/>
        <c:tickLblPos val="nextTo"/>
        <c:crossAx val="806169552"/>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43225.028504567999</c:v>
              </c:pt>
              <c:pt idx="1">
                <c:v>40331.907424188001</c:v>
              </c:pt>
              <c:pt idx="2">
                <c:v>43187.368693313998</c:v>
              </c:pt>
              <c:pt idx="3">
                <c:v>43206.828139140001</c:v>
              </c:pt>
              <c:pt idx="4">
                <c:v>44443.245089976001</c:v>
              </c:pt>
              <c:pt idx="5">
                <c:v>48203.104832628</c:v>
              </c:pt>
              <c:pt idx="6">
                <c:v>53166.041486634</c:v>
              </c:pt>
              <c:pt idx="7">
                <c:v>55001.995671864002</c:v>
              </c:pt>
              <c:pt idx="8">
                <c:v>52786.198427051997</c:v>
              </c:pt>
              <c:pt idx="9">
                <c:v>52510.418874185998</c:v>
              </c:pt>
              <c:pt idx="10">
                <c:v>46943.410249068002</c:v>
              </c:pt>
              <c:pt idx="11">
                <c:v>42919.020785724002</c:v>
              </c:pt>
            </c:numLit>
          </c:val>
          <c:smooth val="0"/>
          <c:extLst>
            <c:ext xmlns:c16="http://schemas.microsoft.com/office/drawing/2014/chart" uri="{C3380CC4-5D6E-409C-BE32-E72D297353CC}">
              <c16:uniqueId val="{00000003-21BA-40F1-822D-B746F1194511}"/>
            </c:ext>
          </c:extLst>
        </c:ser>
        <c:ser>
          <c:idx val="2"/>
          <c:order val="2"/>
          <c:tx>
            <c:v>Model 5</c:v>
          </c:tx>
          <c:val>
            <c:numLit>
              <c:formatCode>General</c:formatCode>
              <c:ptCount val="12"/>
              <c:pt idx="0">
                <c:v>43777.304381827358</c:v>
              </c:pt>
              <c:pt idx="1">
                <c:v>44006.258304849282</c:v>
              </c:pt>
              <c:pt idx="2">
                <c:v>45211.621215046151</c:v>
              </c:pt>
              <c:pt idx="3">
                <c:v>43894.608961740698</c:v>
              </c:pt>
              <c:pt idx="4">
                <c:v>43322.130972573679</c:v>
              </c:pt>
              <c:pt idx="5">
                <c:v>48882.185428315293</c:v>
              </c:pt>
              <c:pt idx="6">
                <c:v>53572.771192048662</c:v>
              </c:pt>
              <c:pt idx="7">
                <c:v>53631.597943926143</c:v>
              </c:pt>
              <c:pt idx="8">
                <c:v>54020.184160150413</c:v>
              </c:pt>
              <c:pt idx="9">
                <c:v>50351.022078667964</c:v>
              </c:pt>
              <c:pt idx="10">
                <c:v>43637.107177105834</c:v>
              </c:pt>
              <c:pt idx="11">
                <c:v>41617.776362090393</c:v>
              </c:pt>
            </c:numLit>
          </c:val>
          <c:smooth val="0"/>
          <c:extLst>
            <c:ext xmlns:c16="http://schemas.microsoft.com/office/drawing/2014/chart" uri="{C3380CC4-5D6E-409C-BE32-E72D297353CC}">
              <c16:uniqueId val="{00000004-21BA-40F1-822D-B746F1194511}"/>
            </c:ext>
          </c:extLst>
        </c:ser>
        <c:ser>
          <c:idx val="0"/>
          <c:order val="0"/>
          <c:tx>
            <c:strRef>
              <c:f>'3 Electricity (MMBTU)'!$A$2</c:f>
              <c:strCache>
                <c:ptCount val="1"/>
                <c:pt idx="0">
                  <c:v>The best model for the data provided is #5</c:v>
                </c:pt>
              </c:strCache>
            </c:strRef>
          </c:tx>
          <c:val>
            <c:numRef>
              <c:f>'3 Electricity (MMBTU)'!$B$2:$G$2</c:f>
            </c:numRef>
          </c:val>
          <c:smooth val="0"/>
          <c:extLst>
            <c:ext xmlns:c16="http://schemas.microsoft.com/office/drawing/2014/chart" uri="{C3380CC4-5D6E-409C-BE32-E72D297353CC}">
              <c16:uniqueId val="{00000000-21BA-40F1-822D-B746F1194511}"/>
            </c:ext>
          </c:extLst>
        </c:ser>
        <c:dLbls>
          <c:showLegendKey val="0"/>
          <c:showVal val="0"/>
          <c:showCatName val="0"/>
          <c:showSerName val="0"/>
          <c:showPercent val="0"/>
          <c:showBubbleSize val="0"/>
        </c:dLbls>
        <c:marker val="1"/>
        <c:smooth val="0"/>
        <c:axId val="806162008"/>
        <c:axId val="806161680"/>
      </c:lineChart>
      <c:catAx>
        <c:axId val="806162008"/>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806161680"/>
        <c:crosses val="autoZero"/>
        <c:auto val="1"/>
        <c:lblAlgn val="ctr"/>
        <c:lblOffset val="100"/>
        <c:noMultiLvlLbl val="0"/>
      </c:catAx>
      <c:valAx>
        <c:axId val="806161680"/>
        <c:scaling>
          <c:orientation val="minMax"/>
        </c:scaling>
        <c:delete val="0"/>
        <c:axPos val="l"/>
        <c:majorGridlines/>
        <c:title>
          <c:tx>
            <c:rich>
              <a:bodyPr/>
              <a:lstStyle/>
              <a:p>
                <a:pPr>
                  <a:defRPr/>
                </a:pPr>
                <a:r>
                  <a:rPr lang="en-US"/>
                  <a:t>3 Electricity (MMBTU)</a:t>
                </a:r>
              </a:p>
            </c:rich>
          </c:tx>
          <c:overlay val="0"/>
        </c:title>
        <c:numFmt formatCode="###,##0" sourceLinked="0"/>
        <c:majorTickMark val="out"/>
        <c:minorTickMark val="none"/>
        <c:tickLblPos val="nextTo"/>
        <c:crossAx val="8061620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43225.028504567999</c:v>
              </c:pt>
              <c:pt idx="1">
                <c:v>40331.907424188001</c:v>
              </c:pt>
              <c:pt idx="2">
                <c:v>43187.368693313998</c:v>
              </c:pt>
              <c:pt idx="3">
                <c:v>43206.828139140001</c:v>
              </c:pt>
              <c:pt idx="4">
                <c:v>44443.245089976001</c:v>
              </c:pt>
              <c:pt idx="5">
                <c:v>48203.104832628</c:v>
              </c:pt>
              <c:pt idx="6">
                <c:v>53166.041486634</c:v>
              </c:pt>
              <c:pt idx="7">
                <c:v>55001.995671864002</c:v>
              </c:pt>
              <c:pt idx="8">
                <c:v>52786.198427051997</c:v>
              </c:pt>
              <c:pt idx="9">
                <c:v>52510.418874185998</c:v>
              </c:pt>
              <c:pt idx="10">
                <c:v>46943.410249068002</c:v>
              </c:pt>
              <c:pt idx="11">
                <c:v>42919.020785724002</c:v>
              </c:pt>
            </c:numLit>
          </c:val>
          <c:smooth val="0"/>
          <c:extLst>
            <c:ext xmlns:c16="http://schemas.microsoft.com/office/drawing/2014/chart" uri="{C3380CC4-5D6E-409C-BE32-E72D297353CC}">
              <c16:uniqueId val="{00000003-845E-41F0-8D10-FF137A47EE07}"/>
            </c:ext>
          </c:extLst>
        </c:ser>
        <c:ser>
          <c:idx val="2"/>
          <c:order val="2"/>
          <c:tx>
            <c:v>Model 4</c:v>
          </c:tx>
          <c:val>
            <c:numLit>
              <c:formatCode>General</c:formatCode>
              <c:ptCount val="12"/>
              <c:pt idx="0">
                <c:v>41733.183915343499</c:v>
              </c:pt>
              <c:pt idx="1">
                <c:v>43191.563649126067</c:v>
              </c:pt>
              <c:pt idx="2">
                <c:v>47099.678665019193</c:v>
              </c:pt>
              <c:pt idx="3">
                <c:v>46821.860581818029</c:v>
              </c:pt>
              <c:pt idx="4">
                <c:v>44766.831166884964</c:v>
              </c:pt>
              <c:pt idx="5">
                <c:v>47909.323551091773</c:v>
              </c:pt>
              <c:pt idx="6">
                <c:v>52181.685721834117</c:v>
              </c:pt>
              <c:pt idx="7">
                <c:v>51878.433395493223</c:v>
              </c:pt>
              <c:pt idx="8">
                <c:v>52193.678251230085</c:v>
              </c:pt>
              <c:pt idx="9">
                <c:v>53139.623582300104</c:v>
              </c:pt>
              <c:pt idx="10">
                <c:v>44930.68563893481</c:v>
              </c:pt>
              <c:pt idx="11">
                <c:v>40078.020059266011</c:v>
              </c:pt>
            </c:numLit>
          </c:val>
          <c:smooth val="0"/>
          <c:extLst>
            <c:ext xmlns:c16="http://schemas.microsoft.com/office/drawing/2014/chart" uri="{C3380CC4-5D6E-409C-BE32-E72D297353CC}">
              <c16:uniqueId val="{00000004-845E-41F0-8D10-FF137A47EE07}"/>
            </c:ext>
          </c:extLst>
        </c:ser>
        <c:ser>
          <c:idx val="0"/>
          <c:order val="0"/>
          <c:tx>
            <c:strRef>
              <c:f>'3 Electricity (MMBTU)'!$A$2</c:f>
              <c:strCache>
                <c:ptCount val="1"/>
                <c:pt idx="0">
                  <c:v>The best model for the data provided is #5</c:v>
                </c:pt>
              </c:strCache>
            </c:strRef>
          </c:tx>
          <c:val>
            <c:numRef>
              <c:f>'3 Electricity (MMBTU)'!$B$2:$G$2</c:f>
            </c:numRef>
          </c:val>
          <c:smooth val="0"/>
          <c:extLst>
            <c:ext xmlns:c16="http://schemas.microsoft.com/office/drawing/2014/chart" uri="{C3380CC4-5D6E-409C-BE32-E72D297353CC}">
              <c16:uniqueId val="{00000000-845E-41F0-8D10-FF137A47EE07}"/>
            </c:ext>
          </c:extLst>
        </c:ser>
        <c:dLbls>
          <c:showLegendKey val="0"/>
          <c:showVal val="0"/>
          <c:showCatName val="0"/>
          <c:showSerName val="0"/>
          <c:showPercent val="0"/>
          <c:showBubbleSize val="0"/>
        </c:dLbls>
        <c:marker val="1"/>
        <c:smooth val="0"/>
        <c:axId val="806162992"/>
        <c:axId val="806161352"/>
      </c:lineChart>
      <c:catAx>
        <c:axId val="806162992"/>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806161352"/>
        <c:crosses val="autoZero"/>
        <c:auto val="1"/>
        <c:lblAlgn val="ctr"/>
        <c:lblOffset val="100"/>
        <c:noMultiLvlLbl val="0"/>
      </c:catAx>
      <c:valAx>
        <c:axId val="806161352"/>
        <c:scaling>
          <c:orientation val="minMax"/>
        </c:scaling>
        <c:delete val="0"/>
        <c:axPos val="l"/>
        <c:majorGridlines/>
        <c:title>
          <c:tx>
            <c:rich>
              <a:bodyPr/>
              <a:lstStyle/>
              <a:p>
                <a:pPr>
                  <a:defRPr/>
                </a:pPr>
                <a:r>
                  <a:rPr lang="en-US"/>
                  <a:t>3 Electricity (MMBTU)</a:t>
                </a:r>
              </a:p>
            </c:rich>
          </c:tx>
          <c:overlay val="0"/>
        </c:title>
        <c:numFmt formatCode="###,##0" sourceLinked="0"/>
        <c:majorTickMark val="out"/>
        <c:minorTickMark val="none"/>
        <c:tickLblPos val="nextTo"/>
        <c:crossAx val="80616299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0</c:v>
              </c:pt>
              <c:pt idx="1">
                <c:v>0</c:v>
              </c:pt>
              <c:pt idx="2">
                <c:v>0</c:v>
              </c:pt>
              <c:pt idx="3">
                <c:v>0</c:v>
              </c:pt>
              <c:pt idx="4">
                <c:v>11</c:v>
              </c:pt>
              <c:pt idx="5">
                <c:v>94</c:v>
              </c:pt>
              <c:pt idx="6">
                <c:v>216</c:v>
              </c:pt>
              <c:pt idx="7">
                <c:v>148</c:v>
              </c:pt>
              <c:pt idx="8">
                <c:v>15</c:v>
              </c:pt>
              <c:pt idx="9">
                <c:v>5</c:v>
              </c:pt>
              <c:pt idx="10">
                <c:v>0</c:v>
              </c:pt>
              <c:pt idx="11">
                <c:v>0</c:v>
              </c:pt>
            </c:numLit>
          </c:xVal>
          <c:yVal>
            <c:numLit>
              <c:formatCode>General</c:formatCode>
              <c:ptCount val="12"/>
              <c:pt idx="0">
                <c:v>47790.114149303801</c:v>
              </c:pt>
              <c:pt idx="1">
                <c:v>49252.844671244697</c:v>
              </c:pt>
              <c:pt idx="2">
                <c:v>48295.408027194797</c:v>
              </c:pt>
              <c:pt idx="3">
                <c:v>43874.697743737299</c:v>
              </c:pt>
              <c:pt idx="4">
                <c:v>47726.191660490302</c:v>
              </c:pt>
              <c:pt idx="5">
                <c:v>49043.2246927296</c:v>
              </c:pt>
              <c:pt idx="6">
                <c:v>54187.621810023003</c:v>
              </c:pt>
              <c:pt idx="7">
                <c:v>56026.4254860441</c:v>
              </c:pt>
              <c:pt idx="8">
                <c:v>54271.642094028502</c:v>
              </c:pt>
              <c:pt idx="9">
                <c:v>54237.0441697266</c:v>
              </c:pt>
              <c:pt idx="10">
                <c:v>46925.291775047997</c:v>
              </c:pt>
              <c:pt idx="11">
                <c:v>45178.609460963999</c:v>
              </c:pt>
            </c:numLit>
          </c:yVal>
          <c:smooth val="0"/>
          <c:extLst>
            <c:ext xmlns:c16="http://schemas.microsoft.com/office/drawing/2014/chart" uri="{C3380CC4-5D6E-409C-BE32-E72D297353CC}">
              <c16:uniqueId val="{00000003-EFF9-4AAF-87A4-A7EF8FAF04DB}"/>
            </c:ext>
          </c:extLst>
        </c:ser>
        <c:ser>
          <c:idx val="0"/>
          <c:order val="0"/>
          <c:tx>
            <c:strRef>
              <c:f>'1 Electricity (MMBTU)'!$A$2</c:f>
              <c:strCache>
                <c:ptCount val="1"/>
                <c:pt idx="0">
                  <c:v>The best model for the data provided is #4</c:v>
                </c:pt>
              </c:strCache>
            </c:strRef>
          </c:tx>
          <c:yVal>
            <c:numRef>
              <c:f>'1 Electricity (MMBTU)'!$B$2:$G$2</c:f>
            </c:numRef>
          </c:yVal>
          <c:smooth val="0"/>
          <c:extLst>
            <c:ext xmlns:c16="http://schemas.microsoft.com/office/drawing/2014/chart" uri="{C3380CC4-5D6E-409C-BE32-E72D297353CC}">
              <c16:uniqueId val="{00000000-EFF9-4AAF-87A4-A7EF8FAF04DB}"/>
            </c:ext>
          </c:extLst>
        </c:ser>
        <c:dLbls>
          <c:showLegendKey val="0"/>
          <c:showVal val="0"/>
          <c:showCatName val="0"/>
          <c:showSerName val="0"/>
          <c:showPercent val="0"/>
          <c:showBubbleSize val="0"/>
        </c:dLbls>
        <c:axId val="363248304"/>
        <c:axId val="363246664"/>
      </c:scatterChart>
      <c:valAx>
        <c:axId val="363248304"/>
        <c:scaling>
          <c:orientation val="minMax"/>
        </c:scaling>
        <c:delete val="0"/>
        <c:axPos val="b"/>
        <c:title>
          <c:tx>
            <c:rich>
              <a:bodyPr/>
              <a:lstStyle/>
              <a:p>
                <a:pPr>
                  <a:defRPr/>
                </a:pPr>
                <a:r>
                  <a:rPr lang="en-US"/>
                  <a:t>CDD</a:t>
                </a:r>
              </a:p>
            </c:rich>
          </c:tx>
          <c:overlay val="0"/>
        </c:title>
        <c:numFmt formatCode="###,##0" sourceLinked="0"/>
        <c:majorTickMark val="out"/>
        <c:minorTickMark val="none"/>
        <c:tickLblPos val="nextTo"/>
        <c:crossAx val="363246664"/>
        <c:crosses val="autoZero"/>
        <c:crossBetween val="midCat"/>
      </c:valAx>
      <c:valAx>
        <c:axId val="363246664"/>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36324830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43225.028504567999</c:v>
              </c:pt>
              <c:pt idx="1">
                <c:v>40331.907424188001</c:v>
              </c:pt>
              <c:pt idx="2">
                <c:v>43187.368693313998</c:v>
              </c:pt>
              <c:pt idx="3">
                <c:v>43206.828139140001</c:v>
              </c:pt>
              <c:pt idx="4">
                <c:v>44443.245089976001</c:v>
              </c:pt>
              <c:pt idx="5">
                <c:v>48203.104832628</c:v>
              </c:pt>
              <c:pt idx="6">
                <c:v>53166.041486634</c:v>
              </c:pt>
              <c:pt idx="7">
                <c:v>55001.995671864002</c:v>
              </c:pt>
              <c:pt idx="8">
                <c:v>52786.198427051997</c:v>
              </c:pt>
              <c:pt idx="9">
                <c:v>52510.418874185998</c:v>
              </c:pt>
              <c:pt idx="10">
                <c:v>46943.410249068002</c:v>
              </c:pt>
              <c:pt idx="11">
                <c:v>42919.020785724002</c:v>
              </c:pt>
            </c:numLit>
          </c:val>
          <c:smooth val="0"/>
          <c:extLst>
            <c:ext xmlns:c16="http://schemas.microsoft.com/office/drawing/2014/chart" uri="{C3380CC4-5D6E-409C-BE32-E72D297353CC}">
              <c16:uniqueId val="{00000003-A39E-4E49-AA56-CC03903DA58C}"/>
            </c:ext>
          </c:extLst>
        </c:ser>
        <c:ser>
          <c:idx val="2"/>
          <c:order val="2"/>
          <c:tx>
            <c:v>Model 3</c:v>
          </c:tx>
          <c:val>
            <c:numLit>
              <c:formatCode>General</c:formatCode>
              <c:ptCount val="12"/>
              <c:pt idx="0">
                <c:v>43733.809056134283</c:v>
              </c:pt>
              <c:pt idx="1">
                <c:v>43733.809056134283</c:v>
              </c:pt>
              <c:pt idx="2">
                <c:v>43733.809056134283</c:v>
              </c:pt>
              <c:pt idx="3">
                <c:v>44489.401613719732</c:v>
              </c:pt>
              <c:pt idx="4">
                <c:v>46561.187658712086</c:v>
              </c:pt>
              <c:pt idx="5">
                <c:v>51435.97835281174</c:v>
              </c:pt>
              <c:pt idx="6">
                <c:v>52922.789514512137</c:v>
              </c:pt>
              <c:pt idx="7">
                <c:v>53337.146723510603</c:v>
              </c:pt>
              <c:pt idx="8">
                <c:v>52776.545793689147</c:v>
              </c:pt>
              <c:pt idx="9">
                <c:v>45732.473240715139</c:v>
              </c:pt>
              <c:pt idx="10">
                <c:v>43733.809056134283</c:v>
              </c:pt>
              <c:pt idx="11">
                <c:v>43733.809056134283</c:v>
              </c:pt>
            </c:numLit>
          </c:val>
          <c:smooth val="0"/>
          <c:extLst>
            <c:ext xmlns:c16="http://schemas.microsoft.com/office/drawing/2014/chart" uri="{C3380CC4-5D6E-409C-BE32-E72D297353CC}">
              <c16:uniqueId val="{00000004-A39E-4E49-AA56-CC03903DA58C}"/>
            </c:ext>
          </c:extLst>
        </c:ser>
        <c:ser>
          <c:idx val="0"/>
          <c:order val="0"/>
          <c:tx>
            <c:strRef>
              <c:f>'3 Electricity (MMBTU)'!$A$2</c:f>
              <c:strCache>
                <c:ptCount val="1"/>
                <c:pt idx="0">
                  <c:v>The best model for the data provided is #5</c:v>
                </c:pt>
              </c:strCache>
            </c:strRef>
          </c:tx>
          <c:val>
            <c:numRef>
              <c:f>'3 Electricity (MMBTU)'!$B$2:$G$2</c:f>
            </c:numRef>
          </c:val>
          <c:smooth val="0"/>
          <c:extLst>
            <c:ext xmlns:c16="http://schemas.microsoft.com/office/drawing/2014/chart" uri="{C3380CC4-5D6E-409C-BE32-E72D297353CC}">
              <c16:uniqueId val="{00000000-A39E-4E49-AA56-CC03903DA58C}"/>
            </c:ext>
          </c:extLst>
        </c:ser>
        <c:dLbls>
          <c:showLegendKey val="0"/>
          <c:showVal val="0"/>
          <c:showCatName val="0"/>
          <c:showSerName val="0"/>
          <c:showPercent val="0"/>
          <c:showBubbleSize val="0"/>
        </c:dLbls>
        <c:marker val="1"/>
        <c:smooth val="0"/>
        <c:axId val="806163320"/>
        <c:axId val="806163648"/>
      </c:lineChart>
      <c:catAx>
        <c:axId val="806163320"/>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806163648"/>
        <c:crosses val="autoZero"/>
        <c:auto val="1"/>
        <c:lblAlgn val="ctr"/>
        <c:lblOffset val="100"/>
        <c:noMultiLvlLbl val="0"/>
      </c:catAx>
      <c:valAx>
        <c:axId val="806163648"/>
        <c:scaling>
          <c:orientation val="minMax"/>
        </c:scaling>
        <c:delete val="0"/>
        <c:axPos val="l"/>
        <c:majorGridlines/>
        <c:title>
          <c:tx>
            <c:rich>
              <a:bodyPr/>
              <a:lstStyle/>
              <a:p>
                <a:pPr>
                  <a:defRPr/>
                </a:pPr>
                <a:r>
                  <a:rPr lang="en-US"/>
                  <a:t>3 Electricity (MMBTU)</a:t>
                </a:r>
              </a:p>
            </c:rich>
          </c:tx>
          <c:overlay val="0"/>
        </c:title>
        <c:numFmt formatCode="###,##0" sourceLinked="0"/>
        <c:majorTickMark val="out"/>
        <c:minorTickMark val="none"/>
        <c:tickLblPos val="nextTo"/>
        <c:crossAx val="8061633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43225.028504567999</c:v>
              </c:pt>
              <c:pt idx="1">
                <c:v>40331.907424188001</c:v>
              </c:pt>
              <c:pt idx="2">
                <c:v>43187.368693313998</c:v>
              </c:pt>
              <c:pt idx="3">
                <c:v>43206.828139140001</c:v>
              </c:pt>
              <c:pt idx="4">
                <c:v>44443.245089976001</c:v>
              </c:pt>
              <c:pt idx="5">
                <c:v>48203.104832628</c:v>
              </c:pt>
              <c:pt idx="6">
                <c:v>53166.041486634</c:v>
              </c:pt>
              <c:pt idx="7">
                <c:v>55001.995671864002</c:v>
              </c:pt>
              <c:pt idx="8">
                <c:v>52786.198427051997</c:v>
              </c:pt>
              <c:pt idx="9">
                <c:v>52510.418874185998</c:v>
              </c:pt>
              <c:pt idx="10">
                <c:v>46943.410249068002</c:v>
              </c:pt>
              <c:pt idx="11">
                <c:v>42919.020785724002</c:v>
              </c:pt>
            </c:numLit>
          </c:val>
          <c:smooth val="0"/>
          <c:extLst>
            <c:ext xmlns:c16="http://schemas.microsoft.com/office/drawing/2014/chart" uri="{C3380CC4-5D6E-409C-BE32-E72D297353CC}">
              <c16:uniqueId val="{00000003-E7FC-48AB-825F-AB8C22986A2E}"/>
            </c:ext>
          </c:extLst>
        </c:ser>
        <c:ser>
          <c:idx val="2"/>
          <c:order val="2"/>
          <c:tx>
            <c:v>Model 1</c:v>
          </c:tx>
          <c:val>
            <c:numLit>
              <c:formatCode>General</c:formatCode>
              <c:ptCount val="12"/>
              <c:pt idx="0">
                <c:v>45799.937489042568</c:v>
              </c:pt>
              <c:pt idx="1">
                <c:v>46167.272313618676</c:v>
              </c:pt>
              <c:pt idx="2">
                <c:v>48101.162623614939</c:v>
              </c:pt>
              <c:pt idx="3">
                <c:v>45091.244161101626</c:v>
              </c:pt>
              <c:pt idx="4">
                <c:v>41713.522832188573</c:v>
              </c:pt>
              <c:pt idx="5">
                <c:v>44847.667395389391</c:v>
              </c:pt>
              <c:pt idx="6">
                <c:v>50608.404167553519</c:v>
              </c:pt>
              <c:pt idx="7">
                <c:v>50210.939150581464</c:v>
              </c:pt>
              <c:pt idx="8">
                <c:v>51499.828824135271</c:v>
              </c:pt>
              <c:pt idx="9">
                <c:v>53974.404949133263</c:v>
              </c:pt>
              <c:pt idx="10">
                <c:v>45575.004389304791</c:v>
              </c:pt>
              <c:pt idx="11">
                <c:v>42335.179882677665</c:v>
              </c:pt>
            </c:numLit>
          </c:val>
          <c:smooth val="0"/>
          <c:extLst>
            <c:ext xmlns:c16="http://schemas.microsoft.com/office/drawing/2014/chart" uri="{C3380CC4-5D6E-409C-BE32-E72D297353CC}">
              <c16:uniqueId val="{00000004-E7FC-48AB-825F-AB8C22986A2E}"/>
            </c:ext>
          </c:extLst>
        </c:ser>
        <c:ser>
          <c:idx val="0"/>
          <c:order val="0"/>
          <c:tx>
            <c:strRef>
              <c:f>'3 Electricity (MMBTU)'!$A$2</c:f>
              <c:strCache>
                <c:ptCount val="1"/>
                <c:pt idx="0">
                  <c:v>The best model for the data provided is #5</c:v>
                </c:pt>
              </c:strCache>
            </c:strRef>
          </c:tx>
          <c:val>
            <c:numRef>
              <c:f>'3 Electricity (MMBTU)'!$B$2:$G$2</c:f>
            </c:numRef>
          </c:val>
          <c:smooth val="0"/>
          <c:extLst>
            <c:ext xmlns:c16="http://schemas.microsoft.com/office/drawing/2014/chart" uri="{C3380CC4-5D6E-409C-BE32-E72D297353CC}">
              <c16:uniqueId val="{00000000-E7FC-48AB-825F-AB8C22986A2E}"/>
            </c:ext>
          </c:extLst>
        </c:ser>
        <c:dLbls>
          <c:showLegendKey val="0"/>
          <c:showVal val="0"/>
          <c:showCatName val="0"/>
          <c:showSerName val="0"/>
          <c:showPercent val="0"/>
          <c:showBubbleSize val="0"/>
        </c:dLbls>
        <c:marker val="1"/>
        <c:smooth val="0"/>
        <c:axId val="806158728"/>
        <c:axId val="806159056"/>
      </c:lineChart>
      <c:catAx>
        <c:axId val="806158728"/>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806159056"/>
        <c:crosses val="autoZero"/>
        <c:auto val="1"/>
        <c:lblAlgn val="ctr"/>
        <c:lblOffset val="100"/>
        <c:noMultiLvlLbl val="0"/>
      </c:catAx>
      <c:valAx>
        <c:axId val="806159056"/>
        <c:scaling>
          <c:orientation val="minMax"/>
        </c:scaling>
        <c:delete val="0"/>
        <c:axPos val="l"/>
        <c:majorGridlines/>
        <c:title>
          <c:tx>
            <c:rich>
              <a:bodyPr/>
              <a:lstStyle/>
              <a:p>
                <a:pPr>
                  <a:defRPr/>
                </a:pPr>
                <a:r>
                  <a:rPr lang="en-US"/>
                  <a:t>3 Electricity (MMBTU)</a:t>
                </a:r>
              </a:p>
            </c:rich>
          </c:tx>
          <c:overlay val="0"/>
        </c:title>
        <c:numFmt formatCode="###,##0" sourceLinked="0"/>
        <c:majorTickMark val="out"/>
        <c:minorTickMark val="none"/>
        <c:tickLblPos val="nextTo"/>
        <c:crossAx val="8061587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43225.028504567999</c:v>
              </c:pt>
              <c:pt idx="1">
                <c:v>40331.907424188001</c:v>
              </c:pt>
              <c:pt idx="2">
                <c:v>43187.368693313998</c:v>
              </c:pt>
              <c:pt idx="3">
                <c:v>43206.828139140001</c:v>
              </c:pt>
              <c:pt idx="4">
                <c:v>44443.245089976001</c:v>
              </c:pt>
              <c:pt idx="5">
                <c:v>48203.104832628</c:v>
              </c:pt>
              <c:pt idx="6">
                <c:v>53166.041486634</c:v>
              </c:pt>
              <c:pt idx="7">
                <c:v>55001.995671864002</c:v>
              </c:pt>
              <c:pt idx="8">
                <c:v>52786.198427051997</c:v>
              </c:pt>
              <c:pt idx="9">
                <c:v>52510.418874185998</c:v>
              </c:pt>
              <c:pt idx="10">
                <c:v>46943.410249068002</c:v>
              </c:pt>
              <c:pt idx="11">
                <c:v>42919.020785724002</c:v>
              </c:pt>
            </c:numLit>
          </c:val>
          <c:smooth val="0"/>
          <c:extLst>
            <c:ext xmlns:c16="http://schemas.microsoft.com/office/drawing/2014/chart" uri="{C3380CC4-5D6E-409C-BE32-E72D297353CC}">
              <c16:uniqueId val="{00000003-ADE6-4C0F-B593-78223D7A1262}"/>
            </c:ext>
          </c:extLst>
        </c:ser>
        <c:ser>
          <c:idx val="2"/>
          <c:order val="2"/>
          <c:tx>
            <c:v>Model 2</c:v>
          </c:tx>
          <c:val>
            <c:numLit>
              <c:formatCode>General</c:formatCode>
              <c:ptCount val="12"/>
              <c:pt idx="0">
                <c:v>40835.045918073185</c:v>
              </c:pt>
              <c:pt idx="1">
                <c:v>42532.929225825064</c:v>
              </c:pt>
              <c:pt idx="2">
                <c:v>46089.850867149347</c:v>
              </c:pt>
              <c:pt idx="3">
                <c:v>48840.997379371038</c:v>
              </c:pt>
              <c:pt idx="4">
                <c:v>49439.573189561532</c:v>
              </c:pt>
              <c:pt idx="5">
                <c:v>50648.235883215413</c:v>
              </c:pt>
              <c:pt idx="6">
                <c:v>50723.057859489221</c:v>
              </c:pt>
              <c:pt idx="7">
                <c:v>50705.791249579881</c:v>
              </c:pt>
              <c:pt idx="8">
                <c:v>49807.92753429414</c:v>
              </c:pt>
              <c:pt idx="9">
                <c:v>48570.487157458025</c:v>
              </c:pt>
              <c:pt idx="10">
                <c:v>45635.16347287003</c:v>
              </c:pt>
              <c:pt idx="11">
                <c:v>42095.508441455095</c:v>
              </c:pt>
            </c:numLit>
          </c:val>
          <c:smooth val="0"/>
          <c:extLst>
            <c:ext xmlns:c16="http://schemas.microsoft.com/office/drawing/2014/chart" uri="{C3380CC4-5D6E-409C-BE32-E72D297353CC}">
              <c16:uniqueId val="{00000004-ADE6-4C0F-B593-78223D7A1262}"/>
            </c:ext>
          </c:extLst>
        </c:ser>
        <c:ser>
          <c:idx val="0"/>
          <c:order val="0"/>
          <c:tx>
            <c:strRef>
              <c:f>'3 Electricity (MMBTU)'!$A$2</c:f>
              <c:strCache>
                <c:ptCount val="1"/>
                <c:pt idx="0">
                  <c:v>The best model for the data provided is #5</c:v>
                </c:pt>
              </c:strCache>
            </c:strRef>
          </c:tx>
          <c:val>
            <c:numRef>
              <c:f>'3 Electricity (MMBTU)'!$B$2:$G$2</c:f>
            </c:numRef>
          </c:val>
          <c:smooth val="0"/>
          <c:extLst>
            <c:ext xmlns:c16="http://schemas.microsoft.com/office/drawing/2014/chart" uri="{C3380CC4-5D6E-409C-BE32-E72D297353CC}">
              <c16:uniqueId val="{00000000-ADE6-4C0F-B593-78223D7A1262}"/>
            </c:ext>
          </c:extLst>
        </c:ser>
        <c:dLbls>
          <c:showLegendKey val="0"/>
          <c:showVal val="0"/>
          <c:showCatName val="0"/>
          <c:showSerName val="0"/>
          <c:showPercent val="0"/>
          <c:showBubbleSize val="0"/>
        </c:dLbls>
        <c:marker val="1"/>
        <c:smooth val="0"/>
        <c:axId val="806168240"/>
        <c:axId val="806168568"/>
      </c:lineChart>
      <c:catAx>
        <c:axId val="806168240"/>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806168568"/>
        <c:crosses val="autoZero"/>
        <c:auto val="1"/>
        <c:lblAlgn val="ctr"/>
        <c:lblOffset val="100"/>
        <c:noMultiLvlLbl val="0"/>
      </c:catAx>
      <c:valAx>
        <c:axId val="806168568"/>
        <c:scaling>
          <c:orientation val="minMax"/>
        </c:scaling>
        <c:delete val="0"/>
        <c:axPos val="l"/>
        <c:majorGridlines/>
        <c:title>
          <c:tx>
            <c:rich>
              <a:bodyPr/>
              <a:lstStyle/>
              <a:p>
                <a:pPr>
                  <a:defRPr/>
                </a:pPr>
                <a:r>
                  <a:rPr lang="en-US"/>
                  <a:t>3 Electricity (MMBTU)</a:t>
                </a:r>
              </a:p>
            </c:rich>
          </c:tx>
          <c:overlay val="0"/>
        </c:title>
        <c:numFmt formatCode="###,##0" sourceLinked="0"/>
        <c:majorTickMark val="out"/>
        <c:minorTickMark val="none"/>
        <c:tickLblPos val="nextTo"/>
        <c:crossAx val="80616824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211655.4</c:v>
              </c:pt>
              <c:pt idx="1">
                <c:v>213539</c:v>
              </c:pt>
              <c:pt idx="2">
                <c:v>223455.5</c:v>
              </c:pt>
              <c:pt idx="3">
                <c:v>208021.4</c:v>
              </c:pt>
              <c:pt idx="4">
                <c:v>190701.3</c:v>
              </c:pt>
              <c:pt idx="5">
                <c:v>206772.4</c:v>
              </c:pt>
              <c:pt idx="6">
                <c:v>236312</c:v>
              </c:pt>
              <c:pt idx="7">
                <c:v>234273.9</c:v>
              </c:pt>
              <c:pt idx="8">
                <c:v>240883</c:v>
              </c:pt>
              <c:pt idx="9">
                <c:v>253572</c:v>
              </c:pt>
              <c:pt idx="10">
                <c:v>210502</c:v>
              </c:pt>
              <c:pt idx="11">
                <c:v>193889</c:v>
              </c:pt>
            </c:numLit>
          </c:xVal>
          <c:yVal>
            <c:numLit>
              <c:formatCode>General</c:formatCode>
              <c:ptCount val="12"/>
              <c:pt idx="0">
                <c:v>23483</c:v>
              </c:pt>
              <c:pt idx="1">
                <c:v>21252</c:v>
              </c:pt>
              <c:pt idx="2">
                <c:v>16550</c:v>
              </c:pt>
              <c:pt idx="3">
                <c:v>12611</c:v>
              </c:pt>
              <c:pt idx="4">
                <c:v>11281</c:v>
              </c:pt>
              <c:pt idx="5">
                <c:v>10559</c:v>
              </c:pt>
              <c:pt idx="6">
                <c:v>11291</c:v>
              </c:pt>
              <c:pt idx="7">
                <c:v>11373</c:v>
              </c:pt>
              <c:pt idx="8">
                <c:v>11857</c:v>
              </c:pt>
              <c:pt idx="9">
                <c:v>15381</c:v>
              </c:pt>
              <c:pt idx="10">
                <c:v>17690</c:v>
              </c:pt>
              <c:pt idx="11">
                <c:v>19057</c:v>
              </c:pt>
            </c:numLit>
          </c:yVal>
          <c:smooth val="0"/>
          <c:extLst>
            <c:ext xmlns:c16="http://schemas.microsoft.com/office/drawing/2014/chart" uri="{C3380CC4-5D6E-409C-BE32-E72D297353CC}">
              <c16:uniqueId val="{00000003-6C28-4140-9448-0D5F5BDD306F}"/>
            </c:ext>
          </c:extLst>
        </c:ser>
        <c:ser>
          <c:idx val="0"/>
          <c:order val="0"/>
          <c:tx>
            <c:strRef>
              <c:f>'3 Natural Gas (MMBTU)'!$A$2</c:f>
              <c:strCache>
                <c:ptCount val="1"/>
                <c:pt idx="0">
                  <c:v>The best model for the data provided is #4</c:v>
                </c:pt>
              </c:strCache>
            </c:strRef>
          </c:tx>
          <c:yVal>
            <c:numRef>
              <c:f>'3 Natural Gas (MMBTU)'!$B$2:$G$2</c:f>
            </c:numRef>
          </c:yVal>
          <c:smooth val="0"/>
          <c:extLst>
            <c:ext xmlns:c16="http://schemas.microsoft.com/office/drawing/2014/chart" uri="{C3380CC4-5D6E-409C-BE32-E72D297353CC}">
              <c16:uniqueId val="{00000000-6C28-4140-9448-0D5F5BDD306F}"/>
            </c:ext>
          </c:extLst>
        </c:ser>
        <c:dLbls>
          <c:showLegendKey val="0"/>
          <c:showVal val="0"/>
          <c:showCatName val="0"/>
          <c:showSerName val="0"/>
          <c:showPercent val="0"/>
          <c:showBubbleSize val="0"/>
        </c:dLbls>
        <c:axId val="786081784"/>
        <c:axId val="786071616"/>
      </c:scatterChart>
      <c:valAx>
        <c:axId val="786081784"/>
        <c:scaling>
          <c:orientation val="minMax"/>
        </c:scaling>
        <c:delete val="0"/>
        <c:axPos val="b"/>
        <c:title>
          <c:tx>
            <c:rich>
              <a:bodyPr/>
              <a:lstStyle/>
              <a:p>
                <a:pPr>
                  <a:defRPr/>
                </a:pPr>
                <a:r>
                  <a:rPr lang="en-US"/>
                  <a:t>Production</a:t>
                </a:r>
              </a:p>
            </c:rich>
          </c:tx>
          <c:overlay val="0"/>
        </c:title>
        <c:numFmt formatCode="###,##0" sourceLinked="0"/>
        <c:majorTickMark val="out"/>
        <c:minorTickMark val="none"/>
        <c:tickLblPos val="nextTo"/>
        <c:crossAx val="786071616"/>
        <c:crosses val="autoZero"/>
        <c:crossBetween val="midCat"/>
      </c:valAx>
      <c:valAx>
        <c:axId val="786071616"/>
        <c:scaling>
          <c:orientation val="minMax"/>
        </c:scaling>
        <c:delete val="0"/>
        <c:axPos val="l"/>
        <c:majorGridlines/>
        <c:title>
          <c:tx>
            <c:rich>
              <a:bodyPr/>
              <a:lstStyle/>
              <a:p>
                <a:pPr>
                  <a:defRPr/>
                </a:pPr>
                <a:r>
                  <a:rPr lang="en-US"/>
                  <a:t>3 Natural Gas (MMBTU)</a:t>
                </a:r>
              </a:p>
            </c:rich>
          </c:tx>
          <c:overlay val="0"/>
        </c:title>
        <c:numFmt formatCode="###,##0" sourceLinked="0"/>
        <c:majorTickMark val="out"/>
        <c:minorTickMark val="none"/>
        <c:tickLblPos val="nextTo"/>
        <c:crossAx val="78608178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1718</c:v>
              </c:pt>
              <c:pt idx="1">
                <c:v>1423</c:v>
              </c:pt>
              <c:pt idx="2">
                <c:v>805</c:v>
              </c:pt>
              <c:pt idx="3">
                <c:v>327</c:v>
              </c:pt>
              <c:pt idx="4">
                <c:v>223</c:v>
              </c:pt>
              <c:pt idx="5">
                <c:v>13</c:v>
              </c:pt>
              <c:pt idx="6">
                <c:v>0</c:v>
              </c:pt>
              <c:pt idx="7">
                <c:v>3</c:v>
              </c:pt>
              <c:pt idx="8">
                <c:v>159</c:v>
              </c:pt>
              <c:pt idx="9">
                <c:v>374</c:v>
              </c:pt>
              <c:pt idx="10">
                <c:v>884</c:v>
              </c:pt>
              <c:pt idx="11">
                <c:v>1499</c:v>
              </c:pt>
            </c:numLit>
          </c:xVal>
          <c:yVal>
            <c:numLit>
              <c:formatCode>General</c:formatCode>
              <c:ptCount val="12"/>
              <c:pt idx="0">
                <c:v>23483</c:v>
              </c:pt>
              <c:pt idx="1">
                <c:v>21252</c:v>
              </c:pt>
              <c:pt idx="2">
                <c:v>16550</c:v>
              </c:pt>
              <c:pt idx="3">
                <c:v>12611</c:v>
              </c:pt>
              <c:pt idx="4">
                <c:v>11281</c:v>
              </c:pt>
              <c:pt idx="5">
                <c:v>10559</c:v>
              </c:pt>
              <c:pt idx="6">
                <c:v>11291</c:v>
              </c:pt>
              <c:pt idx="7">
                <c:v>11373</c:v>
              </c:pt>
              <c:pt idx="8">
                <c:v>11857</c:v>
              </c:pt>
              <c:pt idx="9">
                <c:v>15381</c:v>
              </c:pt>
              <c:pt idx="10">
                <c:v>17690</c:v>
              </c:pt>
              <c:pt idx="11">
                <c:v>19057</c:v>
              </c:pt>
            </c:numLit>
          </c:yVal>
          <c:smooth val="0"/>
          <c:extLst>
            <c:ext xmlns:c16="http://schemas.microsoft.com/office/drawing/2014/chart" uri="{C3380CC4-5D6E-409C-BE32-E72D297353CC}">
              <c16:uniqueId val="{00000003-A349-4E3D-856A-0A234387773F}"/>
            </c:ext>
          </c:extLst>
        </c:ser>
        <c:ser>
          <c:idx val="0"/>
          <c:order val="0"/>
          <c:tx>
            <c:strRef>
              <c:f>'3 Natural Gas (MMBTU)'!$A$2</c:f>
              <c:strCache>
                <c:ptCount val="1"/>
                <c:pt idx="0">
                  <c:v>The best model for the data provided is #4</c:v>
                </c:pt>
              </c:strCache>
            </c:strRef>
          </c:tx>
          <c:yVal>
            <c:numRef>
              <c:f>'3 Natural Gas (MMBTU)'!$B$2:$G$2</c:f>
            </c:numRef>
          </c:yVal>
          <c:smooth val="0"/>
          <c:extLst>
            <c:ext xmlns:c16="http://schemas.microsoft.com/office/drawing/2014/chart" uri="{C3380CC4-5D6E-409C-BE32-E72D297353CC}">
              <c16:uniqueId val="{00000000-A349-4E3D-856A-0A234387773F}"/>
            </c:ext>
          </c:extLst>
        </c:ser>
        <c:dLbls>
          <c:showLegendKey val="0"/>
          <c:showVal val="0"/>
          <c:showCatName val="0"/>
          <c:showSerName val="0"/>
          <c:showPercent val="0"/>
          <c:showBubbleSize val="0"/>
        </c:dLbls>
        <c:axId val="786076208"/>
        <c:axId val="786082112"/>
      </c:scatterChart>
      <c:valAx>
        <c:axId val="786076208"/>
        <c:scaling>
          <c:orientation val="minMax"/>
        </c:scaling>
        <c:delete val="0"/>
        <c:axPos val="b"/>
        <c:title>
          <c:tx>
            <c:rich>
              <a:bodyPr/>
              <a:lstStyle/>
              <a:p>
                <a:pPr>
                  <a:defRPr/>
                </a:pPr>
                <a:r>
                  <a:rPr lang="en-US"/>
                  <a:t>HDD</a:t>
                </a:r>
              </a:p>
            </c:rich>
          </c:tx>
          <c:overlay val="0"/>
        </c:title>
        <c:numFmt formatCode="###,##0" sourceLinked="0"/>
        <c:majorTickMark val="out"/>
        <c:minorTickMark val="none"/>
        <c:tickLblPos val="nextTo"/>
        <c:crossAx val="786082112"/>
        <c:crosses val="autoZero"/>
        <c:crossBetween val="midCat"/>
      </c:valAx>
      <c:valAx>
        <c:axId val="786082112"/>
        <c:scaling>
          <c:orientation val="minMax"/>
        </c:scaling>
        <c:delete val="0"/>
        <c:axPos val="l"/>
        <c:majorGridlines/>
        <c:title>
          <c:tx>
            <c:rich>
              <a:bodyPr/>
              <a:lstStyle/>
              <a:p>
                <a:pPr>
                  <a:defRPr/>
                </a:pPr>
                <a:r>
                  <a:rPr lang="en-US"/>
                  <a:t>3 Natural Gas (MMBTU)</a:t>
                </a:r>
              </a:p>
            </c:rich>
          </c:tx>
          <c:overlay val="0"/>
        </c:title>
        <c:numFmt formatCode="###,##0" sourceLinked="0"/>
        <c:majorTickMark val="out"/>
        <c:minorTickMark val="none"/>
        <c:tickLblPos val="nextTo"/>
        <c:crossAx val="786076208"/>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0</c:v>
              </c:pt>
              <c:pt idx="1">
                <c:v>0</c:v>
              </c:pt>
              <c:pt idx="2">
                <c:v>0</c:v>
              </c:pt>
              <c:pt idx="3">
                <c:v>31</c:v>
              </c:pt>
              <c:pt idx="4">
                <c:v>116</c:v>
              </c:pt>
              <c:pt idx="5">
                <c:v>316</c:v>
              </c:pt>
              <c:pt idx="6">
                <c:v>377</c:v>
              </c:pt>
              <c:pt idx="7">
                <c:v>394</c:v>
              </c:pt>
              <c:pt idx="8">
                <c:v>371</c:v>
              </c:pt>
              <c:pt idx="9">
                <c:v>82</c:v>
              </c:pt>
              <c:pt idx="10">
                <c:v>0</c:v>
              </c:pt>
              <c:pt idx="11">
                <c:v>0</c:v>
              </c:pt>
            </c:numLit>
          </c:xVal>
          <c:yVal>
            <c:numLit>
              <c:formatCode>General</c:formatCode>
              <c:ptCount val="12"/>
              <c:pt idx="0">
                <c:v>23483</c:v>
              </c:pt>
              <c:pt idx="1">
                <c:v>21252</c:v>
              </c:pt>
              <c:pt idx="2">
                <c:v>16550</c:v>
              </c:pt>
              <c:pt idx="3">
                <c:v>12611</c:v>
              </c:pt>
              <c:pt idx="4">
                <c:v>11281</c:v>
              </c:pt>
              <c:pt idx="5">
                <c:v>10559</c:v>
              </c:pt>
              <c:pt idx="6">
                <c:v>11291</c:v>
              </c:pt>
              <c:pt idx="7">
                <c:v>11373</c:v>
              </c:pt>
              <c:pt idx="8">
                <c:v>11857</c:v>
              </c:pt>
              <c:pt idx="9">
                <c:v>15381</c:v>
              </c:pt>
              <c:pt idx="10">
                <c:v>17690</c:v>
              </c:pt>
              <c:pt idx="11">
                <c:v>19057</c:v>
              </c:pt>
            </c:numLit>
          </c:yVal>
          <c:smooth val="0"/>
          <c:extLst>
            <c:ext xmlns:c16="http://schemas.microsoft.com/office/drawing/2014/chart" uri="{C3380CC4-5D6E-409C-BE32-E72D297353CC}">
              <c16:uniqueId val="{00000003-1DBF-4F58-ABB8-9EB853E44710}"/>
            </c:ext>
          </c:extLst>
        </c:ser>
        <c:ser>
          <c:idx val="0"/>
          <c:order val="0"/>
          <c:tx>
            <c:strRef>
              <c:f>'3 Natural Gas (MMBTU)'!$A$2</c:f>
              <c:strCache>
                <c:ptCount val="1"/>
                <c:pt idx="0">
                  <c:v>The best model for the data provided is #4</c:v>
                </c:pt>
              </c:strCache>
            </c:strRef>
          </c:tx>
          <c:yVal>
            <c:numRef>
              <c:f>'3 Natural Gas (MMBTU)'!$B$2:$G$2</c:f>
            </c:numRef>
          </c:yVal>
          <c:smooth val="0"/>
          <c:extLst>
            <c:ext xmlns:c16="http://schemas.microsoft.com/office/drawing/2014/chart" uri="{C3380CC4-5D6E-409C-BE32-E72D297353CC}">
              <c16:uniqueId val="{00000000-1DBF-4F58-ABB8-9EB853E44710}"/>
            </c:ext>
          </c:extLst>
        </c:ser>
        <c:dLbls>
          <c:showLegendKey val="0"/>
          <c:showVal val="0"/>
          <c:showCatName val="0"/>
          <c:showSerName val="0"/>
          <c:showPercent val="0"/>
          <c:showBubbleSize val="0"/>
        </c:dLbls>
        <c:axId val="782384936"/>
        <c:axId val="782385264"/>
      </c:scatterChart>
      <c:valAx>
        <c:axId val="782384936"/>
        <c:scaling>
          <c:orientation val="minMax"/>
        </c:scaling>
        <c:delete val="0"/>
        <c:axPos val="b"/>
        <c:title>
          <c:tx>
            <c:rich>
              <a:bodyPr/>
              <a:lstStyle/>
              <a:p>
                <a:pPr>
                  <a:defRPr/>
                </a:pPr>
                <a:r>
                  <a:rPr lang="en-US"/>
                  <a:t>CDD</a:t>
                </a:r>
              </a:p>
            </c:rich>
          </c:tx>
          <c:overlay val="0"/>
        </c:title>
        <c:numFmt formatCode="###,##0" sourceLinked="0"/>
        <c:majorTickMark val="out"/>
        <c:minorTickMark val="none"/>
        <c:tickLblPos val="nextTo"/>
        <c:crossAx val="782385264"/>
        <c:crosses val="autoZero"/>
        <c:crossBetween val="midCat"/>
      </c:valAx>
      <c:valAx>
        <c:axId val="782385264"/>
        <c:scaling>
          <c:orientation val="minMax"/>
        </c:scaling>
        <c:delete val="0"/>
        <c:axPos val="l"/>
        <c:majorGridlines/>
        <c:title>
          <c:tx>
            <c:rich>
              <a:bodyPr/>
              <a:lstStyle/>
              <a:p>
                <a:pPr>
                  <a:defRPr/>
                </a:pPr>
                <a:r>
                  <a:rPr lang="en-US"/>
                  <a:t>3 Natural Gas (MMBTU)</a:t>
                </a:r>
              </a:p>
            </c:rich>
          </c:tx>
          <c:overlay val="0"/>
        </c:title>
        <c:numFmt formatCode="###,##0" sourceLinked="0"/>
        <c:majorTickMark val="out"/>
        <c:minorTickMark val="none"/>
        <c:tickLblPos val="nextTo"/>
        <c:crossAx val="782384936"/>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23483</c:v>
              </c:pt>
              <c:pt idx="1">
                <c:v>21252</c:v>
              </c:pt>
              <c:pt idx="2">
                <c:v>16550</c:v>
              </c:pt>
              <c:pt idx="3">
                <c:v>12611</c:v>
              </c:pt>
              <c:pt idx="4">
                <c:v>11281</c:v>
              </c:pt>
              <c:pt idx="5">
                <c:v>10559</c:v>
              </c:pt>
              <c:pt idx="6">
                <c:v>11291</c:v>
              </c:pt>
              <c:pt idx="7">
                <c:v>11373</c:v>
              </c:pt>
              <c:pt idx="8">
                <c:v>11857</c:v>
              </c:pt>
              <c:pt idx="9">
                <c:v>15381</c:v>
              </c:pt>
              <c:pt idx="10">
                <c:v>17690</c:v>
              </c:pt>
              <c:pt idx="11">
                <c:v>19057</c:v>
              </c:pt>
            </c:numLit>
          </c:val>
          <c:smooth val="0"/>
          <c:extLst>
            <c:ext xmlns:c16="http://schemas.microsoft.com/office/drawing/2014/chart" uri="{C3380CC4-5D6E-409C-BE32-E72D297353CC}">
              <c16:uniqueId val="{00000003-D86E-448E-B603-078F2903F4EB}"/>
            </c:ext>
          </c:extLst>
        </c:ser>
        <c:ser>
          <c:idx val="2"/>
          <c:order val="2"/>
          <c:tx>
            <c:v>Model 4</c:v>
          </c:tx>
          <c:val>
            <c:numLit>
              <c:formatCode>General</c:formatCode>
              <c:ptCount val="12"/>
              <c:pt idx="0">
                <c:v>22930.303518760182</c:v>
              </c:pt>
              <c:pt idx="1">
                <c:v>20855.45282760659</c:v>
              </c:pt>
              <c:pt idx="2">
                <c:v>16777.711347487431</c:v>
              </c:pt>
              <c:pt idx="3">
                <c:v>12583.18611988942</c:v>
              </c:pt>
              <c:pt idx="4">
                <c:v>11041.759173450801</c:v>
              </c:pt>
              <c:pt idx="5">
                <c:v>10228.1539641052</c:v>
              </c:pt>
              <c:pt idx="6">
                <c:v>11463.359843457189</c:v>
              </c:pt>
              <c:pt idx="7">
                <c:v>11393.532575292049</c:v>
              </c:pt>
              <c:pt idx="8">
                <c:v>12833.256807697333</c:v>
              </c:pt>
              <c:pt idx="9">
                <c:v>14978.738709362327</c:v>
              </c:pt>
              <c:pt idx="10">
                <c:v>16772.678770299004</c:v>
              </c:pt>
              <c:pt idx="11">
                <c:v>20526.866342592482</c:v>
              </c:pt>
            </c:numLit>
          </c:val>
          <c:smooth val="0"/>
          <c:extLst>
            <c:ext xmlns:c16="http://schemas.microsoft.com/office/drawing/2014/chart" uri="{C3380CC4-5D6E-409C-BE32-E72D297353CC}">
              <c16:uniqueId val="{00000004-D86E-448E-B603-078F2903F4EB}"/>
            </c:ext>
          </c:extLst>
        </c:ser>
        <c:ser>
          <c:idx val="0"/>
          <c:order val="0"/>
          <c:tx>
            <c:strRef>
              <c:f>'3 Natural Gas (MMBTU)'!$A$2</c:f>
              <c:strCache>
                <c:ptCount val="1"/>
                <c:pt idx="0">
                  <c:v>The best model for the data provided is #4</c:v>
                </c:pt>
              </c:strCache>
            </c:strRef>
          </c:tx>
          <c:val>
            <c:numRef>
              <c:f>'3 Natural Gas (MMBTU)'!$B$2:$G$2</c:f>
            </c:numRef>
          </c:val>
          <c:smooth val="0"/>
          <c:extLst>
            <c:ext xmlns:c16="http://schemas.microsoft.com/office/drawing/2014/chart" uri="{C3380CC4-5D6E-409C-BE32-E72D297353CC}">
              <c16:uniqueId val="{00000000-D86E-448E-B603-078F2903F4EB}"/>
            </c:ext>
          </c:extLst>
        </c:ser>
        <c:dLbls>
          <c:showLegendKey val="0"/>
          <c:showVal val="0"/>
          <c:showCatName val="0"/>
          <c:showSerName val="0"/>
          <c:showPercent val="0"/>
          <c:showBubbleSize val="0"/>
        </c:dLbls>
        <c:marker val="1"/>
        <c:smooth val="0"/>
        <c:axId val="782377720"/>
        <c:axId val="782378376"/>
      </c:lineChart>
      <c:catAx>
        <c:axId val="782377720"/>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782378376"/>
        <c:crosses val="autoZero"/>
        <c:auto val="1"/>
        <c:lblAlgn val="ctr"/>
        <c:lblOffset val="100"/>
        <c:noMultiLvlLbl val="0"/>
      </c:catAx>
      <c:valAx>
        <c:axId val="782378376"/>
        <c:scaling>
          <c:orientation val="minMax"/>
        </c:scaling>
        <c:delete val="0"/>
        <c:axPos val="l"/>
        <c:majorGridlines/>
        <c:title>
          <c:tx>
            <c:rich>
              <a:bodyPr/>
              <a:lstStyle/>
              <a:p>
                <a:pPr>
                  <a:defRPr/>
                </a:pPr>
                <a:r>
                  <a:rPr lang="en-US"/>
                  <a:t>3 Natural Gas (MMBTU)</a:t>
                </a:r>
              </a:p>
            </c:rich>
          </c:tx>
          <c:overlay val="0"/>
        </c:title>
        <c:numFmt formatCode="###,##0" sourceLinked="0"/>
        <c:majorTickMark val="out"/>
        <c:minorTickMark val="none"/>
        <c:tickLblPos val="nextTo"/>
        <c:crossAx val="78237772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23483</c:v>
              </c:pt>
              <c:pt idx="1">
                <c:v>21252</c:v>
              </c:pt>
              <c:pt idx="2">
                <c:v>16550</c:v>
              </c:pt>
              <c:pt idx="3">
                <c:v>12611</c:v>
              </c:pt>
              <c:pt idx="4">
                <c:v>11281</c:v>
              </c:pt>
              <c:pt idx="5">
                <c:v>10559</c:v>
              </c:pt>
              <c:pt idx="6">
                <c:v>11291</c:v>
              </c:pt>
              <c:pt idx="7">
                <c:v>11373</c:v>
              </c:pt>
              <c:pt idx="8">
                <c:v>11857</c:v>
              </c:pt>
              <c:pt idx="9">
                <c:v>15381</c:v>
              </c:pt>
              <c:pt idx="10">
                <c:v>17690</c:v>
              </c:pt>
              <c:pt idx="11">
                <c:v>19057</c:v>
              </c:pt>
            </c:numLit>
          </c:val>
          <c:smooth val="0"/>
          <c:extLst>
            <c:ext xmlns:c16="http://schemas.microsoft.com/office/drawing/2014/chart" uri="{C3380CC4-5D6E-409C-BE32-E72D297353CC}">
              <c16:uniqueId val="{00000003-9164-403F-A451-9DFE9E975D35}"/>
            </c:ext>
          </c:extLst>
        </c:ser>
        <c:ser>
          <c:idx val="2"/>
          <c:order val="2"/>
          <c:tx>
            <c:v>Model 2</c:v>
          </c:tx>
          <c:val>
            <c:numLit>
              <c:formatCode>General</c:formatCode>
              <c:ptCount val="12"/>
              <c:pt idx="0">
                <c:v>22647.157370945737</c:v>
              </c:pt>
              <c:pt idx="1">
                <c:v>20647.812353266949</c:v>
              </c:pt>
              <c:pt idx="2">
                <c:v>16459.353977248324</c:v>
              </c:pt>
              <c:pt idx="3">
                <c:v>13219.737304534892</c:v>
              </c:pt>
              <c:pt idx="4">
                <c:v>12514.883467793894</c:v>
              </c:pt>
              <c:pt idx="5">
                <c:v>11091.62091283611</c:v>
              </c:pt>
              <c:pt idx="6">
                <c:v>11003.514183243486</c:v>
              </c:pt>
              <c:pt idx="7">
                <c:v>11023.846505457168</c:v>
              </c:pt>
              <c:pt idx="8">
                <c:v>12081.127260568664</c:v>
              </c:pt>
              <c:pt idx="9">
                <c:v>13538.277019215921</c:v>
              </c:pt>
              <c:pt idx="10">
                <c:v>16994.771795541968</c:v>
              </c:pt>
              <c:pt idx="11">
                <c:v>21162.897849346904</c:v>
              </c:pt>
            </c:numLit>
          </c:val>
          <c:smooth val="0"/>
          <c:extLst>
            <c:ext xmlns:c16="http://schemas.microsoft.com/office/drawing/2014/chart" uri="{C3380CC4-5D6E-409C-BE32-E72D297353CC}">
              <c16:uniqueId val="{00000004-9164-403F-A451-9DFE9E975D35}"/>
            </c:ext>
          </c:extLst>
        </c:ser>
        <c:ser>
          <c:idx val="0"/>
          <c:order val="0"/>
          <c:tx>
            <c:strRef>
              <c:f>'3 Natural Gas (MMBTU)'!$A$2</c:f>
              <c:strCache>
                <c:ptCount val="1"/>
                <c:pt idx="0">
                  <c:v>The best model for the data provided is #4</c:v>
                </c:pt>
              </c:strCache>
            </c:strRef>
          </c:tx>
          <c:val>
            <c:numRef>
              <c:f>'3 Natural Gas (MMBTU)'!$B$2:$G$2</c:f>
            </c:numRef>
          </c:val>
          <c:smooth val="0"/>
          <c:extLst>
            <c:ext xmlns:c16="http://schemas.microsoft.com/office/drawing/2014/chart" uri="{C3380CC4-5D6E-409C-BE32-E72D297353CC}">
              <c16:uniqueId val="{00000000-9164-403F-A451-9DFE9E975D35}"/>
            </c:ext>
          </c:extLst>
        </c:ser>
        <c:dLbls>
          <c:showLegendKey val="0"/>
          <c:showVal val="0"/>
          <c:showCatName val="0"/>
          <c:showSerName val="0"/>
          <c:showPercent val="0"/>
          <c:showBubbleSize val="0"/>
        </c:dLbls>
        <c:marker val="1"/>
        <c:smooth val="0"/>
        <c:axId val="782380344"/>
        <c:axId val="782376408"/>
      </c:lineChart>
      <c:catAx>
        <c:axId val="782380344"/>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782376408"/>
        <c:crosses val="autoZero"/>
        <c:auto val="1"/>
        <c:lblAlgn val="ctr"/>
        <c:lblOffset val="100"/>
        <c:noMultiLvlLbl val="0"/>
      </c:catAx>
      <c:valAx>
        <c:axId val="782376408"/>
        <c:scaling>
          <c:orientation val="minMax"/>
        </c:scaling>
        <c:delete val="0"/>
        <c:axPos val="l"/>
        <c:majorGridlines/>
        <c:title>
          <c:tx>
            <c:rich>
              <a:bodyPr/>
              <a:lstStyle/>
              <a:p>
                <a:pPr>
                  <a:defRPr/>
                </a:pPr>
                <a:r>
                  <a:rPr lang="en-US"/>
                  <a:t>3 Natural Gas (MMBTU)</a:t>
                </a:r>
              </a:p>
            </c:rich>
          </c:tx>
          <c:overlay val="0"/>
        </c:title>
        <c:numFmt formatCode="###,##0" sourceLinked="0"/>
        <c:majorTickMark val="out"/>
        <c:minorTickMark val="none"/>
        <c:tickLblPos val="nextTo"/>
        <c:crossAx val="7823803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23483</c:v>
              </c:pt>
              <c:pt idx="1">
                <c:v>21252</c:v>
              </c:pt>
              <c:pt idx="2">
                <c:v>16550</c:v>
              </c:pt>
              <c:pt idx="3">
                <c:v>12611</c:v>
              </c:pt>
              <c:pt idx="4">
                <c:v>11281</c:v>
              </c:pt>
              <c:pt idx="5">
                <c:v>10559</c:v>
              </c:pt>
              <c:pt idx="6">
                <c:v>11291</c:v>
              </c:pt>
              <c:pt idx="7">
                <c:v>11373</c:v>
              </c:pt>
              <c:pt idx="8">
                <c:v>11857</c:v>
              </c:pt>
              <c:pt idx="9">
                <c:v>15381</c:v>
              </c:pt>
              <c:pt idx="10">
                <c:v>17690</c:v>
              </c:pt>
              <c:pt idx="11">
                <c:v>19057</c:v>
              </c:pt>
            </c:numLit>
          </c:val>
          <c:smooth val="0"/>
          <c:extLst>
            <c:ext xmlns:c16="http://schemas.microsoft.com/office/drawing/2014/chart" uri="{C3380CC4-5D6E-409C-BE32-E72D297353CC}">
              <c16:uniqueId val="{00000003-0028-413F-A86E-2C0A616D767E}"/>
            </c:ext>
          </c:extLst>
        </c:ser>
        <c:ser>
          <c:idx val="2"/>
          <c:order val="2"/>
          <c:tx>
            <c:v>Model 3</c:v>
          </c:tx>
          <c:val>
            <c:numLit>
              <c:formatCode>General</c:formatCode>
              <c:ptCount val="12"/>
              <c:pt idx="0">
                <c:v>17935.227836313374</c:v>
              </c:pt>
              <c:pt idx="1">
                <c:v>17935.227836313374</c:v>
              </c:pt>
              <c:pt idx="2">
                <c:v>17935.227836313374</c:v>
              </c:pt>
              <c:pt idx="3">
                <c:v>17331.807708803844</c:v>
              </c:pt>
              <c:pt idx="4">
                <c:v>15677.268649503525</c:v>
              </c:pt>
              <c:pt idx="5">
                <c:v>11784.235568796888</c:v>
              </c:pt>
              <c:pt idx="6">
                <c:v>10596.860479181363</c:v>
              </c:pt>
              <c:pt idx="7">
                <c:v>10265.9526673213</c:v>
              </c:pt>
              <c:pt idx="8">
                <c:v>10713.651471602563</c:v>
              </c:pt>
              <c:pt idx="9">
                <c:v>16339.084273223652</c:v>
              </c:pt>
              <c:pt idx="10">
                <c:v>17935.227836313374</c:v>
              </c:pt>
              <c:pt idx="11">
                <c:v>17935.227836313374</c:v>
              </c:pt>
            </c:numLit>
          </c:val>
          <c:smooth val="0"/>
          <c:extLst>
            <c:ext xmlns:c16="http://schemas.microsoft.com/office/drawing/2014/chart" uri="{C3380CC4-5D6E-409C-BE32-E72D297353CC}">
              <c16:uniqueId val="{00000004-0028-413F-A86E-2C0A616D767E}"/>
            </c:ext>
          </c:extLst>
        </c:ser>
        <c:ser>
          <c:idx val="0"/>
          <c:order val="0"/>
          <c:tx>
            <c:strRef>
              <c:f>'3 Natural Gas (MMBTU)'!$A$2</c:f>
              <c:strCache>
                <c:ptCount val="1"/>
                <c:pt idx="0">
                  <c:v>The best model for the data provided is #4</c:v>
                </c:pt>
              </c:strCache>
            </c:strRef>
          </c:tx>
          <c:val>
            <c:numRef>
              <c:f>'3 Natural Gas (MMBTU)'!$B$2:$G$2</c:f>
            </c:numRef>
          </c:val>
          <c:smooth val="0"/>
          <c:extLst>
            <c:ext xmlns:c16="http://schemas.microsoft.com/office/drawing/2014/chart" uri="{C3380CC4-5D6E-409C-BE32-E72D297353CC}">
              <c16:uniqueId val="{00000000-0028-413F-A86E-2C0A616D767E}"/>
            </c:ext>
          </c:extLst>
        </c:ser>
        <c:dLbls>
          <c:showLegendKey val="0"/>
          <c:showVal val="0"/>
          <c:showCatName val="0"/>
          <c:showSerName val="0"/>
          <c:showPercent val="0"/>
          <c:showBubbleSize val="0"/>
        </c:dLbls>
        <c:marker val="1"/>
        <c:smooth val="0"/>
        <c:axId val="782384608"/>
        <c:axId val="782374768"/>
      </c:lineChart>
      <c:catAx>
        <c:axId val="782384608"/>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782374768"/>
        <c:crosses val="autoZero"/>
        <c:auto val="1"/>
        <c:lblAlgn val="ctr"/>
        <c:lblOffset val="100"/>
        <c:noMultiLvlLbl val="0"/>
      </c:catAx>
      <c:valAx>
        <c:axId val="782374768"/>
        <c:scaling>
          <c:orientation val="minMax"/>
        </c:scaling>
        <c:delete val="0"/>
        <c:axPos val="l"/>
        <c:majorGridlines/>
        <c:title>
          <c:tx>
            <c:rich>
              <a:bodyPr/>
              <a:lstStyle/>
              <a:p>
                <a:pPr>
                  <a:defRPr/>
                </a:pPr>
                <a:r>
                  <a:rPr lang="en-US"/>
                  <a:t>3 Natural Gas (MMBTU)</a:t>
                </a:r>
              </a:p>
            </c:rich>
          </c:tx>
          <c:overlay val="0"/>
        </c:title>
        <c:numFmt formatCode="###,##0" sourceLinked="0"/>
        <c:majorTickMark val="out"/>
        <c:minorTickMark val="none"/>
        <c:tickLblPos val="nextTo"/>
        <c:crossAx val="78238460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23483</c:v>
              </c:pt>
              <c:pt idx="1">
                <c:v>21252</c:v>
              </c:pt>
              <c:pt idx="2">
                <c:v>16550</c:v>
              </c:pt>
              <c:pt idx="3">
                <c:v>12611</c:v>
              </c:pt>
              <c:pt idx="4">
                <c:v>11281</c:v>
              </c:pt>
              <c:pt idx="5">
                <c:v>10559</c:v>
              </c:pt>
              <c:pt idx="6">
                <c:v>11291</c:v>
              </c:pt>
              <c:pt idx="7">
                <c:v>11373</c:v>
              </c:pt>
              <c:pt idx="8">
                <c:v>11857</c:v>
              </c:pt>
              <c:pt idx="9">
                <c:v>15381</c:v>
              </c:pt>
              <c:pt idx="10">
                <c:v>17690</c:v>
              </c:pt>
              <c:pt idx="11">
                <c:v>19057</c:v>
              </c:pt>
            </c:numLit>
          </c:val>
          <c:smooth val="0"/>
          <c:extLst>
            <c:ext xmlns:c16="http://schemas.microsoft.com/office/drawing/2014/chart" uri="{C3380CC4-5D6E-409C-BE32-E72D297353CC}">
              <c16:uniqueId val="{00000003-CE20-4201-ACB1-8482F92560C9}"/>
            </c:ext>
          </c:extLst>
        </c:ser>
        <c:ser>
          <c:idx val="2"/>
          <c:order val="2"/>
          <c:tx>
            <c:v>Model 7</c:v>
          </c:tx>
          <c:val>
            <c:numLit>
              <c:formatCode>General</c:formatCode>
              <c:ptCount val="12"/>
              <c:pt idx="0">
                <c:v>22752.98859199684</c:v>
              </c:pt>
              <c:pt idx="1">
                <c:v>20811.019005992013</c:v>
              </c:pt>
              <c:pt idx="2">
                <c:v>17033.617835295488</c:v>
              </c:pt>
              <c:pt idx="3">
                <c:v>12916.36633230374</c:v>
              </c:pt>
              <c:pt idx="4">
                <c:v>11163.610082956795</c:v>
              </c:pt>
              <c:pt idx="5">
                <c:v>10046.999318460768</c:v>
              </c:pt>
              <c:pt idx="6">
                <c:v>11258.635910173272</c:v>
              </c:pt>
              <c:pt idx="7">
                <c:v>11141.627275057506</c:v>
              </c:pt>
              <c:pt idx="8">
                <c:v>12591.017809836883</c:v>
              </c:pt>
              <c:pt idx="9">
                <c:v>15344.226798591835</c:v>
              </c:pt>
              <c:pt idx="10">
                <c:v>16947.199737428131</c:v>
              </c:pt>
              <c:pt idx="11">
                <c:v>20377.691301906729</c:v>
              </c:pt>
            </c:numLit>
          </c:val>
          <c:smooth val="0"/>
          <c:extLst>
            <c:ext xmlns:c16="http://schemas.microsoft.com/office/drawing/2014/chart" uri="{C3380CC4-5D6E-409C-BE32-E72D297353CC}">
              <c16:uniqueId val="{00000004-CE20-4201-ACB1-8482F92560C9}"/>
            </c:ext>
          </c:extLst>
        </c:ser>
        <c:ser>
          <c:idx val="0"/>
          <c:order val="0"/>
          <c:tx>
            <c:strRef>
              <c:f>'3 Natural Gas (MMBTU)'!$A$2</c:f>
              <c:strCache>
                <c:ptCount val="1"/>
                <c:pt idx="0">
                  <c:v>The best model for the data provided is #4</c:v>
                </c:pt>
              </c:strCache>
            </c:strRef>
          </c:tx>
          <c:val>
            <c:numRef>
              <c:f>'3 Natural Gas (MMBTU)'!$B$2:$G$2</c:f>
            </c:numRef>
          </c:val>
          <c:smooth val="0"/>
          <c:extLst>
            <c:ext xmlns:c16="http://schemas.microsoft.com/office/drawing/2014/chart" uri="{C3380CC4-5D6E-409C-BE32-E72D297353CC}">
              <c16:uniqueId val="{00000000-CE20-4201-ACB1-8482F92560C9}"/>
            </c:ext>
          </c:extLst>
        </c:ser>
        <c:dLbls>
          <c:showLegendKey val="0"/>
          <c:showVal val="0"/>
          <c:showCatName val="0"/>
          <c:showSerName val="0"/>
          <c:showPercent val="0"/>
          <c:showBubbleSize val="0"/>
        </c:dLbls>
        <c:marker val="1"/>
        <c:smooth val="0"/>
        <c:axId val="791466224"/>
        <c:axId val="791460976"/>
      </c:lineChart>
      <c:catAx>
        <c:axId val="791466224"/>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791460976"/>
        <c:crosses val="autoZero"/>
        <c:auto val="1"/>
        <c:lblAlgn val="ctr"/>
        <c:lblOffset val="100"/>
        <c:noMultiLvlLbl val="0"/>
      </c:catAx>
      <c:valAx>
        <c:axId val="791460976"/>
        <c:scaling>
          <c:orientation val="minMax"/>
        </c:scaling>
        <c:delete val="0"/>
        <c:axPos val="l"/>
        <c:majorGridlines/>
        <c:title>
          <c:tx>
            <c:rich>
              <a:bodyPr/>
              <a:lstStyle/>
              <a:p>
                <a:pPr>
                  <a:defRPr/>
                </a:pPr>
                <a:r>
                  <a:rPr lang="en-US"/>
                  <a:t>3 Natural Gas (MMBTU)</a:t>
                </a:r>
              </a:p>
            </c:rich>
          </c:tx>
          <c:overlay val="0"/>
        </c:title>
        <c:numFmt formatCode="###,##0" sourceLinked="0"/>
        <c:majorTickMark val="out"/>
        <c:minorTickMark val="none"/>
        <c:tickLblPos val="nextTo"/>
        <c:crossAx val="79146622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47790.114149303801</c:v>
              </c:pt>
              <c:pt idx="1">
                <c:v>49252.844671244697</c:v>
              </c:pt>
              <c:pt idx="2">
                <c:v>48295.408027194797</c:v>
              </c:pt>
              <c:pt idx="3">
                <c:v>43874.697743737299</c:v>
              </c:pt>
              <c:pt idx="4">
                <c:v>47726.191660490302</c:v>
              </c:pt>
              <c:pt idx="5">
                <c:v>49043.2246927296</c:v>
              </c:pt>
              <c:pt idx="6">
                <c:v>54187.621810023003</c:v>
              </c:pt>
              <c:pt idx="7">
                <c:v>56026.4254860441</c:v>
              </c:pt>
              <c:pt idx="8">
                <c:v>54271.642094028502</c:v>
              </c:pt>
              <c:pt idx="9">
                <c:v>54237.0441697266</c:v>
              </c:pt>
              <c:pt idx="10">
                <c:v>46925.291775047997</c:v>
              </c:pt>
              <c:pt idx="11">
                <c:v>45178.609460963999</c:v>
              </c:pt>
            </c:numLit>
          </c:val>
          <c:smooth val="0"/>
          <c:extLst>
            <c:ext xmlns:c16="http://schemas.microsoft.com/office/drawing/2014/chart" uri="{C3380CC4-5D6E-409C-BE32-E72D297353CC}">
              <c16:uniqueId val="{00000003-4B36-4975-B606-44785E6AA608}"/>
            </c:ext>
          </c:extLst>
        </c:ser>
        <c:ser>
          <c:idx val="2"/>
          <c:order val="2"/>
          <c:tx>
            <c:v>Model 4</c:v>
          </c:tx>
          <c:val>
            <c:numLit>
              <c:formatCode>General</c:formatCode>
              <c:ptCount val="12"/>
              <c:pt idx="0">
                <c:v>47703.826763621168</c:v>
              </c:pt>
              <c:pt idx="1">
                <c:v>49258.505467595547</c:v>
              </c:pt>
              <c:pt idx="2">
                <c:v>48140.141038034097</c:v>
              </c:pt>
              <c:pt idx="3">
                <c:v>47028.161933636758</c:v>
              </c:pt>
              <c:pt idx="4">
                <c:v>49847.676497249995</c:v>
              </c:pt>
              <c:pt idx="5">
                <c:v>53040.617948964129</c:v>
              </c:pt>
              <c:pt idx="6">
                <c:v>51023.402011914048</c:v>
              </c:pt>
              <c:pt idx="7">
                <c:v>55274.85831448446</c:v>
              </c:pt>
              <c:pt idx="8">
                <c:v>53053.292452518021</c:v>
              </c:pt>
              <c:pt idx="9">
                <c:v>52326.289846343891</c:v>
              </c:pt>
              <c:pt idx="10">
                <c:v>44276.176501156027</c:v>
              </c:pt>
              <c:pt idx="11">
                <c:v>45836.166965016455</c:v>
              </c:pt>
            </c:numLit>
          </c:val>
          <c:smooth val="0"/>
          <c:extLst>
            <c:ext xmlns:c16="http://schemas.microsoft.com/office/drawing/2014/chart" uri="{C3380CC4-5D6E-409C-BE32-E72D297353CC}">
              <c16:uniqueId val="{00000004-4B36-4975-B606-44785E6AA608}"/>
            </c:ext>
          </c:extLst>
        </c:ser>
        <c:ser>
          <c:idx val="0"/>
          <c:order val="0"/>
          <c:tx>
            <c:strRef>
              <c:f>'1 Electricity (MMBTU)'!$A$2</c:f>
              <c:strCache>
                <c:ptCount val="1"/>
                <c:pt idx="0">
                  <c:v>The best model for the data provided is #4</c:v>
                </c:pt>
              </c:strCache>
            </c:strRef>
          </c:tx>
          <c:val>
            <c:numRef>
              <c:f>'1 Electricity (MMBTU)'!$B$2:$G$2</c:f>
            </c:numRef>
          </c:val>
          <c:smooth val="0"/>
          <c:extLst>
            <c:ext xmlns:c16="http://schemas.microsoft.com/office/drawing/2014/chart" uri="{C3380CC4-5D6E-409C-BE32-E72D297353CC}">
              <c16:uniqueId val="{00000000-4B36-4975-B606-44785E6AA608}"/>
            </c:ext>
          </c:extLst>
        </c:ser>
        <c:dLbls>
          <c:showLegendKey val="0"/>
          <c:showVal val="0"/>
          <c:showCatName val="0"/>
          <c:showSerName val="0"/>
          <c:showPercent val="0"/>
          <c:showBubbleSize val="0"/>
        </c:dLbls>
        <c:marker val="1"/>
        <c:smooth val="0"/>
        <c:axId val="974215144"/>
        <c:axId val="363248304"/>
      </c:lineChart>
      <c:catAx>
        <c:axId val="974215144"/>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363248304"/>
        <c:crosses val="autoZero"/>
        <c:auto val="1"/>
        <c:lblAlgn val="ctr"/>
        <c:lblOffset val="100"/>
        <c:noMultiLvlLbl val="0"/>
      </c:catAx>
      <c:valAx>
        <c:axId val="363248304"/>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974215144"/>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23483</c:v>
              </c:pt>
              <c:pt idx="1">
                <c:v>21252</c:v>
              </c:pt>
              <c:pt idx="2">
                <c:v>16550</c:v>
              </c:pt>
              <c:pt idx="3">
                <c:v>12611</c:v>
              </c:pt>
              <c:pt idx="4">
                <c:v>11281</c:v>
              </c:pt>
              <c:pt idx="5">
                <c:v>10559</c:v>
              </c:pt>
              <c:pt idx="6">
                <c:v>11291</c:v>
              </c:pt>
              <c:pt idx="7">
                <c:v>11373</c:v>
              </c:pt>
              <c:pt idx="8">
                <c:v>11857</c:v>
              </c:pt>
              <c:pt idx="9">
                <c:v>15381</c:v>
              </c:pt>
              <c:pt idx="10">
                <c:v>17690</c:v>
              </c:pt>
              <c:pt idx="11">
                <c:v>19057</c:v>
              </c:pt>
            </c:numLit>
          </c:val>
          <c:smooth val="0"/>
          <c:extLst>
            <c:ext xmlns:c16="http://schemas.microsoft.com/office/drawing/2014/chart" uri="{C3380CC4-5D6E-409C-BE32-E72D297353CC}">
              <c16:uniqueId val="{00000003-FE50-4675-AC5A-35515797036C}"/>
            </c:ext>
          </c:extLst>
        </c:ser>
        <c:ser>
          <c:idx val="2"/>
          <c:order val="2"/>
          <c:tx>
            <c:v>Model 6</c:v>
          </c:tx>
          <c:val>
            <c:numLit>
              <c:formatCode>General</c:formatCode>
              <c:ptCount val="12"/>
              <c:pt idx="0">
                <c:v>22635.806246976666</c:v>
              </c:pt>
              <c:pt idx="1">
                <c:v>20644.335534486258</c:v>
              </c:pt>
              <c:pt idx="2">
                <c:v>16472.373160523297</c:v>
              </c:pt>
              <c:pt idx="3">
                <c:v>13241.549883701575</c:v>
              </c:pt>
              <c:pt idx="4">
                <c:v>12528.598522860855</c:v>
              </c:pt>
              <c:pt idx="5">
                <c:v>11085.356581175683</c:v>
              </c:pt>
              <c:pt idx="6">
                <c:v>10989.793483445217</c:v>
              </c:pt>
              <c:pt idx="7">
                <c:v>11007.871017911892</c:v>
              </c:pt>
              <c:pt idx="8">
                <c:v>12063.929988466232</c:v>
              </c:pt>
              <c:pt idx="9">
                <c:v>13552.310917863078</c:v>
              </c:pt>
              <c:pt idx="10">
                <c:v>17005.68226658005</c:v>
              </c:pt>
              <c:pt idx="11">
                <c:v>21157.392396009214</c:v>
              </c:pt>
            </c:numLit>
          </c:val>
          <c:smooth val="0"/>
          <c:extLst>
            <c:ext xmlns:c16="http://schemas.microsoft.com/office/drawing/2014/chart" uri="{C3380CC4-5D6E-409C-BE32-E72D297353CC}">
              <c16:uniqueId val="{00000004-FE50-4675-AC5A-35515797036C}"/>
            </c:ext>
          </c:extLst>
        </c:ser>
        <c:ser>
          <c:idx val="0"/>
          <c:order val="0"/>
          <c:tx>
            <c:strRef>
              <c:f>'3 Natural Gas (MMBTU)'!$A$2</c:f>
              <c:strCache>
                <c:ptCount val="1"/>
                <c:pt idx="0">
                  <c:v>The best model for the data provided is #4</c:v>
                </c:pt>
              </c:strCache>
            </c:strRef>
          </c:tx>
          <c:val>
            <c:numRef>
              <c:f>'3 Natural Gas (MMBTU)'!$B$2:$G$2</c:f>
            </c:numRef>
          </c:val>
          <c:smooth val="0"/>
          <c:extLst>
            <c:ext xmlns:c16="http://schemas.microsoft.com/office/drawing/2014/chart" uri="{C3380CC4-5D6E-409C-BE32-E72D297353CC}">
              <c16:uniqueId val="{00000000-FE50-4675-AC5A-35515797036C}"/>
            </c:ext>
          </c:extLst>
        </c:ser>
        <c:dLbls>
          <c:showLegendKey val="0"/>
          <c:showVal val="0"/>
          <c:showCatName val="0"/>
          <c:showSerName val="0"/>
          <c:showPercent val="0"/>
          <c:showBubbleSize val="0"/>
        </c:dLbls>
        <c:marker val="1"/>
        <c:smooth val="0"/>
        <c:axId val="791452776"/>
        <c:axId val="791460320"/>
      </c:lineChart>
      <c:catAx>
        <c:axId val="791452776"/>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791460320"/>
        <c:crosses val="autoZero"/>
        <c:auto val="1"/>
        <c:lblAlgn val="ctr"/>
        <c:lblOffset val="100"/>
        <c:noMultiLvlLbl val="0"/>
      </c:catAx>
      <c:valAx>
        <c:axId val="791460320"/>
        <c:scaling>
          <c:orientation val="minMax"/>
        </c:scaling>
        <c:delete val="0"/>
        <c:axPos val="l"/>
        <c:majorGridlines/>
        <c:title>
          <c:tx>
            <c:rich>
              <a:bodyPr/>
              <a:lstStyle/>
              <a:p>
                <a:pPr>
                  <a:defRPr/>
                </a:pPr>
                <a:r>
                  <a:rPr lang="en-US"/>
                  <a:t>3 Natural Gas (MMBTU)</a:t>
                </a:r>
              </a:p>
            </c:rich>
          </c:tx>
          <c:overlay val="0"/>
        </c:title>
        <c:numFmt formatCode="###,##0" sourceLinked="0"/>
        <c:majorTickMark val="out"/>
        <c:minorTickMark val="none"/>
        <c:tickLblPos val="nextTo"/>
        <c:crossAx val="791452776"/>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lineChart>
        <c:grouping val="standard"/>
        <c:varyColors val="0"/>
        <c:ser>
          <c:idx val="0"/>
          <c:order val="0"/>
          <c:tx>
            <c:strRef>
              <c:f>'3 Model Data'!$R$14</c:f>
              <c:strCache>
                <c:ptCount val="1"/>
                <c:pt idx="0">
                  <c:v>Total Modeled Energy Consumption (MMBTU)</c:v>
                </c:pt>
              </c:strCache>
            </c:strRef>
          </c:tx>
          <c:spPr>
            <a:ln>
              <a:solidFill>
                <a:srgbClr val="008000"/>
              </a:solidFill>
            </a:ln>
          </c:spPr>
          <c:marker>
            <c:spPr>
              <a:ln>
                <a:solidFill>
                  <a:srgbClr val="008000"/>
                </a:solidFill>
              </a:ln>
            </c:spPr>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'3 Model Data'!$R$15:$R$50</c:f>
              <c:numCache>
                <c:formatCode>##,##0</c:formatCode>
                <c:ptCount val="36"/>
                <c:pt idx="0">
                  <c:v>73387.955521659664</c:v>
                </c:pt>
                <c:pt idx="1">
                  <c:v>73808.574174482535</c:v>
                </c:pt>
                <c:pt idx="2">
                  <c:v>66641.864466421248</c:v>
                </c:pt>
                <c:pt idx="3">
                  <c:v>57303.944012320142</c:v>
                </c:pt>
                <c:pt idx="4">
                  <c:v>56974.327692118401</c:v>
                </c:pt>
                <c:pt idx="5">
                  <c:v>60579.228656401719</c:v>
                </c:pt>
                <c:pt idx="6">
                  <c:v>58767.891574232759</c:v>
                </c:pt>
                <c:pt idx="7">
                  <c:v>65748.747597819165</c:v>
                </c:pt>
                <c:pt idx="8">
                  <c:v>60285.949661262537</c:v>
                </c:pt>
                <c:pt idx="9">
                  <c:v>64773.572445501974</c:v>
                </c:pt>
                <c:pt idx="10">
                  <c:v>55977.530424490986</c:v>
                </c:pt>
                <c:pt idx="11">
                  <c:v>69601.0940336028</c:v>
                </c:pt>
                <c:pt idx="12">
                  <c:v>65857.408564579906</c:v>
                </c:pt>
                <c:pt idx="13">
                  <c:v>59767.274102072697</c:v>
                </c:pt>
                <c:pt idx="14">
                  <c:v>57634.860886745257</c:v>
                </c:pt>
                <c:pt idx="15">
                  <c:v>54106.227509286648</c:v>
                </c:pt>
                <c:pt idx="16">
                  <c:v>51946.607449462397</c:v>
                </c:pt>
                <c:pt idx="17">
                  <c:v>61750.812861160754</c:v>
                </c:pt>
                <c:pt idx="18">
                  <c:v>60167.318308505754</c:v>
                </c:pt>
                <c:pt idx="19">
                  <c:v>61712.174933416449</c:v>
                </c:pt>
                <c:pt idx="20">
                  <c:v>58649.109482247528</c:v>
                </c:pt>
                <c:pt idx="21">
                  <c:v>66999.969350548417</c:v>
                </c:pt>
                <c:pt idx="22">
                  <c:v>59338.142443428209</c:v>
                </c:pt>
                <c:pt idx="23">
                  <c:v>64434.287005870356</c:v>
                </c:pt>
                <c:pt idx="24">
                  <c:v>66707.611309483123</c:v>
                </c:pt>
                <c:pt idx="25">
                  <c:v>64861.714541350142</c:v>
                </c:pt>
                <c:pt idx="26">
                  <c:v>61989.335971421417</c:v>
                </c:pt>
                <c:pt idx="27">
                  <c:v>56477.798490527275</c:v>
                </c:pt>
                <c:pt idx="28">
                  <c:v>54363.893554932321</c:v>
                </c:pt>
                <c:pt idx="29">
                  <c:v>59110.342801318278</c:v>
                </c:pt>
                <c:pt idx="30">
                  <c:v>65036.134444385345</c:v>
                </c:pt>
                <c:pt idx="31">
                  <c:v>65025.133928098949</c:v>
                </c:pt>
                <c:pt idx="32">
                  <c:v>66853.444376724496</c:v>
                </c:pt>
                <c:pt idx="33">
                  <c:v>65329.764196899283</c:v>
                </c:pt>
                <c:pt idx="34">
                  <c:v>60409.789356300724</c:v>
                </c:pt>
                <c:pt idx="35">
                  <c:v>62144.646113589348</c:v>
                </c:pt>
              </c:numCache>
            </c:numRef>
          </c:val>
          <c:smooth val="0"/>
          <c:extLst>
            <c:ext xmlns:c16="http://schemas.microsoft.com/office/drawing/2014/chart" uri="{C3380CC4-5D6E-409C-BE32-E72D297353CC}">
              <c16:uniqueId val="{00000003-6E82-4AA8-AC64-8565E998CF33}"/>
            </c:ext>
          </c:extLst>
        </c:ser>
        <c:ser>
          <c:idx val="1"/>
          <c:order val="1"/>
          <c:tx>
            <c:strRef>
              <c:f>'3 Model Data'!$J$14</c:f>
              <c:strCache>
                <c:ptCount val="1"/>
                <c:pt idx="0">
                  <c:v>TOTAL  (MMBTU)</c:v>
                </c:pt>
              </c:strCache>
            </c:strRef>
          </c:tx>
          <c:spPr>
            <a:ln w="19050" cap="rnd" cmpd="sng" algn="ctr">
              <a:solidFill>
                <a:srgbClr val="1E90FF">
                  <a:alpha val="0"/>
                </a:srgbClr>
              </a:solidFill>
              <a:prstDash val="solid"/>
              <a:round/>
              <a:headEnd type="none" w="med" len="med"/>
              <a:tailEnd type="none" w="med" len="med"/>
            </a:ln>
          </c:spPr>
          <c:marker>
            <c:symbol val="plus"/>
            <c:size val="5"/>
            <c:spPr>
              <a:solidFill>
                <a:srgbClr val="000080"/>
              </a:solidFill>
              <a:ln w="19050" cap="rnd" cmpd="sng" algn="ctr">
                <a:solidFill>
                  <a:srgbClr val="1E90FF">
                    <a:alpha val="0"/>
                  </a:srgbClr>
                </a:solidFill>
                <a:prstDash val="solid"/>
                <a:round/>
                <a:headEnd type="none" w="med" len="med"/>
                <a:tailEnd type="none" w="med" len="med"/>
              </a:ln>
            </c:spPr>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'3 Model Data'!$J$15:$J$50</c:f>
              <c:numCache>
                <c:formatCode>##,##0</c:formatCode>
                <c:ptCount val="36"/>
                <c:pt idx="0">
                  <c:v>78084.114149303845</c:v>
                </c:pt>
                <c:pt idx="1">
                  <c:v>77346.844671244689</c:v>
                </c:pt>
                <c:pt idx="2">
                  <c:v>72682.40802719479</c:v>
                </c:pt>
                <c:pt idx="3">
                  <c:v>59692.697743737306</c:v>
                </c:pt>
                <c:pt idx="4">
                  <c:v>61811.191660490287</c:v>
                </c:pt>
                <c:pt idx="5">
                  <c:v>63909.224692729593</c:v>
                </c:pt>
                <c:pt idx="6">
                  <c:v>67484.621810023003</c:v>
                </c:pt>
                <c:pt idx="7">
                  <c:v>72028.225486044146</c:v>
                </c:pt>
                <c:pt idx="8">
                  <c:v>70184.642094028532</c:v>
                </c:pt>
                <c:pt idx="9">
                  <c:v>71711.044169726636</c:v>
                </c:pt>
                <c:pt idx="10">
                  <c:v>62819.291775047997</c:v>
                </c:pt>
                <c:pt idx="11">
                  <c:v>68050.609460963999</c:v>
                </c:pt>
                <c:pt idx="12">
                  <c:v>66423.443610661998</c:v>
                </c:pt>
                <c:pt idx="13">
                  <c:v>58628.069678391999</c:v>
                </c:pt>
                <c:pt idx="14">
                  <c:v>59458.993955774</c:v>
                </c:pt>
                <c:pt idx="15">
                  <c:v>52880.648643085995</c:v>
                </c:pt>
                <c:pt idx="16">
                  <c:v>51017.215969796001</c:v>
                </c:pt>
                <c:pt idx="17">
                  <c:v>55185.704107915997</c:v>
                </c:pt>
                <c:pt idx="18">
                  <c:v>58568.737849903999</c:v>
                </c:pt>
                <c:pt idx="19">
                  <c:v>60876.336744736</c:v>
                </c:pt>
                <c:pt idx="20">
                  <c:v>59781.779318415996</c:v>
                </c:pt>
                <c:pt idx="21">
                  <c:v>67117.573802227998</c:v>
                </c:pt>
                <c:pt idx="22">
                  <c:v>62146.961712507997</c:v>
                </c:pt>
                <c:pt idx="23">
                  <c:v>66087.607635360007</c:v>
                </c:pt>
                <c:pt idx="24">
                  <c:v>66708.028504568007</c:v>
                </c:pt>
                <c:pt idx="25">
                  <c:v>61583.907424188001</c:v>
                </c:pt>
                <c:pt idx="26">
                  <c:v>59737.368693313998</c:v>
                </c:pt>
                <c:pt idx="27">
                  <c:v>55817.828139140001</c:v>
                </c:pt>
                <c:pt idx="28">
                  <c:v>55724.245089976001</c:v>
                </c:pt>
                <c:pt idx="29">
                  <c:v>58762.104832628</c:v>
                </c:pt>
                <c:pt idx="30">
                  <c:v>64457.041486634</c:v>
                </c:pt>
                <c:pt idx="31">
                  <c:v>66374.995671864002</c:v>
                </c:pt>
                <c:pt idx="32">
                  <c:v>64643.198427052004</c:v>
                </c:pt>
                <c:pt idx="33">
                  <c:v>67891.418874185998</c:v>
                </c:pt>
                <c:pt idx="34">
                  <c:v>64633.410249068002</c:v>
                </c:pt>
                <c:pt idx="35">
                  <c:v>61976.020785724002</c:v>
                </c:pt>
              </c:numCache>
            </c:numRef>
          </c:val>
          <c:smooth val="0"/>
          <c:extLst>
            <c:ext xmlns:c16="http://schemas.microsoft.com/office/drawing/2014/chart" uri="{C3380CC4-5D6E-409C-BE32-E72D297353CC}">
              <c16:uniqueId val="{00000004-6E82-4AA8-AC64-8565E998CF33}"/>
            </c:ext>
          </c:extLst>
        </c:ser>
        <c:dLbls>
          <c:showLegendKey val="0"/>
          <c:showVal val="0"/>
          <c:showCatName val="0"/>
          <c:showSerName val="0"/>
          <c:showPercent val="0"/>
          <c:showBubbleSize val="0"/>
        </c:dLbls>
        <c:marker val="1"/>
        <c:smooth val="0"/>
        <c:axId val="791455072"/>
        <c:axId val="791461632"/>
      </c:lineChart>
      <c:catAx>
        <c:axId val="791455072"/>
        <c:scaling>
          <c:orientation val="minMax"/>
        </c:scaling>
        <c:delete val="0"/>
        <c:axPos val="b"/>
        <c:title>
          <c:tx>
            <c:rich>
              <a:bodyPr/>
              <a:lstStyle/>
              <a:p>
                <a:pPr>
                  <a:defRPr/>
                </a:pPr>
                <a:r>
                  <a:rPr lang="en-US"/>
                  <a:t>Input Interval</a:t>
                </a:r>
              </a:p>
            </c:rich>
          </c:tx>
          <c:overlay val="0"/>
        </c:title>
        <c:numFmt formatCode="General" sourceLinked="1"/>
        <c:majorTickMark val="out"/>
        <c:minorTickMark val="none"/>
        <c:tickLblPos val="nextTo"/>
        <c:crossAx val="791461632"/>
        <c:crosses val="autoZero"/>
        <c:auto val="1"/>
        <c:lblAlgn val="ctr"/>
        <c:lblOffset val="100"/>
        <c:tickLblSkip val="6"/>
        <c:tickMarkSkip val="6"/>
        <c:noMultiLvlLbl val="0"/>
      </c:catAx>
      <c:valAx>
        <c:axId val="791461632"/>
        <c:scaling>
          <c:orientation val="minMax"/>
        </c:scaling>
        <c:delete val="0"/>
        <c:axPos val="l"/>
        <c:majorGridlines/>
        <c:title>
          <c:tx>
            <c:rich>
              <a:bodyPr/>
              <a:lstStyle/>
              <a:p>
                <a:pPr>
                  <a:defRPr/>
                </a:pPr>
                <a:r>
                  <a:rPr lang="en-US"/>
                  <a:t>Total Consumption (MMBTU)</a:t>
                </a:r>
              </a:p>
            </c:rich>
          </c:tx>
          <c:overlay val="0"/>
        </c:title>
        <c:numFmt formatCode="##,##0" sourceLinked="1"/>
        <c:majorTickMark val="out"/>
        <c:minorTickMark val="none"/>
        <c:tickLblPos val="nextTo"/>
        <c:crossAx val="7914550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7"/>
    </mc:Choice>
    <mc:Fallback>
      <c:style val="37"/>
    </mc:Fallback>
  </mc:AlternateContent>
  <c:chart>
    <c:autoTitleDeleted val="0"/>
    <c:plotArea>
      <c:layout/>
      <c:lineChart>
        <c:grouping val="standard"/>
        <c:varyColors val="0"/>
        <c:ser>
          <c:idx val="0"/>
          <c:order val="0"/>
          <c:tx>
            <c:strRef>
              <c:f>'3 EnPI Results'!$A$17</c:f>
              <c:strCache>
                <c:ptCount val="1"/>
                <c:pt idx="0">
                  <c:v>Annual Improvement in Energy Intensity (%)</c:v>
                </c:pt>
              </c:strCache>
            </c:strRef>
          </c:tx>
          <c:spPr>
            <a:ln>
              <a:solidFill>
                <a:srgbClr val="006400"/>
              </a:solidFill>
            </a:ln>
          </c:spPr>
          <c:marker>
            <c:spPr>
              <a:solidFill>
                <a:srgbClr val="006400"/>
              </a:solidFill>
              <a:ln>
                <a:solidFill>
                  <a:srgbClr val="006400"/>
                </a:solidFill>
              </a:ln>
            </c:spPr>
          </c:marker>
          <c:val>
            <c:numRef>
              <c:f>'3 EnPI Results'!$B$17:$D$17</c:f>
              <c:numCache>
                <c:formatCode>0.00%</c:formatCode>
                <c:ptCount val="3"/>
                <c:pt idx="0">
                  <c:v>0</c:v>
                </c:pt>
                <c:pt idx="1">
                  <c:v>8.0858654144988718E-2</c:v>
                </c:pt>
                <c:pt idx="2">
                  <c:v>-5.8358075872591009E-3</c:v>
                </c:pt>
              </c:numCache>
            </c:numRef>
          </c:val>
          <c:smooth val="0"/>
          <c:extLst>
            <c:ext xmlns:c16="http://schemas.microsoft.com/office/drawing/2014/chart" uri="{C3380CC4-5D6E-409C-BE32-E72D297353CC}">
              <c16:uniqueId val="{00000003-54D8-470C-B03C-CA48FD60C5E7}"/>
            </c:ext>
          </c:extLst>
        </c:ser>
        <c:ser>
          <c:idx val="1"/>
          <c:order val="1"/>
          <c:tx>
            <c:strRef>
              <c:f>'3 EnPI Results'!$A$16</c:f>
              <c:strCache>
                <c:ptCount val="1"/>
                <c:pt idx="0">
                  <c:v>Total Improvement in Energy Intensity (%)</c:v>
                </c:pt>
              </c:strCache>
            </c:strRef>
          </c:tx>
          <c:spPr>
            <a:ln>
              <a:solidFill>
                <a:srgbClr val="9ACD32"/>
              </a:solidFill>
            </a:ln>
          </c:spPr>
          <c:marker>
            <c:spPr>
              <a:solidFill>
                <a:srgbClr val="9ACD32"/>
              </a:solidFill>
              <a:ln>
                <a:solidFill>
                  <a:srgbClr val="9ACD32"/>
                </a:solidFill>
              </a:ln>
            </c:spPr>
          </c:marker>
          <c:val>
            <c:numRef>
              <c:f>'3 EnPI Results'!$B$16:$D$16</c:f>
              <c:numCache>
                <c:formatCode>0.00%</c:formatCode>
                <c:ptCount val="3"/>
                <c:pt idx="0">
                  <c:v>0</c:v>
                </c:pt>
                <c:pt idx="1">
                  <c:v>8.0858654144988718E-2</c:v>
                </c:pt>
                <c:pt idx="2">
                  <c:v>7.5022846557729617E-2</c:v>
                </c:pt>
              </c:numCache>
            </c:numRef>
          </c:val>
          <c:smooth val="0"/>
          <c:extLst>
            <c:ext xmlns:c16="http://schemas.microsoft.com/office/drawing/2014/chart" uri="{C3380CC4-5D6E-409C-BE32-E72D297353CC}">
              <c16:uniqueId val="{00000004-54D8-470C-B03C-CA48FD60C5E7}"/>
            </c:ext>
          </c:extLst>
        </c:ser>
        <c:dLbls>
          <c:showLegendKey val="0"/>
          <c:showVal val="0"/>
          <c:showCatName val="0"/>
          <c:showSerName val="0"/>
          <c:showPercent val="0"/>
          <c:showBubbleSize val="0"/>
        </c:dLbls>
        <c:marker val="1"/>
        <c:smooth val="0"/>
        <c:axId val="667950080"/>
        <c:axId val="667944832"/>
      </c:lineChart>
      <c:catAx>
        <c:axId val="667950080"/>
        <c:scaling>
          <c:orientation val="minMax"/>
        </c:scaling>
        <c:delete val="0"/>
        <c:axPos val="b"/>
        <c:title>
          <c:tx>
            <c:rich>
              <a:bodyPr/>
              <a:lstStyle/>
              <a:p>
                <a:pPr>
                  <a:defRPr/>
                </a:pPr>
                <a:r>
                  <a:rPr lang="en-US"/>
                  <a:t>Reporting Year</a:t>
                </a:r>
              </a:p>
            </c:rich>
          </c:tx>
          <c:overlay val="0"/>
        </c:title>
        <c:majorTickMark val="out"/>
        <c:minorTickMark val="none"/>
        <c:tickLblPos val="nextTo"/>
        <c:crossAx val="667944832"/>
        <c:crosses val="autoZero"/>
        <c:auto val="1"/>
        <c:lblAlgn val="ctr"/>
        <c:lblOffset val="100"/>
        <c:noMultiLvlLbl val="0"/>
      </c:catAx>
      <c:valAx>
        <c:axId val="667944832"/>
        <c:scaling>
          <c:orientation val="minMax"/>
        </c:scaling>
        <c:delete val="0"/>
        <c:axPos val="l"/>
        <c:majorGridlines/>
        <c:title>
          <c:tx>
            <c:rich>
              <a:bodyPr/>
              <a:lstStyle/>
              <a:p>
                <a:pPr>
                  <a:defRPr/>
                </a:pPr>
                <a:r>
                  <a:rPr lang="en-US"/>
                  <a:t>Percent Improvement</a:t>
                </a:r>
              </a:p>
            </c:rich>
          </c:tx>
          <c:overlay val="0"/>
        </c:title>
        <c:numFmt formatCode="0.00%" sourceLinked="1"/>
        <c:majorTickMark val="out"/>
        <c:minorTickMark val="none"/>
        <c:tickLblPos val="nextTo"/>
        <c:crossAx val="66795008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0"/>
    <c:plotArea>
      <c:layout/>
      <c:lineChart>
        <c:grouping val="standard"/>
        <c:varyColors val="0"/>
        <c:ser>
          <c:idx val="0"/>
          <c:order val="0"/>
          <c:tx>
            <c:v>Total Modeled Energy Consumption (MMBTU)</c:v>
          </c:tx>
          <c:spPr>
            <a:ln>
              <a:solidFill>
                <a:srgbClr val="006400"/>
              </a:solidFill>
            </a:ln>
          </c:spPr>
          <c:marker>
            <c:symbol val="none"/>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'3 Model Data'!$R$15:$R$50</c:f>
              <c:numCache>
                <c:formatCode>##,##0</c:formatCode>
                <c:ptCount val="36"/>
                <c:pt idx="0">
                  <c:v>73387.955521659664</c:v>
                </c:pt>
                <c:pt idx="1">
                  <c:v>73808.574174482535</c:v>
                </c:pt>
                <c:pt idx="2">
                  <c:v>66641.864466421248</c:v>
                </c:pt>
                <c:pt idx="3">
                  <c:v>57303.944012320142</c:v>
                </c:pt>
                <c:pt idx="4">
                  <c:v>56974.327692118401</c:v>
                </c:pt>
                <c:pt idx="5">
                  <c:v>60579.228656401719</c:v>
                </c:pt>
                <c:pt idx="6">
                  <c:v>58767.891574232759</c:v>
                </c:pt>
                <c:pt idx="7">
                  <c:v>65748.747597819165</c:v>
                </c:pt>
                <c:pt idx="8">
                  <c:v>60285.949661262537</c:v>
                </c:pt>
                <c:pt idx="9">
                  <c:v>64773.572445501974</c:v>
                </c:pt>
                <c:pt idx="10">
                  <c:v>55977.530424490986</c:v>
                </c:pt>
                <c:pt idx="11">
                  <c:v>69601.0940336028</c:v>
                </c:pt>
                <c:pt idx="12">
                  <c:v>65857.408564579906</c:v>
                </c:pt>
                <c:pt idx="13">
                  <c:v>59767.274102072697</c:v>
                </c:pt>
                <c:pt idx="14">
                  <c:v>57634.860886745257</c:v>
                </c:pt>
                <c:pt idx="15">
                  <c:v>54106.227509286648</c:v>
                </c:pt>
                <c:pt idx="16">
                  <c:v>51946.607449462397</c:v>
                </c:pt>
                <c:pt idx="17">
                  <c:v>61750.812861160754</c:v>
                </c:pt>
                <c:pt idx="18">
                  <c:v>60167.318308505754</c:v>
                </c:pt>
                <c:pt idx="19">
                  <c:v>61712.174933416449</c:v>
                </c:pt>
                <c:pt idx="20">
                  <c:v>58649.109482247528</c:v>
                </c:pt>
                <c:pt idx="21">
                  <c:v>66999.969350548417</c:v>
                </c:pt>
                <c:pt idx="22">
                  <c:v>59338.142443428209</c:v>
                </c:pt>
                <c:pt idx="23">
                  <c:v>64434.287005870356</c:v>
                </c:pt>
                <c:pt idx="24">
                  <c:v>66707.611309483123</c:v>
                </c:pt>
                <c:pt idx="25">
                  <c:v>64861.714541350142</c:v>
                </c:pt>
                <c:pt idx="26">
                  <c:v>61989.335971421417</c:v>
                </c:pt>
                <c:pt idx="27">
                  <c:v>56477.798490527275</c:v>
                </c:pt>
                <c:pt idx="28">
                  <c:v>54363.893554932321</c:v>
                </c:pt>
                <c:pt idx="29">
                  <c:v>59110.342801318278</c:v>
                </c:pt>
                <c:pt idx="30">
                  <c:v>65036.134444385345</c:v>
                </c:pt>
                <c:pt idx="31">
                  <c:v>65025.133928098949</c:v>
                </c:pt>
                <c:pt idx="32">
                  <c:v>66853.444376724496</c:v>
                </c:pt>
                <c:pt idx="33">
                  <c:v>65329.764196899283</c:v>
                </c:pt>
                <c:pt idx="34">
                  <c:v>60409.789356300724</c:v>
                </c:pt>
                <c:pt idx="35">
                  <c:v>62144.646113589348</c:v>
                </c:pt>
              </c:numCache>
            </c:numRef>
          </c:val>
          <c:smooth val="0"/>
          <c:extLst>
            <c:ext xmlns:c16="http://schemas.microsoft.com/office/drawing/2014/chart" uri="{C3380CC4-5D6E-409C-BE32-E72D297353CC}">
              <c16:uniqueId val="{00000001-A7D5-4778-AD66-17E386C38840}"/>
            </c:ext>
          </c:extLst>
        </c:ser>
        <c:ser>
          <c:idx val="1"/>
          <c:order val="1"/>
          <c:tx>
            <c:v>TOTAL (MMBTU)</c:v>
          </c:tx>
          <c:spPr>
            <a:ln w="19050" cap="rnd" cmpd="sng" algn="ctr">
              <a:solidFill>
                <a:srgbClr val="1E90FF">
                  <a:alpha val="0"/>
                </a:srgbClr>
              </a:solidFill>
              <a:prstDash val="solid"/>
              <a:round/>
              <a:headEnd type="none" w="med" len="med"/>
              <a:tailEnd type="none" w="med" len="med"/>
            </a:ln>
          </c:spPr>
          <c:marker>
            <c:symbol val="plus"/>
            <c:size val="5"/>
            <c:spPr>
              <a:solidFill>
                <a:srgbClr val="000080"/>
              </a:solidFill>
              <a:ln w="19050" cap="rnd" cmpd="sng" algn="ctr">
                <a:solidFill>
                  <a:srgbClr val="1E90FF">
                    <a:alpha val="0"/>
                  </a:srgbClr>
                </a:solidFill>
                <a:prstDash val="solid"/>
                <a:round/>
                <a:headEnd type="none" w="med" len="med"/>
                <a:tailEnd type="none" w="med" len="med"/>
              </a:ln>
            </c:spPr>
          </c:marker>
          <c:cat>
            <c:numLit>
              <c:formatCode>General</c:formatCode>
              <c:ptCount val="36"/>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numLit>
          </c:cat>
          <c:val>
            <c:numRef>
              <c:f>'3 Model Data'!$J$15:$J$50</c:f>
              <c:numCache>
                <c:formatCode>##,##0</c:formatCode>
                <c:ptCount val="36"/>
                <c:pt idx="0">
                  <c:v>78084.114149303845</c:v>
                </c:pt>
                <c:pt idx="1">
                  <c:v>77346.844671244689</c:v>
                </c:pt>
                <c:pt idx="2">
                  <c:v>72682.40802719479</c:v>
                </c:pt>
                <c:pt idx="3">
                  <c:v>59692.697743737306</c:v>
                </c:pt>
                <c:pt idx="4">
                  <c:v>61811.191660490287</c:v>
                </c:pt>
                <c:pt idx="5">
                  <c:v>63909.224692729593</c:v>
                </c:pt>
                <c:pt idx="6">
                  <c:v>67484.621810023003</c:v>
                </c:pt>
                <c:pt idx="7">
                  <c:v>72028.225486044146</c:v>
                </c:pt>
                <c:pt idx="8">
                  <c:v>70184.642094028532</c:v>
                </c:pt>
                <c:pt idx="9">
                  <c:v>71711.044169726636</c:v>
                </c:pt>
                <c:pt idx="10">
                  <c:v>62819.291775047997</c:v>
                </c:pt>
                <c:pt idx="11">
                  <c:v>68050.609460963999</c:v>
                </c:pt>
                <c:pt idx="12">
                  <c:v>66423.443610661998</c:v>
                </c:pt>
                <c:pt idx="13">
                  <c:v>58628.069678391999</c:v>
                </c:pt>
                <c:pt idx="14">
                  <c:v>59458.993955774</c:v>
                </c:pt>
                <c:pt idx="15">
                  <c:v>52880.648643085995</c:v>
                </c:pt>
                <c:pt idx="16">
                  <c:v>51017.215969796001</c:v>
                </c:pt>
                <c:pt idx="17">
                  <c:v>55185.704107915997</c:v>
                </c:pt>
                <c:pt idx="18">
                  <c:v>58568.737849903999</c:v>
                </c:pt>
                <c:pt idx="19">
                  <c:v>60876.336744736</c:v>
                </c:pt>
                <c:pt idx="20">
                  <c:v>59781.779318415996</c:v>
                </c:pt>
                <c:pt idx="21">
                  <c:v>67117.573802227998</c:v>
                </c:pt>
                <c:pt idx="22">
                  <c:v>62146.961712507997</c:v>
                </c:pt>
                <c:pt idx="23">
                  <c:v>66087.607635360007</c:v>
                </c:pt>
                <c:pt idx="24">
                  <c:v>66708.028504568007</c:v>
                </c:pt>
                <c:pt idx="25">
                  <c:v>61583.907424188001</c:v>
                </c:pt>
                <c:pt idx="26">
                  <c:v>59737.368693313998</c:v>
                </c:pt>
                <c:pt idx="27">
                  <c:v>55817.828139140001</c:v>
                </c:pt>
                <c:pt idx="28">
                  <c:v>55724.245089976001</c:v>
                </c:pt>
                <c:pt idx="29">
                  <c:v>58762.104832628</c:v>
                </c:pt>
                <c:pt idx="30">
                  <c:v>64457.041486634</c:v>
                </c:pt>
                <c:pt idx="31">
                  <c:v>66374.995671864002</c:v>
                </c:pt>
                <c:pt idx="32">
                  <c:v>64643.198427052004</c:v>
                </c:pt>
                <c:pt idx="33">
                  <c:v>67891.418874185998</c:v>
                </c:pt>
                <c:pt idx="34">
                  <c:v>64633.410249068002</c:v>
                </c:pt>
                <c:pt idx="35">
                  <c:v>61976.020785724002</c:v>
                </c:pt>
              </c:numCache>
            </c:numRef>
          </c:val>
          <c:smooth val="0"/>
          <c:extLst>
            <c:ext xmlns:c16="http://schemas.microsoft.com/office/drawing/2014/chart" uri="{C3380CC4-5D6E-409C-BE32-E72D297353CC}">
              <c16:uniqueId val="{00000002-A7D5-4778-AD66-17E386C38840}"/>
            </c:ext>
          </c:extLst>
        </c:ser>
        <c:dLbls>
          <c:showLegendKey val="0"/>
          <c:showVal val="0"/>
          <c:showCatName val="0"/>
          <c:showSerName val="0"/>
          <c:showPercent val="0"/>
          <c:showBubbleSize val="0"/>
        </c:dLbls>
        <c:smooth val="0"/>
        <c:axId val="504338072"/>
        <c:axId val="504340368"/>
      </c:lineChart>
      <c:catAx>
        <c:axId val="504338072"/>
        <c:scaling>
          <c:orientation val="minMax"/>
        </c:scaling>
        <c:delete val="0"/>
        <c:axPos val="b"/>
        <c:title>
          <c:tx>
            <c:rich>
              <a:bodyPr/>
              <a:lstStyle/>
              <a:p>
                <a:pPr>
                  <a:defRPr/>
                </a:pPr>
                <a:r>
                  <a:rPr lang="en-US"/>
                  <a:t>Time Period</a:t>
                </a:r>
              </a:p>
            </c:rich>
          </c:tx>
          <c:overlay val="0"/>
        </c:title>
        <c:numFmt formatCode="General" sourceLinked="1"/>
        <c:majorTickMark val="out"/>
        <c:minorTickMark val="none"/>
        <c:tickLblPos val="nextTo"/>
        <c:crossAx val="504340368"/>
        <c:crosses val="autoZero"/>
        <c:auto val="1"/>
        <c:lblAlgn val="ctr"/>
        <c:lblOffset val="100"/>
        <c:tickLblSkip val="6"/>
        <c:tickMarkSkip val="6"/>
        <c:noMultiLvlLbl val="0"/>
      </c:catAx>
      <c:valAx>
        <c:axId val="504340368"/>
        <c:scaling>
          <c:orientation val="minMax"/>
        </c:scaling>
        <c:delete val="0"/>
        <c:axPos val="l"/>
        <c:majorGridlines/>
        <c:title>
          <c:tx>
            <c:rich>
              <a:bodyPr/>
              <a:lstStyle/>
              <a:p>
                <a:pPr>
                  <a:defRPr/>
                </a:pPr>
                <a:r>
                  <a:rPr lang="en-US"/>
                  <a:t>Total Consumption (MMBTU)</a:t>
                </a:r>
              </a:p>
            </c:rich>
          </c:tx>
          <c:overlay val="0"/>
        </c:title>
        <c:numFmt formatCode="##,##0" sourceLinked="1"/>
        <c:majorTickMark val="out"/>
        <c:minorTickMark val="none"/>
        <c:tickLblPos val="nextTo"/>
        <c:crossAx val="5043380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47790.114149303801</c:v>
              </c:pt>
              <c:pt idx="1">
                <c:v>49252.844671244697</c:v>
              </c:pt>
              <c:pt idx="2">
                <c:v>48295.408027194797</c:v>
              </c:pt>
              <c:pt idx="3">
                <c:v>43874.697743737299</c:v>
              </c:pt>
              <c:pt idx="4">
                <c:v>47726.191660490302</c:v>
              </c:pt>
              <c:pt idx="5">
                <c:v>49043.2246927296</c:v>
              </c:pt>
              <c:pt idx="6">
                <c:v>54187.621810023003</c:v>
              </c:pt>
              <c:pt idx="7">
                <c:v>56026.4254860441</c:v>
              </c:pt>
              <c:pt idx="8">
                <c:v>54271.642094028502</c:v>
              </c:pt>
              <c:pt idx="9">
                <c:v>54237.0441697266</c:v>
              </c:pt>
              <c:pt idx="10">
                <c:v>46925.291775047997</c:v>
              </c:pt>
              <c:pt idx="11">
                <c:v>45178.609460963999</c:v>
              </c:pt>
            </c:numLit>
          </c:val>
          <c:smooth val="0"/>
          <c:extLst>
            <c:ext xmlns:c16="http://schemas.microsoft.com/office/drawing/2014/chart" uri="{C3380CC4-5D6E-409C-BE32-E72D297353CC}">
              <c16:uniqueId val="{00000003-DDCD-41CF-BFBC-EBDFFD819768}"/>
            </c:ext>
          </c:extLst>
        </c:ser>
        <c:ser>
          <c:idx val="2"/>
          <c:order val="2"/>
          <c:tx>
            <c:v>Model 5</c:v>
          </c:tx>
          <c:val>
            <c:numLit>
              <c:formatCode>General</c:formatCode>
              <c:ptCount val="12"/>
              <c:pt idx="0">
                <c:v>49984.535675162115</c:v>
              </c:pt>
              <c:pt idx="1">
                <c:v>50673.021563181435</c:v>
              </c:pt>
              <c:pt idx="2">
                <c:v>48664.353468298184</c:v>
              </c:pt>
              <c:pt idx="3">
                <c:v>46179.424208718876</c:v>
              </c:pt>
              <c:pt idx="4">
                <c:v>47488.878290922781</c:v>
              </c:pt>
              <c:pt idx="5">
                <c:v>51783.664811033799</c:v>
              </c:pt>
              <c:pt idx="6">
                <c:v>53957.423570250729</c:v>
              </c:pt>
              <c:pt idx="7">
                <c:v>55260.659219827998</c:v>
              </c:pt>
              <c:pt idx="8">
                <c:v>49557.114444834457</c:v>
              </c:pt>
              <c:pt idx="9">
                <c:v>49993.687744396731</c:v>
              </c:pt>
              <c:pt idx="10">
                <c:v>44832.424705300225</c:v>
              </c:pt>
              <c:pt idx="11">
                <c:v>48433.928038607322</c:v>
              </c:pt>
            </c:numLit>
          </c:val>
          <c:smooth val="0"/>
          <c:extLst>
            <c:ext xmlns:c16="http://schemas.microsoft.com/office/drawing/2014/chart" uri="{C3380CC4-5D6E-409C-BE32-E72D297353CC}">
              <c16:uniqueId val="{00000004-DDCD-41CF-BFBC-EBDFFD819768}"/>
            </c:ext>
          </c:extLst>
        </c:ser>
        <c:ser>
          <c:idx val="0"/>
          <c:order val="0"/>
          <c:tx>
            <c:strRef>
              <c:f>'1 Electricity (MMBTU)'!$A$2</c:f>
              <c:strCache>
                <c:ptCount val="1"/>
                <c:pt idx="0">
                  <c:v>The best model for the data provided is #4</c:v>
                </c:pt>
              </c:strCache>
            </c:strRef>
          </c:tx>
          <c:val>
            <c:numRef>
              <c:f>'1 Electricity (MMBTU)'!$B$2:$G$2</c:f>
            </c:numRef>
          </c:val>
          <c:smooth val="0"/>
          <c:extLst>
            <c:ext xmlns:c16="http://schemas.microsoft.com/office/drawing/2014/chart" uri="{C3380CC4-5D6E-409C-BE32-E72D297353CC}">
              <c16:uniqueId val="{00000000-DDCD-41CF-BFBC-EBDFFD819768}"/>
            </c:ext>
          </c:extLst>
        </c:ser>
        <c:dLbls>
          <c:showLegendKey val="0"/>
          <c:showVal val="0"/>
          <c:showCatName val="0"/>
          <c:showSerName val="0"/>
          <c:showPercent val="0"/>
          <c:showBubbleSize val="0"/>
        </c:dLbls>
        <c:marker val="1"/>
        <c:smooth val="0"/>
        <c:axId val="493516328"/>
        <c:axId val="493517640"/>
      </c:lineChart>
      <c:catAx>
        <c:axId val="493516328"/>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493517640"/>
        <c:crosses val="autoZero"/>
        <c:auto val="1"/>
        <c:lblAlgn val="ctr"/>
        <c:lblOffset val="100"/>
        <c:noMultiLvlLbl val="0"/>
      </c:catAx>
      <c:valAx>
        <c:axId val="493517640"/>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493516328"/>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47790.114149303801</c:v>
              </c:pt>
              <c:pt idx="1">
                <c:v>49252.844671244697</c:v>
              </c:pt>
              <c:pt idx="2">
                <c:v>48295.408027194797</c:v>
              </c:pt>
              <c:pt idx="3">
                <c:v>43874.697743737299</c:v>
              </c:pt>
              <c:pt idx="4">
                <c:v>47726.191660490302</c:v>
              </c:pt>
              <c:pt idx="5">
                <c:v>49043.2246927296</c:v>
              </c:pt>
              <c:pt idx="6">
                <c:v>54187.621810023003</c:v>
              </c:pt>
              <c:pt idx="7">
                <c:v>56026.4254860441</c:v>
              </c:pt>
              <c:pt idx="8">
                <c:v>54271.642094028502</c:v>
              </c:pt>
              <c:pt idx="9">
                <c:v>54237.0441697266</c:v>
              </c:pt>
              <c:pt idx="10">
                <c:v>46925.291775047997</c:v>
              </c:pt>
              <c:pt idx="11">
                <c:v>45178.609460963999</c:v>
              </c:pt>
            </c:numLit>
          </c:val>
          <c:smooth val="0"/>
          <c:extLst>
            <c:ext xmlns:c16="http://schemas.microsoft.com/office/drawing/2014/chart" uri="{C3380CC4-5D6E-409C-BE32-E72D297353CC}">
              <c16:uniqueId val="{00000003-2CA6-4DC2-AE7A-7E7519BD84B6}"/>
            </c:ext>
          </c:extLst>
        </c:ser>
        <c:ser>
          <c:idx val="2"/>
          <c:order val="2"/>
          <c:tx>
            <c:v>Model 7</c:v>
          </c:tx>
          <c:val>
            <c:numLit>
              <c:formatCode>General</c:formatCode>
              <c:ptCount val="12"/>
              <c:pt idx="0">
                <c:v>47962.000218386078</c:v>
              </c:pt>
              <c:pt idx="1">
                <c:v>49314.247993737496</c:v>
              </c:pt>
              <c:pt idx="2">
                <c:v>48022.345189771382</c:v>
              </c:pt>
              <c:pt idx="3">
                <c:v>46634.962399050753</c:v>
              </c:pt>
              <c:pt idx="4">
                <c:v>49167.293450553174</c:v>
              </c:pt>
              <c:pt idx="5">
                <c:v>53058.378937844114</c:v>
              </c:pt>
              <c:pt idx="6">
                <c:v>52694.922967330043</c:v>
              </c:pt>
              <c:pt idx="7">
                <c:v>55855.742940219061</c:v>
              </c:pt>
              <c:pt idx="8">
                <c:v>52116.706434757274</c:v>
              </c:pt>
              <c:pt idx="9">
                <c:v>51583.320762005766</c:v>
              </c:pt>
              <c:pt idx="10">
                <c:v>44214.25171512572</c:v>
              </c:pt>
              <c:pt idx="11">
                <c:v>46184.942731753799</c:v>
              </c:pt>
            </c:numLit>
          </c:val>
          <c:smooth val="0"/>
          <c:extLst>
            <c:ext xmlns:c16="http://schemas.microsoft.com/office/drawing/2014/chart" uri="{C3380CC4-5D6E-409C-BE32-E72D297353CC}">
              <c16:uniqueId val="{00000004-2CA6-4DC2-AE7A-7E7519BD84B6}"/>
            </c:ext>
          </c:extLst>
        </c:ser>
        <c:ser>
          <c:idx val="0"/>
          <c:order val="0"/>
          <c:tx>
            <c:strRef>
              <c:f>'1 Electricity (MMBTU)'!$A$2</c:f>
              <c:strCache>
                <c:ptCount val="1"/>
                <c:pt idx="0">
                  <c:v>The best model for the data provided is #4</c:v>
                </c:pt>
              </c:strCache>
            </c:strRef>
          </c:tx>
          <c:val>
            <c:numRef>
              <c:f>'1 Electricity (MMBTU)'!$B$2:$G$2</c:f>
            </c:numRef>
          </c:val>
          <c:smooth val="0"/>
          <c:extLst>
            <c:ext xmlns:c16="http://schemas.microsoft.com/office/drawing/2014/chart" uri="{C3380CC4-5D6E-409C-BE32-E72D297353CC}">
              <c16:uniqueId val="{00000000-2CA6-4DC2-AE7A-7E7519BD84B6}"/>
            </c:ext>
          </c:extLst>
        </c:ser>
        <c:dLbls>
          <c:showLegendKey val="0"/>
          <c:showVal val="0"/>
          <c:showCatName val="0"/>
          <c:showSerName val="0"/>
          <c:showPercent val="0"/>
          <c:showBubbleSize val="0"/>
        </c:dLbls>
        <c:marker val="1"/>
        <c:smooth val="0"/>
        <c:axId val="981784960"/>
        <c:axId val="981785616"/>
      </c:lineChart>
      <c:catAx>
        <c:axId val="981784960"/>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981785616"/>
        <c:crosses val="autoZero"/>
        <c:auto val="1"/>
        <c:lblAlgn val="ctr"/>
        <c:lblOffset val="100"/>
        <c:noMultiLvlLbl val="0"/>
      </c:catAx>
      <c:valAx>
        <c:axId val="981785616"/>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981784960"/>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47790.114149303801</c:v>
              </c:pt>
              <c:pt idx="1">
                <c:v>49252.844671244697</c:v>
              </c:pt>
              <c:pt idx="2">
                <c:v>48295.408027194797</c:v>
              </c:pt>
              <c:pt idx="3">
                <c:v>43874.697743737299</c:v>
              </c:pt>
              <c:pt idx="4">
                <c:v>47726.191660490302</c:v>
              </c:pt>
              <c:pt idx="5">
                <c:v>49043.2246927296</c:v>
              </c:pt>
              <c:pt idx="6">
                <c:v>54187.621810023003</c:v>
              </c:pt>
              <c:pt idx="7">
                <c:v>56026.4254860441</c:v>
              </c:pt>
              <c:pt idx="8">
                <c:v>54271.642094028502</c:v>
              </c:pt>
              <c:pt idx="9">
                <c:v>54237.0441697266</c:v>
              </c:pt>
              <c:pt idx="10">
                <c:v>46925.291775047997</c:v>
              </c:pt>
              <c:pt idx="11">
                <c:v>45178.609460963999</c:v>
              </c:pt>
            </c:numLit>
          </c:val>
          <c:smooth val="0"/>
          <c:extLst>
            <c:ext xmlns:c16="http://schemas.microsoft.com/office/drawing/2014/chart" uri="{C3380CC4-5D6E-409C-BE32-E72D297353CC}">
              <c16:uniqueId val="{00000003-AE39-472A-B41F-91321899C08A}"/>
            </c:ext>
          </c:extLst>
        </c:ser>
        <c:ser>
          <c:idx val="2"/>
          <c:order val="2"/>
          <c:tx>
            <c:v>Model 6</c:v>
          </c:tx>
          <c:val>
            <c:numLit>
              <c:formatCode>General</c:formatCode>
              <c:ptCount val="12"/>
              <c:pt idx="0">
                <c:v>46694.333703945747</c:v>
              </c:pt>
              <c:pt idx="1">
                <c:v>47096.211350954203</c:v>
              </c:pt>
              <c:pt idx="2">
                <c:v>47887.861896567236</c:v>
              </c:pt>
              <c:pt idx="3">
                <c:v>49023.287296850154</c:v>
              </c:pt>
              <c:pt idx="4">
                <c:v>50165.960743076314</c:v>
              </c:pt>
              <c:pt idx="5">
                <c:v>52384.539386226978</c:v>
              </c:pt>
              <c:pt idx="6">
                <c:v>54744.581058820688</c:v>
              </c:pt>
              <c:pt idx="7">
                <c:v>53430.537064896766</c:v>
              </c:pt>
              <c:pt idx="8">
                <c:v>50697.683944562967</c:v>
              </c:pt>
              <c:pt idx="9">
                <c:v>49552.368116585138</c:v>
              </c:pt>
              <c:pt idx="10">
                <c:v>48403.524178572057</c:v>
              </c:pt>
              <c:pt idx="11">
                <c:v>46728.226999476581</c:v>
              </c:pt>
            </c:numLit>
          </c:val>
          <c:smooth val="0"/>
          <c:extLst>
            <c:ext xmlns:c16="http://schemas.microsoft.com/office/drawing/2014/chart" uri="{C3380CC4-5D6E-409C-BE32-E72D297353CC}">
              <c16:uniqueId val="{00000004-AE39-472A-B41F-91321899C08A}"/>
            </c:ext>
          </c:extLst>
        </c:ser>
        <c:ser>
          <c:idx val="0"/>
          <c:order val="0"/>
          <c:tx>
            <c:strRef>
              <c:f>'1 Electricity (MMBTU)'!$A$2</c:f>
              <c:strCache>
                <c:ptCount val="1"/>
                <c:pt idx="0">
                  <c:v>The best model for the data provided is #4</c:v>
                </c:pt>
              </c:strCache>
            </c:strRef>
          </c:tx>
          <c:val>
            <c:numRef>
              <c:f>'1 Electricity (MMBTU)'!$B$2:$G$2</c:f>
            </c:numRef>
          </c:val>
          <c:smooth val="0"/>
          <c:extLst>
            <c:ext xmlns:c16="http://schemas.microsoft.com/office/drawing/2014/chart" uri="{C3380CC4-5D6E-409C-BE32-E72D297353CC}">
              <c16:uniqueId val="{00000000-AE39-472A-B41F-91321899C08A}"/>
            </c:ext>
          </c:extLst>
        </c:ser>
        <c:dLbls>
          <c:showLegendKey val="0"/>
          <c:showVal val="0"/>
          <c:showCatName val="0"/>
          <c:showSerName val="0"/>
          <c:showPercent val="0"/>
          <c:showBubbleSize val="0"/>
        </c:dLbls>
        <c:marker val="1"/>
        <c:smooth val="0"/>
        <c:axId val="501969072"/>
        <c:axId val="501968088"/>
      </c:lineChart>
      <c:catAx>
        <c:axId val="501969072"/>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501968088"/>
        <c:crosses val="autoZero"/>
        <c:auto val="1"/>
        <c:lblAlgn val="ctr"/>
        <c:lblOffset val="100"/>
        <c:noMultiLvlLbl val="0"/>
      </c:catAx>
      <c:valAx>
        <c:axId val="501968088"/>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50196907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a:lstStyle/>
          <a:p>
            <a:pPr>
              <a:defRPr/>
            </a:pPr>
            <a:r>
              <a:rPr lang="en-US"/>
              <a:t>Comparison of Actual and Model Data</a:t>
            </a:r>
          </a:p>
        </c:rich>
      </c:tx>
      <c:overlay val="0"/>
    </c:title>
    <c:autoTitleDeleted val="0"/>
    <c:plotArea>
      <c:layout/>
      <c:lineChart>
        <c:grouping val="standard"/>
        <c:varyColors val="0"/>
        <c:ser>
          <c:idx val="1"/>
          <c:order val="1"/>
          <c:tx>
            <c:v>Actuals</c:v>
          </c:tx>
          <c:spPr>
            <a:ln w="19050" cap="rnd" cmpd="sng" algn="ctr">
              <a:solidFill>
                <a:srgbClr val="8B0000">
                  <a:alpha val="0"/>
                </a:srgbClr>
              </a:solidFill>
              <a:prstDash val="solid"/>
              <a:round/>
              <a:headEnd type="none" w="med" len="med"/>
              <a:tailEnd type="none" w="med" len="med"/>
            </a:ln>
          </c:spPr>
          <c:marker>
            <c:symbol val="square"/>
            <c:size val="5"/>
            <c:spPr>
              <a:solidFill>
                <a:srgbClr val="800000"/>
              </a:solidFill>
              <a:ln w="19050" cap="rnd" cmpd="sng" algn="ctr">
                <a:solidFill>
                  <a:srgbClr val="8B0000">
                    <a:alpha val="0"/>
                  </a:srgbClr>
                </a:solidFill>
                <a:prstDash val="solid"/>
                <a:round/>
                <a:headEnd type="none" w="med" len="med"/>
                <a:tailEnd type="none" w="med" len="med"/>
              </a:ln>
            </c:spPr>
          </c:marker>
          <c:val>
            <c:numLit>
              <c:formatCode>General</c:formatCode>
              <c:ptCount val="12"/>
              <c:pt idx="0">
                <c:v>47790.114149303801</c:v>
              </c:pt>
              <c:pt idx="1">
                <c:v>49252.844671244697</c:v>
              </c:pt>
              <c:pt idx="2">
                <c:v>48295.408027194797</c:v>
              </c:pt>
              <c:pt idx="3">
                <c:v>43874.697743737299</c:v>
              </c:pt>
              <c:pt idx="4">
                <c:v>47726.191660490302</c:v>
              </c:pt>
              <c:pt idx="5">
                <c:v>49043.2246927296</c:v>
              </c:pt>
              <c:pt idx="6">
                <c:v>54187.621810023003</c:v>
              </c:pt>
              <c:pt idx="7">
                <c:v>56026.4254860441</c:v>
              </c:pt>
              <c:pt idx="8">
                <c:v>54271.642094028502</c:v>
              </c:pt>
              <c:pt idx="9">
                <c:v>54237.0441697266</c:v>
              </c:pt>
              <c:pt idx="10">
                <c:v>46925.291775047997</c:v>
              </c:pt>
              <c:pt idx="11">
                <c:v>45178.609460963999</c:v>
              </c:pt>
            </c:numLit>
          </c:val>
          <c:smooth val="0"/>
          <c:extLst>
            <c:ext xmlns:c16="http://schemas.microsoft.com/office/drawing/2014/chart" uri="{C3380CC4-5D6E-409C-BE32-E72D297353CC}">
              <c16:uniqueId val="{00000003-B368-435B-A665-9DE46DD04B64}"/>
            </c:ext>
          </c:extLst>
        </c:ser>
        <c:ser>
          <c:idx val="2"/>
          <c:order val="2"/>
          <c:tx>
            <c:v>Model 2</c:v>
          </c:tx>
          <c:val>
            <c:numLit>
              <c:formatCode>General</c:formatCode>
              <c:ptCount val="12"/>
              <c:pt idx="0">
                <c:v>46182.505503627959</c:v>
              </c:pt>
              <c:pt idx="1">
                <c:v>46814.180704494203</c:v>
              </c:pt>
              <c:pt idx="2">
                <c:v>48058.504744754813</c:v>
              </c:pt>
              <c:pt idx="3">
                <c:v>49843.177450816664</c:v>
              </c:pt>
              <c:pt idx="4">
                <c:v>51308.207284151016</c:v>
              </c:pt>
              <c:pt idx="5">
                <c:v>52297.578080688501</c:v>
              </c:pt>
              <c:pt idx="6">
                <c:v>52335.630803632252</c:v>
              </c:pt>
              <c:pt idx="7">
                <c:v>52316.60444216038</c:v>
              </c:pt>
              <c:pt idx="8">
                <c:v>52023.598475493505</c:v>
              </c:pt>
              <c:pt idx="9">
                <c:v>50524.321191509778</c:v>
              </c:pt>
              <c:pt idx="10">
                <c:v>48869.027743456674</c:v>
              </c:pt>
              <c:pt idx="11">
                <c:v>46235.779315749212</c:v>
              </c:pt>
            </c:numLit>
          </c:val>
          <c:smooth val="0"/>
          <c:extLst>
            <c:ext xmlns:c16="http://schemas.microsoft.com/office/drawing/2014/chart" uri="{C3380CC4-5D6E-409C-BE32-E72D297353CC}">
              <c16:uniqueId val="{00000004-B368-435B-A665-9DE46DD04B64}"/>
            </c:ext>
          </c:extLst>
        </c:ser>
        <c:ser>
          <c:idx val="0"/>
          <c:order val="0"/>
          <c:tx>
            <c:strRef>
              <c:f>'1 Electricity (MMBTU)'!$A$2</c:f>
              <c:strCache>
                <c:ptCount val="1"/>
                <c:pt idx="0">
                  <c:v>The best model for the data provided is #4</c:v>
                </c:pt>
              </c:strCache>
            </c:strRef>
          </c:tx>
          <c:val>
            <c:numRef>
              <c:f>'1 Electricity (MMBTU)'!$B$2:$G$2</c:f>
            </c:numRef>
          </c:val>
          <c:smooth val="0"/>
          <c:extLst>
            <c:ext xmlns:c16="http://schemas.microsoft.com/office/drawing/2014/chart" uri="{C3380CC4-5D6E-409C-BE32-E72D297353CC}">
              <c16:uniqueId val="{00000000-B368-435B-A665-9DE46DD04B64}"/>
            </c:ext>
          </c:extLst>
        </c:ser>
        <c:dLbls>
          <c:showLegendKey val="0"/>
          <c:showVal val="0"/>
          <c:showCatName val="0"/>
          <c:showSerName val="0"/>
          <c:showPercent val="0"/>
          <c:showBubbleSize val="0"/>
        </c:dLbls>
        <c:marker val="1"/>
        <c:smooth val="0"/>
        <c:axId val="501967432"/>
        <c:axId val="501967104"/>
      </c:lineChart>
      <c:catAx>
        <c:axId val="501967432"/>
        <c:scaling>
          <c:orientation val="minMax"/>
        </c:scaling>
        <c:delete val="0"/>
        <c:axPos val="b"/>
        <c:title>
          <c:tx>
            <c:rich>
              <a:bodyPr/>
              <a:lstStyle/>
              <a:p>
                <a:pPr>
                  <a:defRPr/>
                </a:pPr>
                <a:r>
                  <a:rPr lang="en-US"/>
                  <a:t>Input Interval</a:t>
                </a:r>
              </a:p>
            </c:rich>
          </c:tx>
          <c:overlay val="0"/>
        </c:title>
        <c:numFmt formatCode="###,##0" sourceLinked="0"/>
        <c:majorTickMark val="out"/>
        <c:minorTickMark val="none"/>
        <c:tickLblPos val="nextTo"/>
        <c:crossAx val="501967104"/>
        <c:crosses val="autoZero"/>
        <c:auto val="1"/>
        <c:lblAlgn val="ctr"/>
        <c:lblOffset val="100"/>
        <c:noMultiLvlLbl val="0"/>
      </c:catAx>
      <c:valAx>
        <c:axId val="501967104"/>
        <c:scaling>
          <c:orientation val="minMax"/>
        </c:scaling>
        <c:delete val="0"/>
        <c:axPos val="l"/>
        <c:majorGridlines/>
        <c:title>
          <c:tx>
            <c:rich>
              <a:bodyPr/>
              <a:lstStyle/>
              <a:p>
                <a:pPr>
                  <a:defRPr/>
                </a:pPr>
                <a:r>
                  <a:rPr lang="en-US"/>
                  <a:t>1 Electricity (MMBTU)</a:t>
                </a:r>
              </a:p>
            </c:rich>
          </c:tx>
          <c:overlay val="0"/>
        </c:title>
        <c:numFmt formatCode="###,##0" sourceLinked="0"/>
        <c:majorTickMark val="out"/>
        <c:minorTickMark val="none"/>
        <c:tickLblPos val="nextTo"/>
        <c:crossAx val="501967432"/>
        <c:crosses val="autoZero"/>
        <c:crossBetween val="between"/>
      </c:valAx>
    </c:plotArea>
    <c:legend>
      <c:legendPos val="t"/>
      <c:overlay val="0"/>
    </c:legend>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1"/>
          <c:order val="1"/>
          <c:spPr>
            <a:ln w="19050">
              <a:noFill/>
            </a:ln>
          </c:spPr>
          <c:xVal>
            <c:numLit>
              <c:formatCode>General</c:formatCode>
              <c:ptCount val="12"/>
              <c:pt idx="0">
                <c:v>256107</c:v>
              </c:pt>
              <c:pt idx="1">
                <c:v>265927</c:v>
              </c:pt>
              <c:pt idx="2">
                <c:v>237277</c:v>
              </c:pt>
              <c:pt idx="3">
                <c:v>201834</c:v>
              </c:pt>
              <c:pt idx="4">
                <c:v>215584</c:v>
              </c:pt>
              <c:pt idx="5">
                <c:v>239665</c:v>
              </c:pt>
              <c:pt idx="6">
                <c:v>216025</c:v>
              </c:pt>
              <c:pt idx="7">
                <c:v>265071</c:v>
              </c:pt>
              <c:pt idx="8">
                <c:v>243292</c:v>
              </c:pt>
              <c:pt idx="9">
                <c:v>253998</c:v>
              </c:pt>
              <c:pt idx="10">
                <c:v>182621.5</c:v>
              </c:pt>
              <c:pt idx="11">
                <c:v>233990.39999999999</c:v>
              </c:pt>
            </c:numLit>
          </c:xVal>
          <c:yVal>
            <c:numLit>
              <c:formatCode>General</c:formatCode>
              <c:ptCount val="12"/>
              <c:pt idx="0">
                <c:v>30294</c:v>
              </c:pt>
              <c:pt idx="1">
                <c:v>28094</c:v>
              </c:pt>
              <c:pt idx="2">
                <c:v>24387</c:v>
              </c:pt>
              <c:pt idx="3">
                <c:v>15818</c:v>
              </c:pt>
              <c:pt idx="4">
                <c:v>14085</c:v>
              </c:pt>
              <c:pt idx="5">
                <c:v>14866</c:v>
              </c:pt>
              <c:pt idx="6">
                <c:v>13297</c:v>
              </c:pt>
              <c:pt idx="7">
                <c:v>16001.8</c:v>
              </c:pt>
              <c:pt idx="8">
                <c:v>15913</c:v>
              </c:pt>
              <c:pt idx="9">
                <c:v>17474</c:v>
              </c:pt>
              <c:pt idx="10">
                <c:v>15894</c:v>
              </c:pt>
              <c:pt idx="11">
                <c:v>22872</c:v>
              </c:pt>
            </c:numLit>
          </c:yVal>
          <c:smooth val="0"/>
          <c:extLst>
            <c:ext xmlns:c16="http://schemas.microsoft.com/office/drawing/2014/chart" uri="{C3380CC4-5D6E-409C-BE32-E72D297353CC}">
              <c16:uniqueId val="{00000003-78F8-4857-9309-294DCE8D41E9}"/>
            </c:ext>
          </c:extLst>
        </c:ser>
        <c:ser>
          <c:idx val="0"/>
          <c:order val="0"/>
          <c:tx>
            <c:strRef>
              <c:f>'1 Natural Gas (MMBTU)'!$A$2</c:f>
              <c:strCache>
                <c:ptCount val="1"/>
                <c:pt idx="0">
                  <c:v>The best model for the data provided is #4</c:v>
                </c:pt>
              </c:strCache>
            </c:strRef>
          </c:tx>
          <c:yVal>
            <c:numRef>
              <c:f>'1 Natural Gas (MMBTU)'!$B$2:$G$2</c:f>
            </c:numRef>
          </c:yVal>
          <c:smooth val="0"/>
          <c:extLst>
            <c:ext xmlns:c16="http://schemas.microsoft.com/office/drawing/2014/chart" uri="{C3380CC4-5D6E-409C-BE32-E72D297353CC}">
              <c16:uniqueId val="{00000000-78F8-4857-9309-294DCE8D41E9}"/>
            </c:ext>
          </c:extLst>
        </c:ser>
        <c:dLbls>
          <c:showLegendKey val="0"/>
          <c:showVal val="0"/>
          <c:showCatName val="0"/>
          <c:showSerName val="0"/>
          <c:showPercent val="0"/>
          <c:showBubbleSize val="0"/>
        </c:dLbls>
        <c:axId val="689130464"/>
        <c:axId val="689128824"/>
      </c:scatterChart>
      <c:valAx>
        <c:axId val="689130464"/>
        <c:scaling>
          <c:orientation val="minMax"/>
        </c:scaling>
        <c:delete val="0"/>
        <c:axPos val="b"/>
        <c:title>
          <c:tx>
            <c:rich>
              <a:bodyPr/>
              <a:lstStyle/>
              <a:p>
                <a:pPr>
                  <a:defRPr/>
                </a:pPr>
                <a:r>
                  <a:rPr lang="en-US"/>
                  <a:t>Production</a:t>
                </a:r>
              </a:p>
            </c:rich>
          </c:tx>
          <c:overlay val="0"/>
        </c:title>
        <c:numFmt formatCode="###,##0" sourceLinked="0"/>
        <c:majorTickMark val="out"/>
        <c:minorTickMark val="none"/>
        <c:tickLblPos val="nextTo"/>
        <c:crossAx val="689128824"/>
        <c:crosses val="autoZero"/>
        <c:crossBetween val="midCat"/>
      </c:valAx>
      <c:valAx>
        <c:axId val="689128824"/>
        <c:scaling>
          <c:orientation val="minMax"/>
        </c:scaling>
        <c:delete val="0"/>
        <c:axPos val="l"/>
        <c:majorGridlines/>
        <c:title>
          <c:tx>
            <c:rich>
              <a:bodyPr/>
              <a:lstStyle/>
              <a:p>
                <a:pPr>
                  <a:defRPr/>
                </a:pPr>
                <a:r>
                  <a:rPr lang="en-US"/>
                  <a:t>1 Natural Gas (MMBTU)</a:t>
                </a:r>
              </a:p>
            </c:rich>
          </c:tx>
          <c:overlay val="0"/>
        </c:title>
        <c:numFmt formatCode="###,##0" sourceLinked="0"/>
        <c:majorTickMark val="out"/>
        <c:minorTickMark val="none"/>
        <c:tickLblPos val="nextTo"/>
        <c:crossAx val="689130464"/>
        <c:crosses val="autoZero"/>
        <c:crossBetween val="midCat"/>
      </c:valAx>
    </c:plotArea>
    <c:plotVisOnly val="1"/>
    <c:dispBlanksAs val="gap"/>
    <c:extLst>
      <c:ext xmlns:c16r3="http://schemas.microsoft.com/office/drawing/2017/03/chart" uri="{56B9EC1D-385E-4148-901F-78D8002777C0}">
        <c16r3:dataDisplayOptions16>
          <c16r3:dispNaAsBlank val="1"/>
        </c16r3:dataDisplayOptions16>
      </c:ext>
    </c:extLst>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1.xml.rels><?xml version="1.0" encoding="UTF-8" standalone="yes"?>
<Relationships xmlns="http://schemas.openxmlformats.org/package/2006/relationships"><Relationship Id="rId2" Type="http://schemas.openxmlformats.org/officeDocument/2006/relationships/chart" Target="../charts/chart42.xml"/><Relationship Id="rId1" Type="http://schemas.openxmlformats.org/officeDocument/2006/relationships/chart" Target="../charts/chart41.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43.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8.xml"/><Relationship Id="rId1" Type="http://schemas.openxmlformats.org/officeDocument/2006/relationships/chart" Target="../charts/chart17.xml"/></Relationships>
</file>

<file path=xl/drawings/_rels/drawing5.xml.rels><?xml version="1.0" encoding="UTF-8" standalone="yes"?>
<Relationships xmlns="http://schemas.openxmlformats.org/package/2006/relationships"><Relationship Id="rId3" Type="http://schemas.openxmlformats.org/officeDocument/2006/relationships/chart" Target="../charts/chart21.xml"/><Relationship Id="rId2" Type="http://schemas.openxmlformats.org/officeDocument/2006/relationships/chart" Target="../charts/chart20.xml"/><Relationship Id="rId1" Type="http://schemas.openxmlformats.org/officeDocument/2006/relationships/chart" Target="../charts/chart19.xml"/><Relationship Id="rId4" Type="http://schemas.openxmlformats.org/officeDocument/2006/relationships/chart" Target="../charts/chart22.xml"/></Relationships>
</file>

<file path=xl/drawings/_rels/drawing6.xml.rels><?xml version="1.0" encoding="UTF-8" standalone="yes"?>
<Relationships xmlns="http://schemas.openxmlformats.org/package/2006/relationships"><Relationship Id="rId2" Type="http://schemas.openxmlformats.org/officeDocument/2006/relationships/chart" Target="../charts/chart24.xml"/><Relationship Id="rId1" Type="http://schemas.openxmlformats.org/officeDocument/2006/relationships/chart" Target="../charts/chart23.xml"/></Relationships>
</file>

<file path=xl/drawings/_rels/drawing8.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s>
</file>

<file path=xl/drawings/_rels/drawing9.xml.rels><?xml version="1.0" encoding="UTF-8" standalone="yes"?>
<Relationships xmlns="http://schemas.openxmlformats.org/package/2006/relationships"><Relationship Id="rId8" Type="http://schemas.openxmlformats.org/officeDocument/2006/relationships/chart" Target="../charts/chart40.xml"/><Relationship Id="rId3" Type="http://schemas.openxmlformats.org/officeDocument/2006/relationships/chart" Target="../charts/chart35.xml"/><Relationship Id="rId7" Type="http://schemas.openxmlformats.org/officeDocument/2006/relationships/chart" Target="../charts/chart39.xml"/><Relationship Id="rId2" Type="http://schemas.openxmlformats.org/officeDocument/2006/relationships/chart" Target="../charts/chart34.xml"/><Relationship Id="rId1" Type="http://schemas.openxmlformats.org/officeDocument/2006/relationships/chart" Target="../charts/chart33.xml"/><Relationship Id="rId6" Type="http://schemas.openxmlformats.org/officeDocument/2006/relationships/chart" Target="../charts/chart38.xml"/><Relationship Id="rId5" Type="http://schemas.openxmlformats.org/officeDocument/2006/relationships/chart" Target="../charts/chart37.xml"/><Relationship Id="rId4" Type="http://schemas.openxmlformats.org/officeDocument/2006/relationships/chart" Target="../charts/chart36.xml"/></Relationships>
</file>

<file path=xl/drawings/drawing1.xml><?xml version="1.0" encoding="utf-8"?>
<xdr:wsDr xmlns:xdr="http://schemas.openxmlformats.org/drawingml/2006/spreadsheetDrawing" xmlns:a="http://schemas.openxmlformats.org/drawingml/2006/main">
  <xdr:twoCellAnchor>
    <xdr:from>
      <xdr:col>0</xdr:col>
      <xdr:colOff>127000</xdr:colOff>
      <xdr:row>23</xdr:row>
      <xdr:rowOff>0</xdr:rowOff>
    </xdr:from>
    <xdr:to>
      <xdr:col>6</xdr:col>
      <xdr:colOff>892175</xdr:colOff>
      <xdr:row>23</xdr:row>
      <xdr:rowOff>3098800</xdr:rowOff>
    </xdr:to>
    <xdr:graphicFrame macro="">
      <xdr:nvGraphicFramePr>
        <xdr:cNvPr id="2" name="Chart 1">
          <a:extLst>
            <a:ext uri="{FF2B5EF4-FFF2-40B4-BE49-F238E27FC236}">
              <a16:creationId xmlns:a16="http://schemas.microsoft.com/office/drawing/2014/main" id="{983708B1-32B8-4021-8774-CFB9AA61A2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24</xdr:row>
      <xdr:rowOff>0</xdr:rowOff>
    </xdr:from>
    <xdr:to>
      <xdr:col>6</xdr:col>
      <xdr:colOff>892175</xdr:colOff>
      <xdr:row>24</xdr:row>
      <xdr:rowOff>3098800</xdr:rowOff>
    </xdr:to>
    <xdr:graphicFrame macro="">
      <xdr:nvGraphicFramePr>
        <xdr:cNvPr id="3" name="Chart 2">
          <a:extLst>
            <a:ext uri="{FF2B5EF4-FFF2-40B4-BE49-F238E27FC236}">
              <a16:creationId xmlns:a16="http://schemas.microsoft.com/office/drawing/2014/main" id="{AF1C3E9D-BB4F-453C-89B4-70F4A7D9C1C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25</xdr:row>
      <xdr:rowOff>0</xdr:rowOff>
    </xdr:from>
    <xdr:to>
      <xdr:col>6</xdr:col>
      <xdr:colOff>892175</xdr:colOff>
      <xdr:row>25</xdr:row>
      <xdr:rowOff>3098800</xdr:rowOff>
    </xdr:to>
    <xdr:graphicFrame macro="">
      <xdr:nvGraphicFramePr>
        <xdr:cNvPr id="4" name="Chart 3">
          <a:extLst>
            <a:ext uri="{FF2B5EF4-FFF2-40B4-BE49-F238E27FC236}">
              <a16:creationId xmlns:a16="http://schemas.microsoft.com/office/drawing/2014/main" id="{6C600C36-EA22-4EFD-AA57-64C40B2D6A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5" name="Model 4" hidden="1">
          <a:extLst>
            <a:ext uri="{FF2B5EF4-FFF2-40B4-BE49-F238E27FC236}">
              <a16:creationId xmlns:a16="http://schemas.microsoft.com/office/drawing/2014/main" id="{F5F0801C-2834-4DC7-8011-DD5A49B557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6" name="Model 5">
          <a:extLst>
            <a:ext uri="{FF2B5EF4-FFF2-40B4-BE49-F238E27FC236}">
              <a16:creationId xmlns:a16="http://schemas.microsoft.com/office/drawing/2014/main" id="{88EBB850-0806-4E8F-8C5A-8348E1D8EB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7" name="Model 7" hidden="1">
          <a:extLst>
            <a:ext uri="{FF2B5EF4-FFF2-40B4-BE49-F238E27FC236}">
              <a16:creationId xmlns:a16="http://schemas.microsoft.com/office/drawing/2014/main" id="{D6451007-F715-43A3-99B9-3B8E89E49F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8" name="Model 6" hidden="1">
          <a:extLst>
            <a:ext uri="{FF2B5EF4-FFF2-40B4-BE49-F238E27FC236}">
              <a16:creationId xmlns:a16="http://schemas.microsoft.com/office/drawing/2014/main" id="{AB232A8E-D8CF-4ADB-9E60-6EAA908158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9" name="Model 2" hidden="1">
          <a:extLst>
            <a:ext uri="{FF2B5EF4-FFF2-40B4-BE49-F238E27FC236}">
              <a16:creationId xmlns:a16="http://schemas.microsoft.com/office/drawing/2014/main" id="{295CB7CE-E502-4F9E-877D-D5D2C7BBE8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12700</xdr:colOff>
      <xdr:row>0</xdr:row>
      <xdr:rowOff>12700</xdr:rowOff>
    </xdr:from>
    <xdr:to>
      <xdr:col>7</xdr:col>
      <xdr:colOff>511175</xdr:colOff>
      <xdr:row>0</xdr:row>
      <xdr:rowOff>2501900</xdr:rowOff>
    </xdr:to>
    <xdr:sp macro="" textlink="">
      <xdr:nvSpPr>
        <xdr:cNvPr id="2" name="TextBox 1">
          <a:extLst>
            <a:ext uri="{FF2B5EF4-FFF2-40B4-BE49-F238E27FC236}">
              <a16:creationId xmlns:a16="http://schemas.microsoft.com/office/drawing/2014/main" id="{A4C4BDF8-A79B-45B8-8DD1-2DA917AC241E}"/>
            </a:ext>
          </a:extLst>
        </xdr:cNvPr>
        <xdr:cNvSpPr txBox="1"/>
      </xdr:nvSpPr>
      <xdr:spPr>
        <a:xfrm>
          <a:off x="12700" y="12700"/>
          <a:ext cx="8890000" cy="248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Minneapolis
Original and Modeled Values
The table below shows the energy and independent variable data originally entered in the tool, the adjusted data, adjustment method, and totals. The data used for the model year is highlighted in green. 
If a new model is selected for an individual energy source, the adjusted values below will be updated. The EnPI/SEnPI results pages are also linked to this page. Therefore, if changes are made to the adjusted data in the columns below, the results shown in the EnPI and SEnPI pages will update. However, this data is not linked to the orginal source data, so changes made to this page will not affect the data originally entered.
</a:t>
          </a:r>
        </a:p>
        <a:p>
          <a:endParaRPr lang="en-US" sz="1100"/>
        </a:p>
        <a:p>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127000</xdr:colOff>
      <xdr:row>22</xdr:row>
      <xdr:rowOff>0</xdr:rowOff>
    </xdr:from>
    <xdr:to>
      <xdr:col>2</xdr:col>
      <xdr:colOff>339725</xdr:colOff>
      <xdr:row>22</xdr:row>
      <xdr:rowOff>3098800</xdr:rowOff>
    </xdr:to>
    <xdr:graphicFrame macro="">
      <xdr:nvGraphicFramePr>
        <xdr:cNvPr id="2" name="Chart 1">
          <a:extLst>
            <a:ext uri="{FF2B5EF4-FFF2-40B4-BE49-F238E27FC236}">
              <a16:creationId xmlns:a16="http://schemas.microsoft.com/office/drawing/2014/main" id="{9B18E84C-3274-455B-A934-730FB2ECE6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568325</xdr:colOff>
      <xdr:row>22</xdr:row>
      <xdr:rowOff>0</xdr:rowOff>
    </xdr:from>
    <xdr:to>
      <xdr:col>12</xdr:col>
      <xdr:colOff>238125</xdr:colOff>
      <xdr:row>22</xdr:row>
      <xdr:rowOff>3098800</xdr:rowOff>
    </xdr:to>
    <xdr:graphicFrame macro="">
      <xdr:nvGraphicFramePr>
        <xdr:cNvPr id="3" name="Chart 2">
          <a:extLst>
            <a:ext uri="{FF2B5EF4-FFF2-40B4-BE49-F238E27FC236}">
              <a16:creationId xmlns:a16="http://schemas.microsoft.com/office/drawing/2014/main" id="{2F191423-D3DB-4CB0-915C-6F0EFEF21B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127000</xdr:colOff>
      <xdr:row>18</xdr:row>
      <xdr:rowOff>0</xdr:rowOff>
    </xdr:from>
    <xdr:to>
      <xdr:col>7</xdr:col>
      <xdr:colOff>28575</xdr:colOff>
      <xdr:row>18</xdr:row>
      <xdr:rowOff>3098800</xdr:rowOff>
    </xdr:to>
    <xdr:graphicFrame macro="">
      <xdr:nvGraphicFramePr>
        <xdr:cNvPr id="2" name="Chart 1">
          <a:extLst>
            <a:ext uri="{FF2B5EF4-FFF2-40B4-BE49-F238E27FC236}">
              <a16:creationId xmlns:a16="http://schemas.microsoft.com/office/drawing/2014/main" id="{B51676B3-2766-4526-8851-F34D88AECCD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127000</xdr:colOff>
      <xdr:row>23</xdr:row>
      <xdr:rowOff>0</xdr:rowOff>
    </xdr:from>
    <xdr:to>
      <xdr:col>6</xdr:col>
      <xdr:colOff>892175</xdr:colOff>
      <xdr:row>23</xdr:row>
      <xdr:rowOff>3098800</xdr:rowOff>
    </xdr:to>
    <xdr:graphicFrame macro="">
      <xdr:nvGraphicFramePr>
        <xdr:cNvPr id="2" name="Chart 1">
          <a:extLst>
            <a:ext uri="{FF2B5EF4-FFF2-40B4-BE49-F238E27FC236}">
              <a16:creationId xmlns:a16="http://schemas.microsoft.com/office/drawing/2014/main" id="{8237E3B0-9CB5-4A66-B3E2-929EFF35EF8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24</xdr:row>
      <xdr:rowOff>0</xdr:rowOff>
    </xdr:from>
    <xdr:to>
      <xdr:col>6</xdr:col>
      <xdr:colOff>892175</xdr:colOff>
      <xdr:row>24</xdr:row>
      <xdr:rowOff>3098800</xdr:rowOff>
    </xdr:to>
    <xdr:graphicFrame macro="">
      <xdr:nvGraphicFramePr>
        <xdr:cNvPr id="3" name="Chart 2">
          <a:extLst>
            <a:ext uri="{FF2B5EF4-FFF2-40B4-BE49-F238E27FC236}">
              <a16:creationId xmlns:a16="http://schemas.microsoft.com/office/drawing/2014/main" id="{AEA6E689-6591-4854-AE90-DFE9A785AC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25</xdr:row>
      <xdr:rowOff>0</xdr:rowOff>
    </xdr:from>
    <xdr:to>
      <xdr:col>6</xdr:col>
      <xdr:colOff>892175</xdr:colOff>
      <xdr:row>25</xdr:row>
      <xdr:rowOff>3098800</xdr:rowOff>
    </xdr:to>
    <xdr:graphicFrame macro="">
      <xdr:nvGraphicFramePr>
        <xdr:cNvPr id="4" name="Chart 3">
          <a:extLst>
            <a:ext uri="{FF2B5EF4-FFF2-40B4-BE49-F238E27FC236}">
              <a16:creationId xmlns:a16="http://schemas.microsoft.com/office/drawing/2014/main" id="{6BD8D5DE-120A-4D68-8484-001CCA8A2F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5" name="Model 4">
          <a:extLst>
            <a:ext uri="{FF2B5EF4-FFF2-40B4-BE49-F238E27FC236}">
              <a16:creationId xmlns:a16="http://schemas.microsoft.com/office/drawing/2014/main" id="{B62D49EF-3718-4AFD-BABD-B4A6C2D1209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6" name="Model 2" hidden="1">
          <a:extLst>
            <a:ext uri="{FF2B5EF4-FFF2-40B4-BE49-F238E27FC236}">
              <a16:creationId xmlns:a16="http://schemas.microsoft.com/office/drawing/2014/main" id="{90C5979F-52DF-4634-8857-AE361D5F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7" name="Model 5" hidden="1">
          <a:extLst>
            <a:ext uri="{FF2B5EF4-FFF2-40B4-BE49-F238E27FC236}">
              <a16:creationId xmlns:a16="http://schemas.microsoft.com/office/drawing/2014/main" id="{4F99094E-31F0-4FD9-986C-CC28A3CD69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8" name="Model 7" hidden="1">
          <a:extLst>
            <a:ext uri="{FF2B5EF4-FFF2-40B4-BE49-F238E27FC236}">
              <a16:creationId xmlns:a16="http://schemas.microsoft.com/office/drawing/2014/main" id="{799563DE-B3EB-4052-89F1-A80C09E716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41275</xdr:colOff>
      <xdr:row>23</xdr:row>
      <xdr:rowOff>0</xdr:rowOff>
    </xdr:from>
    <xdr:to>
      <xdr:col>16</xdr:col>
      <xdr:colOff>53975</xdr:colOff>
      <xdr:row>23</xdr:row>
      <xdr:rowOff>3098800</xdr:rowOff>
    </xdr:to>
    <xdr:graphicFrame macro="">
      <xdr:nvGraphicFramePr>
        <xdr:cNvPr id="9" name="Model 6" hidden="1">
          <a:extLst>
            <a:ext uri="{FF2B5EF4-FFF2-40B4-BE49-F238E27FC236}">
              <a16:creationId xmlns:a16="http://schemas.microsoft.com/office/drawing/2014/main" id="{40D93B9A-E37C-4099-A31B-F1BDBA132F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12700</xdr:colOff>
      <xdr:row>0</xdr:row>
      <xdr:rowOff>12700</xdr:rowOff>
    </xdr:from>
    <xdr:to>
      <xdr:col>7</xdr:col>
      <xdr:colOff>511175</xdr:colOff>
      <xdr:row>0</xdr:row>
      <xdr:rowOff>2501900</xdr:rowOff>
    </xdr:to>
    <xdr:sp macro="" textlink="">
      <xdr:nvSpPr>
        <xdr:cNvPr id="2" name="TextBox 1">
          <a:extLst>
            <a:ext uri="{FF2B5EF4-FFF2-40B4-BE49-F238E27FC236}">
              <a16:creationId xmlns:a16="http://schemas.microsoft.com/office/drawing/2014/main" id="{7E60A0F1-8E7D-4E74-B134-420F8889E8A6}"/>
            </a:ext>
          </a:extLst>
        </xdr:cNvPr>
        <xdr:cNvSpPr txBox="1"/>
      </xdr:nvSpPr>
      <xdr:spPr>
        <a:xfrm>
          <a:off x="12700" y="12700"/>
          <a:ext cx="8890000" cy="248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Minneapolis
Original and Modeled Values
The table below shows the energy and independent variable data originally entered in the tool, the adjusted data, adjustment method, and totals. The data used for the model year is highlighted in green. 
If a new model is selected for an individual energy source, the adjusted values below will be updated. The EnPI/SEnPI results pages are also linked to this page. Therefore, if changes are made to the adjusted data in the columns below, the results shown in the EnPI and SEnPI pages will update. However, this data is not linked to the orginal source data, so changes made to this page will not affect the data originally entered.
</a:t>
          </a:r>
        </a:p>
        <a:p>
          <a:endParaRPr lang="en-US" sz="1100"/>
        </a:p>
        <a:p>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127000</xdr:colOff>
      <xdr:row>22</xdr:row>
      <xdr:rowOff>0</xdr:rowOff>
    </xdr:from>
    <xdr:to>
      <xdr:col>2</xdr:col>
      <xdr:colOff>225425</xdr:colOff>
      <xdr:row>22</xdr:row>
      <xdr:rowOff>3098800</xdr:rowOff>
    </xdr:to>
    <xdr:graphicFrame macro="">
      <xdr:nvGraphicFramePr>
        <xdr:cNvPr id="2" name="Chart 1">
          <a:extLst>
            <a:ext uri="{FF2B5EF4-FFF2-40B4-BE49-F238E27FC236}">
              <a16:creationId xmlns:a16="http://schemas.microsoft.com/office/drawing/2014/main" id="{FFB72BE0-A58A-4B22-B1AE-4CCA349291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568325</xdr:colOff>
      <xdr:row>22</xdr:row>
      <xdr:rowOff>0</xdr:rowOff>
    </xdr:from>
    <xdr:to>
      <xdr:col>12</xdr:col>
      <xdr:colOff>238125</xdr:colOff>
      <xdr:row>22</xdr:row>
      <xdr:rowOff>3098800</xdr:rowOff>
    </xdr:to>
    <xdr:graphicFrame macro="">
      <xdr:nvGraphicFramePr>
        <xdr:cNvPr id="3" name="Chart 2">
          <a:extLst>
            <a:ext uri="{FF2B5EF4-FFF2-40B4-BE49-F238E27FC236}">
              <a16:creationId xmlns:a16="http://schemas.microsoft.com/office/drawing/2014/main" id="{918E6E9A-4A5A-4E63-90BE-7212654FC6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127000</xdr:colOff>
      <xdr:row>18</xdr:row>
      <xdr:rowOff>0</xdr:rowOff>
    </xdr:from>
    <xdr:to>
      <xdr:col>5</xdr:col>
      <xdr:colOff>352425</xdr:colOff>
      <xdr:row>18</xdr:row>
      <xdr:rowOff>3098800</xdr:rowOff>
    </xdr:to>
    <xdr:graphicFrame macro="">
      <xdr:nvGraphicFramePr>
        <xdr:cNvPr id="2" name="Chart 1">
          <a:extLst>
            <a:ext uri="{FF2B5EF4-FFF2-40B4-BE49-F238E27FC236}">
              <a16:creationId xmlns:a16="http://schemas.microsoft.com/office/drawing/2014/main" id="{83AE9D2E-B46F-4D68-9C98-72F2239CF33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127000</xdr:colOff>
      <xdr:row>20</xdr:row>
      <xdr:rowOff>0</xdr:rowOff>
    </xdr:from>
    <xdr:to>
      <xdr:col>5</xdr:col>
      <xdr:colOff>352425</xdr:colOff>
      <xdr:row>20</xdr:row>
      <xdr:rowOff>3098800</xdr:rowOff>
    </xdr:to>
    <xdr:graphicFrame macro="">
      <xdr:nvGraphicFramePr>
        <xdr:cNvPr id="3" name="Chart 2">
          <a:extLst>
            <a:ext uri="{FF2B5EF4-FFF2-40B4-BE49-F238E27FC236}">
              <a16:creationId xmlns:a16="http://schemas.microsoft.com/office/drawing/2014/main" id="{5F7A1748-A68C-4199-B7F1-06CE29A94C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127000</xdr:colOff>
      <xdr:row>22</xdr:row>
      <xdr:rowOff>0</xdr:rowOff>
    </xdr:from>
    <xdr:to>
      <xdr:col>5</xdr:col>
      <xdr:colOff>352425</xdr:colOff>
      <xdr:row>22</xdr:row>
      <xdr:rowOff>3098800</xdr:rowOff>
    </xdr:to>
    <xdr:graphicFrame macro="">
      <xdr:nvGraphicFramePr>
        <xdr:cNvPr id="4" name="Chart 3">
          <a:extLst>
            <a:ext uri="{FF2B5EF4-FFF2-40B4-BE49-F238E27FC236}">
              <a16:creationId xmlns:a16="http://schemas.microsoft.com/office/drawing/2014/main" id="{CD76E1F9-AF9B-4DAE-A3E7-E97C94369A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127000</xdr:colOff>
      <xdr:row>24</xdr:row>
      <xdr:rowOff>0</xdr:rowOff>
    </xdr:from>
    <xdr:to>
      <xdr:col>5</xdr:col>
      <xdr:colOff>352425</xdr:colOff>
      <xdr:row>24</xdr:row>
      <xdr:rowOff>3098800</xdr:rowOff>
    </xdr:to>
    <xdr:graphicFrame macro="">
      <xdr:nvGraphicFramePr>
        <xdr:cNvPr id="5" name="Chart 4">
          <a:extLst>
            <a:ext uri="{FF2B5EF4-FFF2-40B4-BE49-F238E27FC236}">
              <a16:creationId xmlns:a16="http://schemas.microsoft.com/office/drawing/2014/main" id="{C40A677B-26F4-4D4F-8B38-D0947AE12E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127000</xdr:colOff>
      <xdr:row>16</xdr:row>
      <xdr:rowOff>0</xdr:rowOff>
    </xdr:from>
    <xdr:to>
      <xdr:col>3</xdr:col>
      <xdr:colOff>73025</xdr:colOff>
      <xdr:row>16</xdr:row>
      <xdr:rowOff>3098800</xdr:rowOff>
    </xdr:to>
    <xdr:graphicFrame macro="">
      <xdr:nvGraphicFramePr>
        <xdr:cNvPr id="2" name="Chart 1">
          <a:extLst>
            <a:ext uri="{FF2B5EF4-FFF2-40B4-BE49-F238E27FC236}">
              <a16:creationId xmlns:a16="http://schemas.microsoft.com/office/drawing/2014/main" id="{90FE5AE1-D6D8-494E-8ADE-38B047F0C1B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568325</xdr:colOff>
      <xdr:row>16</xdr:row>
      <xdr:rowOff>0</xdr:rowOff>
    </xdr:from>
    <xdr:to>
      <xdr:col>12</xdr:col>
      <xdr:colOff>238125</xdr:colOff>
      <xdr:row>16</xdr:row>
      <xdr:rowOff>3098800</xdr:rowOff>
    </xdr:to>
    <xdr:graphicFrame macro="">
      <xdr:nvGraphicFramePr>
        <xdr:cNvPr id="3" name="Chart 2">
          <a:extLst>
            <a:ext uri="{FF2B5EF4-FFF2-40B4-BE49-F238E27FC236}">
              <a16:creationId xmlns:a16="http://schemas.microsoft.com/office/drawing/2014/main" id="{285F34DF-DB94-4D2D-A01F-3079C19B992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12700</xdr:colOff>
      <xdr:row>0</xdr:row>
      <xdr:rowOff>12700</xdr:rowOff>
    </xdr:from>
    <xdr:to>
      <xdr:col>9</xdr:col>
      <xdr:colOff>63500</xdr:colOff>
      <xdr:row>0</xdr:row>
      <xdr:rowOff>2501900</xdr:rowOff>
    </xdr:to>
    <xdr:sp macro="" textlink="">
      <xdr:nvSpPr>
        <xdr:cNvPr id="2" name="TextBox 1">
          <a:extLst>
            <a:ext uri="{FF2B5EF4-FFF2-40B4-BE49-F238E27FC236}">
              <a16:creationId xmlns:a16="http://schemas.microsoft.com/office/drawing/2014/main" id="{E4CF1F42-2CB7-49D0-A53A-AEF9472CBBF9}"/>
            </a:ext>
          </a:extLst>
        </xdr:cNvPr>
        <xdr:cNvSpPr txBox="1"/>
      </xdr:nvSpPr>
      <xdr:spPr>
        <a:xfrm>
          <a:off x="12700" y="12700"/>
          <a:ext cx="8890000" cy="2489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r>
            <a:rPr lang="en-US" sz="1100"/>
            <a:t>Minneapolis
</a:t>
          </a:r>
        </a:p>
        <a:p>
          <a:endParaRPr lang="en-US" sz="1100"/>
        </a:p>
        <a:p>
          <a:endParaRPr lang="en-US" sz="1100"/>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127000</xdr:colOff>
      <xdr:row>20</xdr:row>
      <xdr:rowOff>0</xdr:rowOff>
    </xdr:from>
    <xdr:to>
      <xdr:col>6</xdr:col>
      <xdr:colOff>892175</xdr:colOff>
      <xdr:row>20</xdr:row>
      <xdr:rowOff>3098800</xdr:rowOff>
    </xdr:to>
    <xdr:graphicFrame macro="">
      <xdr:nvGraphicFramePr>
        <xdr:cNvPr id="2" name="Chart 1">
          <a:extLst>
            <a:ext uri="{FF2B5EF4-FFF2-40B4-BE49-F238E27FC236}">
              <a16:creationId xmlns:a16="http://schemas.microsoft.com/office/drawing/2014/main" id="{A045E821-02DE-4DF5-8581-6B662BDD4DC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21</xdr:row>
      <xdr:rowOff>0</xdr:rowOff>
    </xdr:from>
    <xdr:to>
      <xdr:col>6</xdr:col>
      <xdr:colOff>892175</xdr:colOff>
      <xdr:row>21</xdr:row>
      <xdr:rowOff>3098800</xdr:rowOff>
    </xdr:to>
    <xdr:graphicFrame macro="">
      <xdr:nvGraphicFramePr>
        <xdr:cNvPr id="3" name="Chart 2">
          <a:extLst>
            <a:ext uri="{FF2B5EF4-FFF2-40B4-BE49-F238E27FC236}">
              <a16:creationId xmlns:a16="http://schemas.microsoft.com/office/drawing/2014/main" id="{DE79AC5B-0AE2-4F72-8B81-EB245EBE9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22</xdr:row>
      <xdr:rowOff>0</xdr:rowOff>
    </xdr:from>
    <xdr:to>
      <xdr:col>6</xdr:col>
      <xdr:colOff>892175</xdr:colOff>
      <xdr:row>22</xdr:row>
      <xdr:rowOff>3098800</xdr:rowOff>
    </xdr:to>
    <xdr:graphicFrame macro="">
      <xdr:nvGraphicFramePr>
        <xdr:cNvPr id="4" name="Chart 3">
          <a:extLst>
            <a:ext uri="{FF2B5EF4-FFF2-40B4-BE49-F238E27FC236}">
              <a16:creationId xmlns:a16="http://schemas.microsoft.com/office/drawing/2014/main" id="{480944F0-3C7B-4DB0-B3C9-C9764B5248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41275</xdr:colOff>
      <xdr:row>20</xdr:row>
      <xdr:rowOff>0</xdr:rowOff>
    </xdr:from>
    <xdr:to>
      <xdr:col>16</xdr:col>
      <xdr:colOff>53975</xdr:colOff>
      <xdr:row>20</xdr:row>
      <xdr:rowOff>3098800</xdr:rowOff>
    </xdr:to>
    <xdr:graphicFrame macro="">
      <xdr:nvGraphicFramePr>
        <xdr:cNvPr id="5" name="Model 5">
          <a:extLst>
            <a:ext uri="{FF2B5EF4-FFF2-40B4-BE49-F238E27FC236}">
              <a16:creationId xmlns:a16="http://schemas.microsoft.com/office/drawing/2014/main" id="{168FA822-F8C1-4183-A114-55E4BB2DCF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41275</xdr:colOff>
      <xdr:row>20</xdr:row>
      <xdr:rowOff>0</xdr:rowOff>
    </xdr:from>
    <xdr:to>
      <xdr:col>16</xdr:col>
      <xdr:colOff>53975</xdr:colOff>
      <xdr:row>20</xdr:row>
      <xdr:rowOff>3098800</xdr:rowOff>
    </xdr:to>
    <xdr:graphicFrame macro="">
      <xdr:nvGraphicFramePr>
        <xdr:cNvPr id="6" name="Model 4" hidden="1">
          <a:extLst>
            <a:ext uri="{FF2B5EF4-FFF2-40B4-BE49-F238E27FC236}">
              <a16:creationId xmlns:a16="http://schemas.microsoft.com/office/drawing/2014/main" id="{2069B657-72E6-4CC3-B4F6-F08450E768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41275</xdr:colOff>
      <xdr:row>20</xdr:row>
      <xdr:rowOff>0</xdr:rowOff>
    </xdr:from>
    <xdr:to>
      <xdr:col>16</xdr:col>
      <xdr:colOff>53975</xdr:colOff>
      <xdr:row>20</xdr:row>
      <xdr:rowOff>3098800</xdr:rowOff>
    </xdr:to>
    <xdr:graphicFrame macro="">
      <xdr:nvGraphicFramePr>
        <xdr:cNvPr id="7" name="Model 3" hidden="1">
          <a:extLst>
            <a:ext uri="{FF2B5EF4-FFF2-40B4-BE49-F238E27FC236}">
              <a16:creationId xmlns:a16="http://schemas.microsoft.com/office/drawing/2014/main" id="{1FE53856-0A5D-4B26-835D-09AE02E842A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41275</xdr:colOff>
      <xdr:row>20</xdr:row>
      <xdr:rowOff>0</xdr:rowOff>
    </xdr:from>
    <xdr:to>
      <xdr:col>16</xdr:col>
      <xdr:colOff>53975</xdr:colOff>
      <xdr:row>20</xdr:row>
      <xdr:rowOff>3098800</xdr:rowOff>
    </xdr:to>
    <xdr:graphicFrame macro="">
      <xdr:nvGraphicFramePr>
        <xdr:cNvPr id="8" name="Model 1" hidden="1">
          <a:extLst>
            <a:ext uri="{FF2B5EF4-FFF2-40B4-BE49-F238E27FC236}">
              <a16:creationId xmlns:a16="http://schemas.microsoft.com/office/drawing/2014/main" id="{4D6C98CC-4320-4B84-9DDD-87432BCE2B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41275</xdr:colOff>
      <xdr:row>20</xdr:row>
      <xdr:rowOff>0</xdr:rowOff>
    </xdr:from>
    <xdr:to>
      <xdr:col>16</xdr:col>
      <xdr:colOff>53975</xdr:colOff>
      <xdr:row>20</xdr:row>
      <xdr:rowOff>3098800</xdr:rowOff>
    </xdr:to>
    <xdr:graphicFrame macro="">
      <xdr:nvGraphicFramePr>
        <xdr:cNvPr id="9" name="Model 2" hidden="1">
          <a:extLst>
            <a:ext uri="{FF2B5EF4-FFF2-40B4-BE49-F238E27FC236}">
              <a16:creationId xmlns:a16="http://schemas.microsoft.com/office/drawing/2014/main" id="{5F005F21-312D-48AB-A354-F5F78EE1621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127000</xdr:colOff>
      <xdr:row>22</xdr:row>
      <xdr:rowOff>0</xdr:rowOff>
    </xdr:from>
    <xdr:to>
      <xdr:col>6</xdr:col>
      <xdr:colOff>892175</xdr:colOff>
      <xdr:row>22</xdr:row>
      <xdr:rowOff>3098800</xdr:rowOff>
    </xdr:to>
    <xdr:graphicFrame macro="">
      <xdr:nvGraphicFramePr>
        <xdr:cNvPr id="2" name="Chart 1">
          <a:extLst>
            <a:ext uri="{FF2B5EF4-FFF2-40B4-BE49-F238E27FC236}">
              <a16:creationId xmlns:a16="http://schemas.microsoft.com/office/drawing/2014/main" id="{386368BB-3BC0-4D64-AE5C-856E0C2745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127000</xdr:colOff>
      <xdr:row>23</xdr:row>
      <xdr:rowOff>0</xdr:rowOff>
    </xdr:from>
    <xdr:to>
      <xdr:col>6</xdr:col>
      <xdr:colOff>892175</xdr:colOff>
      <xdr:row>23</xdr:row>
      <xdr:rowOff>3098800</xdr:rowOff>
    </xdr:to>
    <xdr:graphicFrame macro="">
      <xdr:nvGraphicFramePr>
        <xdr:cNvPr id="3" name="Chart 2">
          <a:extLst>
            <a:ext uri="{FF2B5EF4-FFF2-40B4-BE49-F238E27FC236}">
              <a16:creationId xmlns:a16="http://schemas.microsoft.com/office/drawing/2014/main" id="{FBE423ED-0563-4AE2-8E33-F620D59AB6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127000</xdr:colOff>
      <xdr:row>24</xdr:row>
      <xdr:rowOff>0</xdr:rowOff>
    </xdr:from>
    <xdr:to>
      <xdr:col>6</xdr:col>
      <xdr:colOff>892175</xdr:colOff>
      <xdr:row>24</xdr:row>
      <xdr:rowOff>3098800</xdr:rowOff>
    </xdr:to>
    <xdr:graphicFrame macro="">
      <xdr:nvGraphicFramePr>
        <xdr:cNvPr id="4" name="Chart 3">
          <a:extLst>
            <a:ext uri="{FF2B5EF4-FFF2-40B4-BE49-F238E27FC236}">
              <a16:creationId xmlns:a16="http://schemas.microsoft.com/office/drawing/2014/main" id="{F5C9A429-05B5-435B-A7A2-2A5C2C4D36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7</xdr:col>
      <xdr:colOff>41275</xdr:colOff>
      <xdr:row>22</xdr:row>
      <xdr:rowOff>0</xdr:rowOff>
    </xdr:from>
    <xdr:to>
      <xdr:col>16</xdr:col>
      <xdr:colOff>53975</xdr:colOff>
      <xdr:row>22</xdr:row>
      <xdr:rowOff>3098800</xdr:rowOff>
    </xdr:to>
    <xdr:graphicFrame macro="">
      <xdr:nvGraphicFramePr>
        <xdr:cNvPr id="5" name="Model 4">
          <a:extLst>
            <a:ext uri="{FF2B5EF4-FFF2-40B4-BE49-F238E27FC236}">
              <a16:creationId xmlns:a16="http://schemas.microsoft.com/office/drawing/2014/main" id="{3602E9E1-369A-4FA6-B7DA-7FC03FBBA8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7</xdr:col>
      <xdr:colOff>41275</xdr:colOff>
      <xdr:row>22</xdr:row>
      <xdr:rowOff>0</xdr:rowOff>
    </xdr:from>
    <xdr:to>
      <xdr:col>16</xdr:col>
      <xdr:colOff>53975</xdr:colOff>
      <xdr:row>22</xdr:row>
      <xdr:rowOff>3098800</xdr:rowOff>
    </xdr:to>
    <xdr:graphicFrame macro="">
      <xdr:nvGraphicFramePr>
        <xdr:cNvPr id="6" name="Model 2" hidden="1">
          <a:extLst>
            <a:ext uri="{FF2B5EF4-FFF2-40B4-BE49-F238E27FC236}">
              <a16:creationId xmlns:a16="http://schemas.microsoft.com/office/drawing/2014/main" id="{6E00E69A-1242-40B3-8F0C-2E6303D43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7</xdr:col>
      <xdr:colOff>41275</xdr:colOff>
      <xdr:row>22</xdr:row>
      <xdr:rowOff>0</xdr:rowOff>
    </xdr:from>
    <xdr:to>
      <xdr:col>16</xdr:col>
      <xdr:colOff>53975</xdr:colOff>
      <xdr:row>22</xdr:row>
      <xdr:rowOff>3098800</xdr:rowOff>
    </xdr:to>
    <xdr:graphicFrame macro="">
      <xdr:nvGraphicFramePr>
        <xdr:cNvPr id="7" name="Model 3" hidden="1">
          <a:extLst>
            <a:ext uri="{FF2B5EF4-FFF2-40B4-BE49-F238E27FC236}">
              <a16:creationId xmlns:a16="http://schemas.microsoft.com/office/drawing/2014/main" id="{BAB96BCE-C74D-4F8D-84C0-33421AAEAE8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7</xdr:col>
      <xdr:colOff>41275</xdr:colOff>
      <xdr:row>22</xdr:row>
      <xdr:rowOff>0</xdr:rowOff>
    </xdr:from>
    <xdr:to>
      <xdr:col>16</xdr:col>
      <xdr:colOff>53975</xdr:colOff>
      <xdr:row>22</xdr:row>
      <xdr:rowOff>3098800</xdr:rowOff>
    </xdr:to>
    <xdr:graphicFrame macro="">
      <xdr:nvGraphicFramePr>
        <xdr:cNvPr id="8" name="Model 7" hidden="1">
          <a:extLst>
            <a:ext uri="{FF2B5EF4-FFF2-40B4-BE49-F238E27FC236}">
              <a16:creationId xmlns:a16="http://schemas.microsoft.com/office/drawing/2014/main" id="{05A2226F-1432-4AE7-8962-2056797BD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oneCell">
    <xdr:from>
      <xdr:col>7</xdr:col>
      <xdr:colOff>41275</xdr:colOff>
      <xdr:row>22</xdr:row>
      <xdr:rowOff>0</xdr:rowOff>
    </xdr:from>
    <xdr:to>
      <xdr:col>16</xdr:col>
      <xdr:colOff>53975</xdr:colOff>
      <xdr:row>22</xdr:row>
      <xdr:rowOff>3098800</xdr:rowOff>
    </xdr:to>
    <xdr:graphicFrame macro="">
      <xdr:nvGraphicFramePr>
        <xdr:cNvPr id="9" name="Model 6" hidden="1">
          <a:extLst>
            <a:ext uri="{FF2B5EF4-FFF2-40B4-BE49-F238E27FC236}">
              <a16:creationId xmlns:a16="http://schemas.microsoft.com/office/drawing/2014/main" id="{DF3A8981-B1F7-4FF0-83F1-8C2ED2324F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DFC8607-D123-45BF-B706-A2BF3D705362}" name="Table1" displayName="Table1" ref="A1:I37" totalsRowShown="0" headerRowDxfId="240" dataDxfId="239" headerRowCellStyle="Comma" dataCellStyle="Comma">
  <autoFilter ref="A1:I37" xr:uid="{B696157C-75B6-4504-9615-98E426E5EDAB}"/>
  <tableColumns count="9">
    <tableColumn id="1" xr3:uid="{6EF2B8A9-55C8-4374-8BFB-9AE49F987631}" name="Date" dataDxfId="238"/>
    <tableColumn id="2" xr3:uid="{0B9C36FE-A10C-436D-A664-C44A0D844324}" name="Electricity (kwh)" dataDxfId="237" dataCellStyle="Comma"/>
    <tableColumn id="3" xr3:uid="{C574EF60-FE4E-44D4-9101-7BA6490E70D0}" name="Electricity (MMBTU)" dataDxfId="236" dataCellStyle="Comma"/>
    <tableColumn id="4" xr3:uid="{11346F4A-088E-4C5A-8135-020297761600}" name="Natural Gas (therms)" dataDxfId="235" dataCellStyle="Comma"/>
    <tableColumn id="5" xr3:uid="{CDC01B44-52AD-45DA-98E9-D10805A44810}" name="Natural Gas (MMBTU)" dataDxfId="234" dataCellStyle="Comma"/>
    <tableColumn id="6" xr3:uid="{04912796-6AF9-43F3-B2B5-052ACFF64B0C}" name="Production" dataDxfId="233" dataCellStyle="Comma"/>
    <tableColumn id="7" xr3:uid="{16CFA3AE-DA05-496C-99D5-7AF58D488E9D}" name="HDD" dataDxfId="232" dataCellStyle="Comma"/>
    <tableColumn id="8" xr3:uid="{82D76BF6-31D5-4C91-BA3A-8A1307A2395C}" name="CDD" dataDxfId="231" dataCellStyle="Comma"/>
    <tableColumn id="9" xr3:uid="{89120A3A-8376-442C-8063-5F9F7BD2BEB8}" name="Period" dataDxfId="230" dataCellStyle="Comma"/>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C1067CF-02E6-4112-B455-F980FB32139F}" name="AnnualTable10" displayName="AnnualTable10" ref="A5:C17" totalsRowShown="0" headerRowDxfId="136" dataDxfId="135" dataCellStyle="Comma">
  <autoFilter ref="A5:C17" xr:uid="{3E95C1EB-ED51-41B7-B1E2-279923F09DAD}"/>
  <tableColumns count="3">
    <tableColumn id="1" xr3:uid="{1BA967E8-77A8-4678-8028-823675560358}" name=" " dataDxfId="134" dataCellStyle="Comma"/>
    <tableColumn id="2" xr3:uid="{478FB7E6-3B00-4C57-8CF7-234C0588F71A}" name="2007" dataDxfId="133" dataCellStyle="Comma">
      <calculatedColumnFormula>SUMIF(DetailTable6[Period],AnnualTable10[#Headers],DetailTable6[Electricity (MMBTU)])</calculatedColumnFormula>
    </tableColumn>
    <tableColumn id="3" xr3:uid="{FFE90E48-415C-4011-A4A0-84E24571161D}" name="2009" dataDxfId="132" dataCellStyle="Comma">
      <calculatedColumnFormula>SUMIF(DetailTable6[Period],AnnualTable10[#Headers],DetailTable6[Electricity (MMBTU)])</calculatedColumnFormula>
    </tableColumn>
  </tableColumns>
  <tableStyleInfo name="TableStyleMedium4"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71AE741-0A42-45CB-9B0D-BA9B65B659D0}" name="SEPFacilityIdentificationData Table11" displayName="SEPFacilityIdentificationData_Table11" ref="E5:F12" totalsRowShown="0" headerRowDxfId="131" dataDxfId="130">
  <tableColumns count="2">
    <tableColumn id="1" xr3:uid="{77B0BC4D-8F42-498B-AFA6-68B58083BA52}" name="Facility identifying information" dataDxfId="129"/>
    <tableColumn id="2" xr3:uid="{A5B2D02D-22AF-4256-8C79-1BD15288FE80}" name="  " dataDxfId="128"/>
  </tableColumns>
  <tableStyleInfo name="TableStyleMedium4"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FB388CF1-E9C2-43E5-BF23-A8DC11AD382A}" name="ModelTable12" displayName="ModelTable12" ref="A29:I30" insertRow="1" totalsRowShown="0" headerRowDxfId="127" dataDxfId="126">
  <autoFilter ref="A29:I30" xr:uid="{5C8D2A1F-3523-4C28-A361-EFC612D333AF}"/>
  <tableColumns count="9">
    <tableColumn id="1" xr3:uid="{08BE1EFB-CC9D-435B-8B3D-F08F93BDC967}" name="Energy Use" dataDxfId="125"/>
    <tableColumn id="2" xr3:uid="{5AB91847-6E21-418D-A7E5-55CA4DF9BB05}" name="Model is Appropriate for SEP" dataDxfId="124"/>
    <tableColumn id="3" xr3:uid="{F18B4A3E-33ED-4C2D-8231-FED09BAEEBDE}" name="Relevant Variables" dataDxfId="123"/>
    <tableColumn id="4" xr3:uid="{60FED325-B6E9-4BE5-A9C0-2B3773006377}" name="SEP Validation Check" dataDxfId="122"/>
    <tableColumn id="5" xr3:uid="{708DC681-8748-41A1-A8B8-B3A5F03FAD22}" name="Variable p-Values" dataDxfId="121"/>
    <tableColumn id="6" xr3:uid="{E46FF685-7992-40F5-A6DB-F4A14557B567}" name="R2" dataDxfId="120"/>
    <tableColumn id="7" xr3:uid="{C3579A0C-F644-4602-98DC-889A0C04508F}" name="Adjusted R2" dataDxfId="119"/>
    <tableColumn id="8" xr3:uid="{DA115174-0386-4743-AC6A-C2899E1CDC4F}" name="Model p-Value" dataDxfId="118"/>
    <tableColumn id="9" xr3:uid="{8353E0F1-FC1B-477A-A10B-103B10CC77A1}" name="Formula" dataDxfId="117"/>
  </tableColumns>
  <tableStyleInfo name="TableStyleMedium4"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6D63307A-92A9-4493-90ED-C0E8C2C654B1}" name="AnnualTable15" displayName="AnnualTable15" ref="A4:D15" totalsRowShown="0" headerRowDxfId="97" dataDxfId="96" dataCellStyle="Comma">
  <autoFilter ref="A4:D15" xr:uid="{BC9702BA-7ECB-4F80-BBDA-B8B7B765F27E}"/>
  <tableColumns count="4">
    <tableColumn id="1" xr3:uid="{AB570575-8EB0-4E99-934E-C9C884D6B0B2}" name=" " dataDxfId="95" dataCellStyle="Comma"/>
    <tableColumn id="2" xr3:uid="{C5C38AB7-E966-4E97-8D4A-A0D29FC1CAE4}" name="2007" dataDxfId="94" dataCellStyle="Comma">
      <calculatedColumnFormula>SUMIF(DetailTable14[Period],AnnualTable15[#Headers],DetailTable14[Electricity (MMBTU)])</calculatedColumnFormula>
    </tableColumn>
    <tableColumn id="3" xr3:uid="{B18ABFB6-4E0E-43A1-9A65-28D12843B009}" name="2008" dataDxfId="93" dataCellStyle="Comma">
      <calculatedColumnFormula>SUMIF(DetailTable14[Period],AnnualTable15[#Headers],DetailTable14[Electricity (MMBTU)])</calculatedColumnFormula>
    </tableColumn>
    <tableColumn id="4" xr3:uid="{5E9FB763-024D-40C2-B610-3A17A4F630BE}" name="2009" dataDxfId="92" dataCellStyle="Comma">
      <calculatedColumnFormula>SUMIF(DetailTable14[Period],AnnualTable15[#Headers],DetailTable14[Electricity (MMBTU)])</calculatedColumnFormula>
    </tableColumn>
  </tableColumns>
  <tableStyleInfo name="TableStyleMedium4"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D433B9F4-3EE6-4860-BCF7-0186D73D44B6}" name="DetailTable14" displayName="DetailTable14" ref="A14:R50" headerRowDxfId="116">
  <autoFilter ref="A14:R50" xr:uid="{613A57A7-A68A-403F-822F-1C74D01925AE}"/>
  <tableColumns count="18">
    <tableColumn id="1" xr3:uid="{40B14853-3610-4B58-97DD-43D3B5728F0D}" name="Date" dataDxfId="115"/>
    <tableColumn id="2" xr3:uid="{4B722E0B-D8C0-4EF4-9C7E-B6BAF92C7983}" name="Electricity (kwh)" dataDxfId="114"/>
    <tableColumn id="3" xr3:uid="{95477E8C-E1E5-4DA4-AF08-E4BD1FEDF638}" name="Electricity (MMBTU)" dataDxfId="113"/>
    <tableColumn id="4" xr3:uid="{D0F8D09A-0233-499B-93B7-3DE159D4FFC6}" name="Natural Gas (therms)" dataDxfId="112"/>
    <tableColumn id="5" xr3:uid="{5817D30D-B27E-409A-9016-09E5AFE3BD64}" name="Natural Gas (MMBTU)" dataDxfId="111"/>
    <tableColumn id="6" xr3:uid="{9E938BDB-7A6F-42A6-8538-435750FBCEC7}" name="Production" dataDxfId="110"/>
    <tableColumn id="7" xr3:uid="{0EB406D1-CCA3-4B90-AD54-795270B2528D}" name="HDD" dataDxfId="109"/>
    <tableColumn id="8" xr3:uid="{8F242411-CF8A-47FA-9D95-B24990F861C4}" name="CDD" dataDxfId="108"/>
    <tableColumn id="9" xr3:uid="{6E24578E-8EA9-44FB-83F4-5445A5821047}" name="Period" dataDxfId="107"/>
    <tableColumn id="10" xr3:uid="{C43DB3FB-D82B-4582-9C8E-754877926629}" name="TOTAL  (MMBTU)" totalsRowFunction="sum" dataDxfId="106">
      <calculatedColumnFormula>DetailTable14[Electricity (MMBTU)]+DetailTable14[Natural Gas (MMBTU)]</calculatedColumnFormula>
    </tableColumn>
    <tableColumn id="11" xr3:uid="{DAD174F8-1DEB-4037-BDBD-D2A728116DD0}" name="Total Production" dataDxfId="105">
      <calculatedColumnFormula>SUM(SUMIFS(DetailTable14[Production],DetailTable14[Period],DetailTable14[Period]))</calculatedColumnFormula>
    </tableColumn>
    <tableColumn id="12" xr3:uid="{E9B521D9-8FF0-41B3-AD49-45CCFC554FE7}" name="Baseline Year" dataDxfId="104"/>
    <tableColumn id="13" xr3:uid="{8E9C0C2C-412A-43D7-B3D4-CAD0254F9823}" name="Model Year" dataDxfId="103"/>
    <tableColumn id="14" xr3:uid="{4147FEA0-82FD-4DED-94EB-E829957AFFF3}" name="Period Count" dataDxfId="102">
      <calculatedColumnFormula>IF(OFFSET(INDIRECT(ADDRESS(ROW(),COLUMN(DetailTable14[Period]))),-1,0,1,1) = OFFSET(INDIRECT(ADDRESS(ROW(),COLUMN(DetailTable14[Period]))),0,0,1,1),OFFSET(INDIRECT(ADDRESS(ROW(),COLUMN())),-1,0,1,1) + 1,1)</calculatedColumnFormula>
    </tableColumn>
    <tableColumn id="15" xr3:uid="{27364880-279D-4D0B-8064-6ECD7DB3CBB0}" name="Baseline Count" dataDxfId="101">
      <calculatedColumnFormula>IF(DetailTable14[Period] = DetailTable14[Baseline Year],IF(OFFSET(INDIRECT(ADDRESS(ROW(),COLUMN(DetailTable14[Period]))),-1,0,1,1) = OFFSET(INDIRECT(ADDRESS(ROW(),COLUMN(DetailTable14[Period]))),0,0,1,1),OFFSET(INDIRECT(ADDRESS(ROW(),COLUMN())),-1,0,1,1) + 1,1),0)</calculatedColumnFormula>
    </tableColumn>
    <tableColumn id="16" xr3:uid="{80168CAF-6476-47A9-A6A1-4818D536B348}" name="Energy Savings: Electricity (MMBTU)" dataDxfId="100">
      <calculatedColumnFormula>IF(DetailTable14[Period]=DetailTable14[Baseline Year],DetailTable14[Electricity (MMBTU)],IF(DetailTable14[Period Count] &lt;= MAX(DetailTable14[Baseline Count]),INDEX(DetailTable14[],DetailTable14[Period Count],COLUMN(DetailTable14[Electricity (MMBTU)])),DetailTable14[Electricity (MMBTU)]))-DetailTable14[Electricity (MMBTU)]</calculatedColumnFormula>
    </tableColumn>
    <tableColumn id="17" xr3:uid="{295FFDF9-61C0-4DB0-99E4-0A0CF3170D65}" name="Energy Savings: Natural Gas (MMBTU)" dataDxfId="99">
      <calculatedColumnFormula>IF(DetailTable14[Period]=DetailTable14[Baseline Year],DetailTable14[Natural Gas (MMBTU)],IF(DetailTable14[Period Count] &lt;= MAX(DetailTable14[Baseline Count]),INDEX(DetailTable14[],DetailTable14[Period Count],COLUMN(DetailTable14[Natural Gas (MMBTU)])),DetailTable14[Natural Gas (MMBTU)]))-DetailTable14[Natural Gas (MMBTU)]</calculatedColumnFormula>
    </tableColumn>
    <tableColumn id="18" xr3:uid="{E5CFB149-9F66-446D-A362-BF51FDEB874A}" name="Energy Savings: TOTAL  (MMBTU)" dataDxfId="98">
      <calculatedColumnFormula>IF(DetailTable14[Period]=DetailTable14[Baseline Year],DetailTable14[TOTAL  (MMBTU)],IF(DetailTable14[Period Count] &lt;= MAX(DetailTable14[Baseline Count]),INDEX(DetailTable14[],DetailTable14[Period Count],COLUMN(DetailTable14[TOTAL  (MMBTU)])),DetailTable14[TOTAL  (MMBTU)]))-DetailTable14[TOTAL  (MMBTU)]</calculatedColumnFormula>
    </tableColumn>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78FE8B0-40B3-4E95-8407-947093DB3352}" name="Table13" displayName="Table13" ref="A6:N18" totalsRowShown="0" tableBorderDxfId="91">
  <autoFilter ref="A6:N18" xr:uid="{09DFC08E-3F85-4983-82E6-2BA6E7B3269C}"/>
  <tableColumns count="14">
    <tableColumn id="1" xr3:uid="{439071CA-ACB0-488F-82A5-F2B181F04548}" name="Model Number"/>
    <tableColumn id="2" xr3:uid="{F79269AF-D304-460D-A599-6869D64408B3}" name="Model is Appropriate for SEP"/>
    <tableColumn id="3" xr3:uid="{177575DC-06D6-4ECA-A102-0EFE3F8E5992}" name="Variables"/>
    <tableColumn id="4" xr3:uid="{0BD8964A-E7EB-4A00-8D03-AF12DE7E54B2}" name="SEP Validation Check"/>
    <tableColumn id="5" xr3:uid="{B8D7147C-051E-449F-AF3E-D0ED91AA5C82}" name="Coefficients"/>
    <tableColumn id="6" xr3:uid="{2D18891D-0D24-40DB-9EBA-99C8778A8BF3}" name="Variable Std. Error"/>
    <tableColumn id="7" xr3:uid="{EAE9B410-251B-46AC-86D2-6B4AF0B9BFF4}" name="Variable p-Values" dataDxfId="87"/>
    <tableColumn id="8" xr3:uid="{066490C6-5601-475D-8C62-CEB3D9F438E7}" name="R2" dataDxfId="85"/>
    <tableColumn id="9" xr3:uid="{831C0C22-9A37-463D-BDD0-110A606CDDC9}" name="Adjusted R2" dataDxfId="83"/>
    <tableColumn id="10" xr3:uid="{2FF25AEB-603A-452E-AE88-BFA3B91CAE3A}" name="Model p-Value" dataDxfId="82"/>
    <tableColumn id="11" xr3:uid="{191F4BFB-63F2-4ADA-B988-C66FF9B289B2}" name="RMSError"/>
    <tableColumn id="12" xr3:uid="{20E72139-1DA4-4EFD-BD4D-8D2B9E34E412}" name="Residual"/>
    <tableColumn id="13" xr3:uid="{8F5D8B43-799A-45D6-8C64-F20DAF800063}" name="AIC"/>
    <tableColumn id="14" xr3:uid="{19A8D57C-1829-47EF-B56C-C93F411E70AE}" name="Formula"/>
  </tableColumns>
  <tableStyleInfo name="TableStyleLight8" showFirstColumn="0" showLastColumn="0" showRowStripes="0"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755D684F-10FC-4482-934E-6824146927A7}" name="Table18" displayName="Table18" ref="A25:N32" totalsRowShown="0" tableBorderDxfId="90">
  <autoFilter ref="A25:N32" xr:uid="{758FACE5-DC25-4C8C-987E-0D54CB53C3AE}"/>
  <tableColumns count="14">
    <tableColumn id="1" xr3:uid="{C54499AF-75A1-4BDB-AD82-F55D8D76C939}" name="Model Number" dataDxfId="89"/>
    <tableColumn id="2" xr3:uid="{FB704FC8-E7ED-4FC4-AE2C-995C3BAC32A9}" name="Model is Appropriate for SEP"/>
    <tableColumn id="3" xr3:uid="{B500DB9F-254D-4DEB-939A-CCAF8B54D122}" name="Variables"/>
    <tableColumn id="4" xr3:uid="{BE87157E-F0AA-4627-A091-39E3F14E17FA}" name="SEP Validation Check"/>
    <tableColumn id="5" xr3:uid="{073444DD-BB3A-45D2-883F-1707314A19D5}" name="Coefficients"/>
    <tableColumn id="6" xr3:uid="{7218AB69-9D51-41DC-B114-BCC6A05C98E7}" name="Variable Std. Error"/>
    <tableColumn id="7" xr3:uid="{484D9FE2-536C-40C2-92CA-5385E2576157}" name="Variable p-Values" dataDxfId="86"/>
    <tableColumn id="8" xr3:uid="{06B0EDC5-2150-44E2-9E40-8B15ECC628E5}" name="R2" dataDxfId="84"/>
    <tableColumn id="9" xr3:uid="{992F842C-71B2-48F2-A1F0-772764399EA8}" name="Adjusted R2" dataDxfId="81"/>
    <tableColumn id="10" xr3:uid="{BD16C017-9BD9-40E3-B38C-AC1049B9CEDE}" name="Model p-Value" dataDxfId="80"/>
    <tableColumn id="11" xr3:uid="{AF595169-3BB4-4938-8C64-E6A37679E045}" name="RMSError"/>
    <tableColumn id="12" xr3:uid="{235735B8-FCE1-40F6-8CA2-C55F7A63F7D3}" name="Residual"/>
    <tableColumn id="13" xr3:uid="{CD4BFB15-D810-496D-8046-B92DF1AC19EB}" name="AIC"/>
    <tableColumn id="14" xr3:uid="{2C7EAF2D-3B73-4638-8547-DA839DAD28BA}" name="Formula" dataDxfId="88"/>
  </tableColumns>
  <tableStyleInfo name="TableStyleLight8" showFirstColumn="0" showLastColumn="0" showRowStripes="0"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5BDA538-90A8-4525-992F-96874578E205}" name="Table19" displayName="Table19" ref="A6:N20" totalsRowShown="0" tableBorderDxfId="79">
  <autoFilter ref="A6:N20" xr:uid="{A3A9A29B-113C-46A2-99EA-A77EF9F4F071}"/>
  <tableColumns count="14">
    <tableColumn id="1" xr3:uid="{D2EED4C1-9ADA-4128-8598-F1A6F3D78AEF}" name="Model Number" dataDxfId="78"/>
    <tableColumn id="2" xr3:uid="{4B458823-198C-492A-B070-2D5439EEE19F}" name="Model is Appropriate for SEP"/>
    <tableColumn id="3" xr3:uid="{12FE7DA0-51E0-4E54-9AE4-2A5D3F1254D3}" name="Variables"/>
    <tableColumn id="4" xr3:uid="{2BAC8F9C-E2FD-44B7-A493-D0A00A6F98DB}" name="SEP Validation Check"/>
    <tableColumn id="5" xr3:uid="{8101F26E-BCD2-4EA9-B3B8-FBD553AA80D6}" name="Coefficients"/>
    <tableColumn id="6" xr3:uid="{7022EAEA-536D-4013-98C7-126909DF54DC}" name="Variable Std. Error"/>
    <tableColumn id="7" xr3:uid="{4CCC48AD-9171-4933-9C6A-60968F7EDF4C}" name="Variable p-Values" dataDxfId="75"/>
    <tableColumn id="8" xr3:uid="{E1F751FE-E0A2-4F1B-8FA6-DC6A862DCADB}" name="R2" dataDxfId="73"/>
    <tableColumn id="9" xr3:uid="{D99F845A-7F01-4F84-9B6B-EE2ADE9A95A6}" name="Adjusted R2" dataDxfId="71"/>
    <tableColumn id="10" xr3:uid="{3112D985-0F03-4DFF-ACB4-E0A8E9970C42}" name="Model p-Value" dataDxfId="70"/>
    <tableColumn id="11" xr3:uid="{B9F664DD-143E-4484-AA22-D0093C980D8A}" name="RMSError"/>
    <tableColumn id="12" xr3:uid="{7E040C4C-F894-4D77-BC39-9AA6E8E7CCED}" name="Residual"/>
    <tableColumn id="13" xr3:uid="{316B76E1-C043-4989-BCF1-5E452B3092E7}" name="AIC"/>
    <tableColumn id="14" xr3:uid="{6E6B0D40-3985-4AEE-8755-16EF1C4FD592}" name="Formula" dataDxfId="77"/>
  </tableColumns>
  <tableStyleInfo name="TableStyleLight8" showFirstColumn="0" showLastColumn="0" showRowStripes="0"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CDCB941F-038A-4DF1-8B09-17EB60C80AC6}" name="Table20" displayName="Table20" ref="A27:N32" totalsRowShown="0" tableBorderDxfId="76">
  <autoFilter ref="A27:N32" xr:uid="{58109422-2447-4A9D-8267-0F1BFF370FDB}"/>
  <tableColumns count="14">
    <tableColumn id="1" xr3:uid="{536DA605-1D8D-4941-B506-F759C6886245}" name="Model Number"/>
    <tableColumn id="2" xr3:uid="{F292888C-68CB-42D2-9C26-B300F450D401}" name="Model is Appropriate for SEP"/>
    <tableColumn id="3" xr3:uid="{3A0FDB5C-8AA5-4647-A71F-66CA88D6B0E7}" name="Variables"/>
    <tableColumn id="4" xr3:uid="{BA974063-BE5F-45DF-AFB0-BA141B78D157}" name="SEP Validation Check"/>
    <tableColumn id="5" xr3:uid="{E2C4EDD7-990F-4A3A-8BD6-29062F65B378}" name="Coefficients"/>
    <tableColumn id="6" xr3:uid="{FE5894BA-9FCD-4F98-91A1-66CFA4F72FB1}" name="Variable Std. Error"/>
    <tableColumn id="7" xr3:uid="{18497580-580B-401A-90CE-A05A728465A1}" name="Variable p-Values" dataDxfId="74"/>
    <tableColumn id="8" xr3:uid="{C10D0DA9-5D80-4B21-85B6-A85294ADC8A4}" name="R2" dataDxfId="72"/>
    <tableColumn id="9" xr3:uid="{03FFC748-281E-4082-A63A-2AD886DE5CED}" name="Adjusted R2" dataDxfId="69"/>
    <tableColumn id="10" xr3:uid="{C70CA85A-942F-4B94-AE80-8EBC7A8065AE}" name="Model p-Value" dataDxfId="68"/>
    <tableColumn id="11" xr3:uid="{132D7C0F-50FB-4B16-8A88-7ECB85675512}" name="RMSError"/>
    <tableColumn id="12" xr3:uid="{0A93522D-19F0-404A-B109-77ADD94A326E}" name="Residual"/>
    <tableColumn id="13" xr3:uid="{C992C068-F709-41BF-B6B4-2FA3F7D233B8}" name="AIC"/>
    <tableColumn id="14" xr3:uid="{A3862FAE-BC05-4A0C-88DF-74C29B0E4881}" name="Formula"/>
  </tableColumns>
  <tableStyleInfo name="TableStyleLight8" showFirstColumn="0" showLastColumn="0" showRowStripes="0"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4ECDB57-7F5C-44C2-A567-ED4303AB0034}" name="DetailTable21" displayName="DetailTable21" ref="A14:AF50" headerRowDxfId="44">
  <autoFilter ref="A14:AF50" xr:uid="{F79FAEB2-2809-4FCA-89EB-8AA4B7CCC247}"/>
  <tableColumns count="32">
    <tableColumn id="1" xr3:uid="{383D4718-CDA4-4D15-8AD8-137B022BC4F2}" name="Date" dataDxfId="45"/>
    <tableColumn id="2" xr3:uid="{4AF707F3-C0D3-4CAB-B468-3F0DF8059272}" name="Electricity (kwh)" dataDxfId="46"/>
    <tableColumn id="3" xr3:uid="{573337B7-4F38-447D-B21A-212D45E9C207}" name="Electricity (MMBTU)" dataDxfId="65"/>
    <tableColumn id="4" xr3:uid="{1961DE96-FCA9-4420-91C0-193C48600B69}" name="Natural Gas (therms)" dataDxfId="64"/>
    <tableColumn id="5" xr3:uid="{3E26A73B-9D04-457D-B6AC-0994FFC57E66}" name="Natural Gas (MMBTU)" dataDxfId="63"/>
    <tableColumn id="6" xr3:uid="{9AF506D8-E186-4D1F-A7EA-F2ABDA80F7B1}" name="Production" dataDxfId="62"/>
    <tableColumn id="7" xr3:uid="{41C02D91-5253-4F0B-ACF9-CAD9F9F4039C}" name="HDD" dataDxfId="61"/>
    <tableColumn id="8" xr3:uid="{93629164-9EA0-4E55-A65E-97E53DDD481D}" name="CDD" dataDxfId="60"/>
    <tableColumn id="9" xr3:uid="{39FED5EF-E45B-409B-AF08-C1F1169F8D69}" name="Period" dataDxfId="59"/>
    <tableColumn id="10" xr3:uid="{8FF6C0A9-A5ED-4674-A518-FB9CED2443A6}" name="TOTAL  (MMBTU)" totalsRowFunction="sum" dataDxfId="58">
      <calculatedColumnFormula>DetailTable21[Electricity (MMBTU)]+DetailTable21[Natural Gas (MMBTU)]</calculatedColumnFormula>
    </tableColumn>
    <tableColumn id="11" xr3:uid="{44C21736-613E-4440-8F37-CED5B081507C}" name="Total Production" dataDxfId="57">
      <calculatedColumnFormula>SUM(SUMIFS(DetailTable21[Production],DetailTable21[Period],DetailTable21[Period]))</calculatedColumnFormula>
    </tableColumn>
    <tableColumn id="12" xr3:uid="{00B16C2A-D563-4FF1-B321-AB1EB46A1D7F}" name="Baseline Year" dataDxfId="56"/>
    <tableColumn id="13" xr3:uid="{75BC142C-BE6C-4928-931B-479573AA3118}" name="Model Year" dataDxfId="55"/>
    <tableColumn id="14" xr3:uid="{A261B461-A1B0-4AAE-B265-39A430D86440}" name="Last Year" dataDxfId="54"/>
    <tableColumn id="15" xr3:uid="{CC19F75D-7BF9-41F0-B650-09FA0903783B}" name="Adjustment Method" dataDxfId="53">
      <calculatedColumnFormula>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calculatedColumnFormula>
    </tableColumn>
    <tableColumn id="16" xr3:uid="{05F8B31A-428A-4C1A-AFD6-06D8E6F7A9F9}" name="Modeled Electricity (MMBTU)" dataDxfId="52" totalsRowDxfId="66">
      <calculatedColumnFormula>(0.121551243906 * DetailTable21[Production]) + (18.032961298995 * DetailTable21[CDD]) + 18050.33</calculatedColumnFormula>
    </tableColumn>
    <tableColumn id="17" xr3:uid="{C93C5DD1-0B4C-41AA-86B7-9A50781C1180}" name="Modeled Natural Gas (MMBTU)" dataDxfId="51" totalsRowDxfId="67">
      <calculatedColumnFormula>(0.045037114005 * DetailTable21[Production]) + (7.320957963031 * DetailTable21[HDD]) + 820.55</calculatedColumnFormula>
    </tableColumn>
    <tableColumn id="18" xr3:uid="{11860A45-B37E-4650-AEED-90A79F1FA5EE}" name="Total Modeled Energy Consumption (MMBTU)" totalsRowFunction="sum" dataDxfId="50">
      <calculatedColumnFormula>DetailTable21[Modeled Electricity (MMBTU)]+DetailTable21[Modeled Natural Gas (MMBTU)]</calculatedColumnFormula>
    </tableColumn>
    <tableColumn id="19" xr3:uid="{293E4A05-F645-488F-8B80-FD065226BCB8}" name="CUSUMHidden" dataDxfId="49">
      <calculatedColumnFormula>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calculatedColumnFormula>
    </tableColumn>
    <tableColumn id="20" xr3:uid="{8CFF2EE4-0F7B-4D40-A561-448148DE7D50}" name="SEP CUSUM" dataDxfId="48">
      <calculatedColumnFormula>IF(DetailTable21[Period]=DetailTable21[Model Year],"",DetailTable21[CUSUMHidden])</calculatedColumnFormula>
    </tableColumn>
    <tableColumn id="21" xr3:uid="{D7774B97-1A9C-4778-9F2C-DA2FA1366C97}" name="Energy Savings: Electricity (MMBTU)" dataDxfId="47">
      <calculatedColumnFormula>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calculatedColumnFormula>
    </tableColumn>
    <tableColumn id="22" xr3:uid="{99A190F7-2A32-4812-98F7-B95868F3619F}" name="Energy Savings: Natural Gas (MMBTU)" dataDxfId="43">
      <calculatedColumnFormula>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calculatedColumnFormula>
    </tableColumn>
    <tableColumn id="23" xr3:uid="{4C2853F2-364D-4B58-A64F-5503445A3C2C}" name="Energy Savings TTM (MMBtu)" dataDxfId="42">
      <calculatedColumnFormula>IF(DetailTable21[Period]&lt;=DetailTable21[Model Year],"N/A",SUM(DetailTable21[[#This Row],[Total Modeled Energy Consumption (MMBTU)]]:OFFSET(DetailTable21[[#This Row],[Total Modeled Energy Consumption (MMBTU)]],-11,0))-SUM(DetailTable21[[#This Row],[TOTAL  (MMBTU)]]:OFFSET(DetailTable21[[#This Row],[TOTAL  (MMBTU)]],-11,0)))</calculatedColumnFormula>
    </tableColumn>
    <tableColumn id="24" xr3:uid="{E7796037-85B6-4314-8F2C-20BB26B55474}" name="For SEP Only: Trailing Twelve Month Energy Performance Indicator" dataDxfId="41">
      <calculatedColumnFormula>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calculatedColumnFormula>
    </tableColumn>
    <tableColumn id="25" xr3:uid="{D2404375-1AC5-4276-AFC5-9D9717816EE2}" name="For SEP Only: Trailing Twelve Month Energy Savings" dataDxfId="40">
      <calculatedColumnFormula>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calculatedColumnFormula>
    </tableColumn>
    <tableColumn id="26" xr3:uid="{E6883E8E-BF31-4A45-A399-EC3568962A7E}" name="For SEP Only: Trailing Twelve Month Actual Energy Consumption" dataDxfId="39">
      <calculatedColumnFormula>IF(DetailTable21[Period]&lt;DetailTable21[Model Year],"N/A",IF((AND(DetailTable21[Period]=DetailTable21[Model Year],DetailTable21[Period] =OFFSET(DetailTable21[[#This Row],[Period]],1,0))),"N/A",SUM(DetailTable21[[#This Row],[TOTAL  (MMBTU)]]:OFFSET(DetailTable21[[#This Row],[TOTAL  (MMBTU)]],-11,0))))</calculatedColumnFormula>
    </tableColumn>
    <tableColumn id="27" xr3:uid="{8F635AC8-E0E4-4E9C-9640-1E03DF2B5CB2}" name="For SEP Only: Trailing Twelve Month Actual Energy Consumption to meet 5% improvement target" dataDxfId="38">
      <calculatedColumnFormula>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calculatedColumnFormula>
    </tableColumn>
    <tableColumn id="28" xr3:uid="{239E3570-13FB-428A-AAAA-A6AABC22A5CF}" name="For SEP Only: Trailing Twelve Month Actual Energy Consumption to meet 10% improvement target" dataDxfId="37">
      <calculatedColumnFormula>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calculatedColumnFormula>
    </tableColumn>
    <tableColumn id="29" xr3:uid="{1941BBB2-9064-440A-A932-6AC4BB42A4FB}" name="For SEP Only: Trailing Twelve Month Actual Energy Consumption to meet 15% improvement target" dataDxfId="36">
      <calculatedColumnFormula>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calculatedColumnFormula>
    </tableColumn>
    <tableColumn id="30" xr3:uid="{B6C7A494-F2E8-4DE8-A5D3-D3D201D0BF67}" name="For SEP Only: Trailing Twelve Month Energy Savings to Meet 5% Improvement" dataDxfId="35">
      <calculatedColumnFormula>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calculatedColumnFormula>
    </tableColumn>
    <tableColumn id="31" xr3:uid="{99B2259D-32F9-4162-8B03-B744E0A9F944}" name="For SEP Only: Trailing Twelve Month Energy Savings to Meet 10% Improvement" dataDxfId="34">
      <calculatedColumnFormula>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calculatedColumnFormula>
    </tableColumn>
    <tableColumn id="32" xr3:uid="{8EEE2CEC-62EA-4469-AF91-D1939C740982}" name="For SEP Only: Trailing Twelve Month Energy Savings to Meet 15% Improvement" dataDxfId="33">
      <calculatedColumnFormula>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calculatedColumnFormula>
    </tableColum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6092BCC-3E14-4AE5-A90D-75B006AB7BAD}" name="Table2" displayName="Table2" ref="A6:N21" totalsRowShown="0" headerRowDxfId="229" dataDxfId="228" tableBorderDxfId="227">
  <autoFilter ref="A6:N21" xr:uid="{2F5CEB6C-CCFA-4814-BA9D-21741345AA79}"/>
  <tableColumns count="14">
    <tableColumn id="1" xr3:uid="{3572DD95-8C10-4E99-BEE8-674B42E60DB5}" name="Model Number" dataDxfId="226"/>
    <tableColumn id="2" xr3:uid="{7A75F01F-AFE6-4DB9-BDB8-138C8ED27236}" name="Model is Appropriate for SEP" dataDxfId="225"/>
    <tableColumn id="3" xr3:uid="{7F20249C-44B6-4348-B65D-A71F17BABCA5}" name="Variables" dataDxfId="224"/>
    <tableColumn id="4" xr3:uid="{F4F4FD63-6046-489C-9290-664099F14246}" name="SEP Validation Check" dataDxfId="223"/>
    <tableColumn id="5" xr3:uid="{15056DE1-3BD6-4E0B-9A90-66643E0BCDF0}" name="Coefficients" dataDxfId="222"/>
    <tableColumn id="6" xr3:uid="{6C8A7359-14FA-4D04-AAF4-CD2BA28E45BD}" name="Variable Std. Error" dataDxfId="221"/>
    <tableColumn id="7" xr3:uid="{A56D1836-F543-444B-A883-A9AB28D20681}" name="Variable p-Values" dataDxfId="220"/>
    <tableColumn id="8" xr3:uid="{F4024C1B-8814-4916-B820-7BCF271AA63B}" name="R2" dataDxfId="219"/>
    <tableColumn id="9" xr3:uid="{E067B3E6-92A8-48A3-A4CC-47DB624582EB}" name="Adjusted R2" dataDxfId="218"/>
    <tableColumn id="10" xr3:uid="{F20C72C6-7B5D-4D21-BE3E-D29A96833065}" name="Model p-Value" dataDxfId="217"/>
    <tableColumn id="11" xr3:uid="{2222D2C0-68E1-4D1F-BC11-B485882DD36A}" name="RMSError" dataDxfId="216"/>
    <tableColumn id="12" xr3:uid="{0A043B73-2C5B-4D41-96DE-16285BDBBC2A}" name="Residual" dataDxfId="215"/>
    <tableColumn id="13" xr3:uid="{743F42BB-EA4A-46B4-9BA4-097446B9C9BF}" name="AIC" dataDxfId="214"/>
    <tableColumn id="14" xr3:uid="{ED97F576-C901-4C49-BDB3-18FCB48A912B}" name="Formula" dataDxfId="213"/>
  </tableColumns>
  <tableStyleInfo name="TableStyleLight8"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C22FE239-D2EF-4299-B02D-78ED415EB8F0}" name="ValidationDetailTable21" displayName="ValidationDetailTable21" ref="A6:E12" totalsRowShown="0" headerRowDxfId="27" dataDxfId="26">
  <autoFilter ref="A6:E12" xr:uid="{88939A10-016A-4477-A504-5B54E286C133}"/>
  <tableColumns count="5">
    <tableColumn id="1" xr3:uid="{9A9BFF67-AC87-4EB1-B9F2-DEABD56A5543}" name="Column1" dataDxfId="32"/>
    <tableColumn id="2" xr3:uid="{BD06046F-BB3F-421F-A04C-C34A55D18A92}" name="Column2" dataDxfId="31"/>
    <tableColumn id="3" xr3:uid="{81042807-3689-425E-BB7B-85310F61E3DC}" name="Production" dataDxfId="30"/>
    <tableColumn id="4" xr3:uid="{5BE45A37-F149-41A0-B83B-1D8A55FE8057}" name="HDD" dataDxfId="29"/>
    <tableColumn id="5" xr3:uid="{D8C91681-F654-4BBA-AC47-0E9B79B3A096}" name="CDD" dataDxfId="28"/>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2E06D5F-063C-4542-B1C5-EB41E7FFB30C}" name="Table28" displayName="Table28" ref="A1:D8" totalsRowShown="0">
  <autoFilter ref="A1:D8" xr:uid="{C0C10C07-F55F-4953-8BD0-AA4AFC054209}"/>
  <tableColumns count="4">
    <tableColumn id="1" xr3:uid="{B43050F8-30DF-46D6-9676-6D8CCEF9CC9F}" name="Column1"/>
    <tableColumn id="2" xr3:uid="{E1B2371F-AB4F-4802-BB84-B76C3CFF7B16}" name="Column2"/>
    <tableColumn id="3" xr3:uid="{CE8D5ADB-C437-4509-9F83-0089F3CBA7F1}" name="Column3"/>
    <tableColumn id="4" xr3:uid="{A87E8784-7BBD-46AB-B54B-FD81FE3B8919}" name="Column4"/>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F09D946-A0E2-4B13-8E4A-C59D9DEBF04D}" name="Table29" displayName="Table29" ref="F1:I5" totalsRowShown="0">
  <autoFilter ref="F1:I5" xr:uid="{FB457826-CFAB-4076-A4AA-61678A0BA8CB}"/>
  <tableColumns count="4">
    <tableColumn id="1" xr3:uid="{C8A81A07-C879-4DFB-8B16-D2FD858CB002}" name="Column1"/>
    <tableColumn id="2" xr3:uid="{78997F22-2338-41B9-BA0D-C81776DEFE77}" name="Column2"/>
    <tableColumn id="3" xr3:uid="{FDA3A7E9-9D44-4A8B-B095-79E8776FA95A}" name="Column3"/>
    <tableColumn id="4" xr3:uid="{57575380-3C52-4A13-A6BA-51E08872D003}" name="Column4"/>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1B285D9-A1D5-4D51-BB63-9C7AF5A24DC6}" name="Table30" displayName="Table30" ref="K1:N8" totalsRowShown="0">
  <autoFilter ref="K1:N8" xr:uid="{77318B1C-83E9-41B3-8D67-668888783860}"/>
  <tableColumns count="4">
    <tableColumn id="1" xr3:uid="{5A0C858B-7576-4FB5-BE69-5BE205DCE208}" name="Column1"/>
    <tableColumn id="2" xr3:uid="{C50AF94A-BDA8-4B2E-BB13-76BED9380AAE}" name="Column2"/>
    <tableColumn id="3" xr3:uid="{86DBF8D3-6E6D-48FB-8E0D-34BFE416D17F}" name="Column3"/>
    <tableColumn id="4" xr3:uid="{B540B72B-F778-4271-86C5-944800EBEA89}" name="Column4"/>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8B8DB3A9-06C9-46F5-9758-29C95443B1E8}" name="AnnualTable23" displayName="AnnualTable23" ref="A4:D21" totalsRowShown="0" headerRowDxfId="20" dataDxfId="21" dataCellStyle="Comma">
  <autoFilter ref="A4:D21" xr:uid="{14A38D8D-9F37-4E44-801F-A9D2D7A5B5AB}"/>
  <tableColumns count="4">
    <tableColumn id="1" xr3:uid="{4BBC0080-51DB-4484-A25B-5B1E63714DA5}" name=" " dataDxfId="25" dataCellStyle="Comma"/>
    <tableColumn id="2" xr3:uid="{80EF1E47-31A1-4047-9873-CDB8A81CB927}" name="2007" dataDxfId="24" dataCellStyle="Comma">
      <calculatedColumnFormula>SUMIF(DetailTable21[Period],AnnualTable23[#Headers],DetailTable21[Electricity (MMBTU)])</calculatedColumnFormula>
    </tableColumn>
    <tableColumn id="3" xr3:uid="{4303698D-B7B7-4C25-AB02-5BA52C96361D}" name="2008" dataDxfId="23" dataCellStyle="Comma">
      <calculatedColumnFormula>SUMIF(DetailTable21[Period],AnnualTable23[#Headers],DetailTable21[Electricity (MMBTU)])</calculatedColumnFormula>
    </tableColumn>
    <tableColumn id="4" xr3:uid="{FC3A54E8-1583-4417-8F72-BA7DEEAC9856}" name="2009" dataDxfId="22" dataCellStyle="Comma">
      <calculatedColumnFormula>SUMIF(DetailTable21[Period],AnnualTable23[#Headers],DetailTable21[Electricity (MMBTU)])</calculatedColumnFormula>
    </tableColumn>
  </tableColumns>
  <tableStyleInfo name="TableStyleMedium4"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032F5DE-48F7-4634-9E0A-019C2AF4E0C1}" name="ModelTable24" displayName="ModelTable24" ref="A27:H28" insertRow="1" totalsRowShown="0">
  <autoFilter ref="A27:H28" xr:uid="{8AC790E9-82A5-4F04-A187-06D7155AADB6}"/>
  <tableColumns count="8">
    <tableColumn id="1" xr3:uid="{82AEFDBD-A6FA-4021-9F00-FB1AEF5BAB75}" name="Energy Use"/>
    <tableColumn id="2" xr3:uid="{30EEE6DF-0849-4C1B-9B08-665DCA4D6EFF}" name="Model is Appropriate for SEP"/>
    <tableColumn id="3" xr3:uid="{DC6FF736-F8A1-4F07-A78B-889E5EC3F955}" name="Variables"/>
    <tableColumn id="4" xr3:uid="{B7ADFA01-5E35-4D82-B752-DE20DAB5B3DF}" name="Variable p-Values"/>
    <tableColumn id="5" xr3:uid="{63E4B4E2-DF48-48EC-8595-DD8C921032CD}" name="R2"/>
    <tableColumn id="6" xr3:uid="{7A950AF4-61A4-4037-8229-921A6BE82CA6}" name="Adjusted R2"/>
    <tableColumn id="7" xr3:uid="{A968CC97-4118-4DE6-A4EC-8FC45CF3CB21}" name="Model p-Value"/>
    <tableColumn id="8" xr3:uid="{62B960F0-1C90-445D-B408-D2E9D5479E4D}" name="Formula"/>
  </tableColumns>
  <tableStyleInfo name="TableStyleMedium4"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780194D4-FE36-4D0E-ABF2-F007A40929B6}" name="AnnualTable25" displayName="AnnualTable25" ref="A5:C17" totalsRowShown="0" headerRowDxfId="12" dataDxfId="11" dataCellStyle="Comma">
  <autoFilter ref="A5:C17" xr:uid="{D51E4B6A-79E7-40B3-BDB6-B6F72568285F}"/>
  <tableColumns count="3">
    <tableColumn id="1" xr3:uid="{4070CE34-BD03-4FE4-A67D-F17BD8194E41}" name=" " dataDxfId="15" dataCellStyle="Comma"/>
    <tableColumn id="2" xr3:uid="{900D3E4F-39ED-4018-AE55-3497B66234E8}" name="2007" dataDxfId="14" dataCellStyle="Comma">
      <calculatedColumnFormula>SUMIF(DetailTable21[Period],AnnualTable25[#Headers],DetailTable21[Electricity (MMBTU)])</calculatedColumnFormula>
    </tableColumn>
    <tableColumn id="3" xr3:uid="{D6330E38-11CC-41BC-8080-9475AEF7F206}" name="2009" dataDxfId="13" dataCellStyle="Comma">
      <calculatedColumnFormula>SUMIF(DetailTable21[Period],AnnualTable25[#Headers],DetailTable21[Electricity (MMBTU)])</calculatedColumnFormula>
    </tableColumn>
  </tableColumns>
  <tableStyleInfo name="TableStyleMedium4"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D45E682A-A946-451A-9027-9A42805FADE1}" name="SEPFacilityIdentificationData Table26" displayName="SEPFacilityIdentificationData_Table26" ref="E5:F12" totalsRowShown="0" headerRowDxfId="17" dataDxfId="16">
  <tableColumns count="2">
    <tableColumn id="1" xr3:uid="{C7FE4C5F-CEDA-43A6-89B2-C1C1164C498C}" name="Facility identifying information" dataDxfId="19"/>
    <tableColumn id="2" xr3:uid="{0911B911-10F1-4093-9F66-C30895A74CA4}" name="  " dataDxfId="18"/>
  </tableColumns>
  <tableStyleInfo name="TableStyleMedium4"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3E511659-58C0-48B9-B6FF-FED0D2B32EE8}" name="ModelTable27" displayName="ModelTable27" ref="A23:I24" insertRow="1" totalsRowShown="0" headerRowDxfId="1" dataDxfId="0">
  <autoFilter ref="A23:I24" xr:uid="{597F7D8F-D053-4D73-9813-9C008DFD6685}"/>
  <tableColumns count="9">
    <tableColumn id="1" xr3:uid="{98D01F56-B49E-49F2-94FF-C649A97E4CBE}" name="Energy Use" dataDxfId="10"/>
    <tableColumn id="2" xr3:uid="{FCDA93C5-81B7-4A42-A905-F03280D0599A}" name="Model is Appropriate for SEP" dataDxfId="9"/>
    <tableColumn id="3" xr3:uid="{E66E8E04-D10E-4F87-964C-DC880C47CF37}" name="Relevant Variables" dataDxfId="8"/>
    <tableColumn id="4" xr3:uid="{F95E9188-F818-4D95-928E-D93C9472F96E}" name="SEP Validation Check" dataDxfId="7"/>
    <tableColumn id="5" xr3:uid="{4443D68A-98C9-4DD7-9B1E-4D9EB2530CE1}" name="Variable p-Values" dataDxfId="6"/>
    <tableColumn id="6" xr3:uid="{4E920AF8-052D-44A8-9AB2-1B2D4177DDFD}" name="R2" dataDxfId="5"/>
    <tableColumn id="7" xr3:uid="{54077383-4E16-484D-AA51-93BDCD7FF1E4}" name="Adjusted R2" dataDxfId="4"/>
    <tableColumn id="8" xr3:uid="{13372758-E9E3-48DD-BB88-F06BD1967F8C}" name="Model p-Value" dataDxfId="3"/>
    <tableColumn id="9" xr3:uid="{C8DF31E3-88EE-45CE-BDB7-1A04AA4B3793}" name="Formula" dataDxfId="2"/>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82835E4-D61D-4F1A-96F9-52596F8F4F6C}" name="Table3" displayName="Table3" ref="A28:N32" totalsRowShown="0" headerRowDxfId="212" dataDxfId="211" tableBorderDxfId="210">
  <autoFilter ref="A28:N32" xr:uid="{7B681A83-80DA-4078-851D-ABF01D1ACF8B}"/>
  <tableColumns count="14">
    <tableColumn id="1" xr3:uid="{DE96D650-7F45-478B-9DEE-849A2FDD9EE7}" name="Model Number" dataDxfId="209"/>
    <tableColumn id="2" xr3:uid="{4616CFDF-14F7-44D3-BAF6-1D8F6033D81A}" name="Model is Appropriate for SEP" dataDxfId="208"/>
    <tableColumn id="3" xr3:uid="{3983E319-0B10-46AF-A49B-FC75547E645C}" name="Variables" dataDxfId="207"/>
    <tableColumn id="4" xr3:uid="{88429630-2928-44C4-B67E-9F6EAF647D1B}" name="SEP Validation Check" dataDxfId="206"/>
    <tableColumn id="5" xr3:uid="{D9E67F70-A7CE-43EE-97FE-FD93DA0A0904}" name="Coefficients" dataDxfId="205"/>
    <tableColumn id="6" xr3:uid="{2E0D7293-3762-4AA4-872E-2AA6C8F6DFA2}" name="Variable Std. Error" dataDxfId="204"/>
    <tableColumn id="7" xr3:uid="{014E840C-B0D9-40C9-827F-C34B2936588C}" name="Variable p-Values" dataDxfId="203"/>
    <tableColumn id="8" xr3:uid="{5C6EA0FB-490C-479B-AD59-6D7DE730EDE3}" name="R2" dataDxfId="202"/>
    <tableColumn id="9" xr3:uid="{E049B0D1-F1F3-4508-B730-E09B6685FE79}" name="Adjusted R2" dataDxfId="201"/>
    <tableColumn id="10" xr3:uid="{D3331C3F-91CA-45BB-94D5-8035DE64A363}" name="Model p-Value" dataDxfId="200"/>
    <tableColumn id="11" xr3:uid="{ECB77A2E-8ADE-437E-8F10-793D4260B46A}" name="RMSError" dataDxfId="199"/>
    <tableColumn id="12" xr3:uid="{773E58D4-8783-443D-AB41-EEF0981E36D6}" name="Residual" dataDxfId="198"/>
    <tableColumn id="13" xr3:uid="{75D94340-8912-4087-8086-0BC7A4AC1402}" name="AIC" dataDxfId="197"/>
    <tableColumn id="14" xr3:uid="{EEACCB61-A26F-45C1-A87B-317A03061E65}" name="Formula" dataDxfId="196"/>
  </tableColumns>
  <tableStyleInfo name="TableStyleLight8" showFirstColumn="0"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A1748B2-4C13-474D-B98A-71906BE372F8}" name="Table4" displayName="Table4" ref="A6:N21" totalsRowShown="0" tableBorderDxfId="195">
  <autoFilter ref="A6:N21" xr:uid="{CBC61AFE-0915-4830-B4BA-4F0A692C1D10}"/>
  <tableColumns count="14">
    <tableColumn id="1" xr3:uid="{9E2F7046-47C8-4C71-99F6-BC18BBDC03F2}" name="Model Number" dataDxfId="194"/>
    <tableColumn id="2" xr3:uid="{315BBB41-4E3B-421C-A441-48A4FD345D97}" name="Model is Appropriate for SEP"/>
    <tableColumn id="3" xr3:uid="{EC283983-CCF0-45E7-AEC8-24C4970009C2}" name="Variables"/>
    <tableColumn id="4" xr3:uid="{57B36D7E-0C4F-4A12-9DB9-8E10FF61BE17}" name="SEP Validation Check"/>
    <tableColumn id="5" xr3:uid="{180134EA-4CBD-452C-AFBB-789D296B44E4}" name="Coefficients"/>
    <tableColumn id="6" xr3:uid="{FB81A17E-F9BA-4877-A3A5-9FF76DAE6BA1}" name="Variable Std. Error"/>
    <tableColumn id="7" xr3:uid="{0690E316-93B3-422E-8A6D-F9EECB9AD1FB}" name="Variable p-Values" dataDxfId="193"/>
    <tableColumn id="8" xr3:uid="{DE5E7B02-6A6A-450F-8588-9E9C6B02EE06}" name="R2" dataDxfId="192"/>
    <tableColumn id="9" xr3:uid="{8BDE2C89-444E-452B-9347-54770E0E4B2C}" name="Adjusted R2" dataDxfId="191"/>
    <tableColumn id="10" xr3:uid="{E54FEBEC-D049-4CA9-A126-FC56956D04C8}" name="Model p-Value" dataDxfId="190"/>
    <tableColumn id="11" xr3:uid="{D04DB498-3DB4-4E83-A9A7-50662CCF74A4}" name="RMSError"/>
    <tableColumn id="12" xr3:uid="{900AEF33-D11D-4489-A94A-CEABE35EB592}" name="Residual"/>
    <tableColumn id="13" xr3:uid="{C2AEF0C7-A6AB-4463-A19A-CD99BF282BD9}" name="AIC"/>
    <tableColumn id="14" xr3:uid="{D604E815-4D42-4541-836F-F50ADD3B92A7}" name="Formula" dataDxfId="189"/>
  </tableColumns>
  <tableStyleInfo name="TableStyleLight8" showFirstColumn="0" showLastColumn="0" showRowStripes="0"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8921BC7-C58E-48A6-9965-B929FE7659A0}" name="Table5" displayName="Table5" ref="A28:N32" totalsRowShown="0" tableBorderDxfId="188">
  <autoFilter ref="A28:N32" xr:uid="{F2C9810C-5DE1-464B-B5BE-BDD8C39064C2}"/>
  <tableColumns count="14">
    <tableColumn id="1" xr3:uid="{228AB088-73B8-40E3-996A-FC5C167C719F}" name="Model Number"/>
    <tableColumn id="2" xr3:uid="{AF424762-4728-4304-BEA2-41B5C53131E8}" name="Model is Appropriate for SEP"/>
    <tableColumn id="3" xr3:uid="{1A98CC70-3DCA-42CE-9675-32272E4AED12}" name="Variables"/>
    <tableColumn id="4" xr3:uid="{9D014F83-6D25-43B2-BAAD-DF275A390469}" name="SEP Validation Check"/>
    <tableColumn id="5" xr3:uid="{56ACB945-E9E6-4E96-88D8-6C420EA90668}" name="Coefficients"/>
    <tableColumn id="6" xr3:uid="{7FAA85D4-D387-4946-90C7-87EC26207DF8}" name="Variable Std. Error"/>
    <tableColumn id="7" xr3:uid="{12A9C96D-0F45-4D3C-8916-9FF978C9BA53}" name="Variable p-Values" dataDxfId="187"/>
    <tableColumn id="8" xr3:uid="{64A5744A-3D83-48EB-98CB-D45664C3311D}" name="R2" dataDxfId="186"/>
    <tableColumn id="9" xr3:uid="{0D8DDEC5-A732-4011-9D6B-EFC26C8AF78B}" name="Adjusted R2" dataDxfId="185"/>
    <tableColumn id="10" xr3:uid="{1AF9D2AE-615F-4263-8831-BFB3F8AF007A}" name="Model p-Value" dataDxfId="184"/>
    <tableColumn id="11" xr3:uid="{F3D13F52-CA7F-480C-BB07-78C188ED546A}" name="RMSError"/>
    <tableColumn id="12" xr3:uid="{99AC7883-9548-4A1F-991A-C7041A049FF9}" name="Residual"/>
    <tableColumn id="13" xr3:uid="{2E3E31A4-0FE3-4C40-9502-603C50EAD4FB}" name="AIC"/>
    <tableColumn id="14" xr3:uid="{EEB9683A-FC54-445E-98EA-D60CE74453D2}" name="Formula"/>
  </tableColumns>
  <tableStyleInfo name="TableStyleLight8" showFirstColumn="0" showLastColumn="0" showRowStripes="0"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F48F38A7-0F5D-4731-89E3-2C2FDCAC6047}" name="DetailTable6" displayName="DetailTable6" ref="A14:AE50" headerRowDxfId="183">
  <autoFilter ref="A14:AE50" xr:uid="{A5AEF0B0-86CC-4F37-B595-4571EA3E2AA7}"/>
  <tableColumns count="31">
    <tableColumn id="1" xr3:uid="{308A3436-C9F6-4255-BFFA-1842180F4317}" name="Date" dataDxfId="182"/>
    <tableColumn id="2" xr3:uid="{F815BF14-7F41-4418-A896-77870A7AE49F}" name="Electricity (kwh)" dataDxfId="181"/>
    <tableColumn id="3" xr3:uid="{4E0C5937-AD97-44B4-A5BD-084C3FB77D10}" name="Electricity (MMBTU)" dataDxfId="180"/>
    <tableColumn id="4" xr3:uid="{0AC4D423-6840-400E-B204-2CAC0564D47F}" name="Natural Gas (therms)" dataDxfId="179"/>
    <tableColumn id="5" xr3:uid="{6A1CA842-56EF-4CB3-B641-331EDE962B50}" name="Natural Gas (MMBTU)" dataDxfId="178"/>
    <tableColumn id="6" xr3:uid="{1072D3DC-758F-4EC2-88CF-30E3F000A509}" name="Production" dataDxfId="177"/>
    <tableColumn id="7" xr3:uid="{59A9EFD8-B0E3-4D42-AEAC-C7F6A6D94142}" name="HDD" dataDxfId="176"/>
    <tableColumn id="8" xr3:uid="{79562441-D644-40B0-8EEE-C44DF6383153}" name="CDD" dataDxfId="175"/>
    <tableColumn id="9" xr3:uid="{BDE82DFD-F1B7-4AF9-92AA-7ED06D94A1AB}" name="Period" dataDxfId="174"/>
    <tableColumn id="10" xr3:uid="{C0533728-AA5C-48C2-B8AD-C6229E8009DD}" name="TOTAL  (MMBTU)" totalsRowFunction="sum" dataDxfId="173">
      <calculatedColumnFormula>DetailTable6[Electricity (MMBTU)]+DetailTable6[Natural Gas (MMBTU)]</calculatedColumnFormula>
    </tableColumn>
    <tableColumn id="11" xr3:uid="{66A8E0BE-6599-433C-B6DD-FBB8692A7F32}" name="Baseline Year" dataDxfId="172"/>
    <tableColumn id="12" xr3:uid="{009A2D08-7AFD-4007-A07B-F7285027603A}" name="Model Year" dataDxfId="171"/>
    <tableColumn id="13" xr3:uid="{358E875F-F018-44C7-9D2C-071D4C58AB9B}" name="Last Year" dataDxfId="170"/>
    <tableColumn id="14" xr3:uid="{0465D06A-5300-4E3D-8CB4-23EEB3FE79BA}" name="Adjustment Method" dataDxfId="169">
      <calculatedColumnFormula>IF(DetailTable6[Baseline Year]=DetailTable6[Model Year],IF(DetailTable6[Period]=DetailTable6[Model Year],"Model Year","Forecast"),IF(DetailTable6[Period]=DetailTable6[Model Year],"Model Year",IF(DetailTable6[Last Year]=DetailTable6[Model Year],"Backcast",IF(DetailTable6[Baseline Year]=DetailTable6[Model Year],"Forecast","Chaining"))))</calculatedColumnFormula>
    </tableColumn>
    <tableColumn id="15" xr3:uid="{3BB4813B-05E5-4A6F-A15B-CAAA39FAFEDC}" name="Modeled Electricity (MMBTU)" dataDxfId="168" totalsRowDxfId="167">
      <calculatedColumnFormula>(0.087112457262 * DetailTable6[Production]) + (-4.212255263005 * DetailTable6[HDD]) + 32213.36</calculatedColumnFormula>
    </tableColumn>
    <tableColumn id="16" xr3:uid="{73C1E28A-A1A4-46EB-A37D-67FC92FEDAC8}" name="Modeled Natural Gas (MMBTU)" dataDxfId="166" totalsRowDxfId="165">
      <calculatedColumnFormula>(0.092469133403 * DetailTable6[Production]) + (7.498311362437 * DetailTable6[HDD]) + -7722.27</calculatedColumnFormula>
    </tableColumn>
    <tableColumn id="17" xr3:uid="{7AB76AE9-FC97-4E8F-9298-FA802B54B5A7}" name="Total Modeled Energy Consumption (MMBTU)" totalsRowFunction="sum" dataDxfId="164">
      <calculatedColumnFormula>DetailTable6[Modeled Electricity (MMBTU)]+DetailTable6[Modeled Natural Gas (MMBTU)]</calculatedColumnFormula>
    </tableColumn>
    <tableColumn id="18" xr3:uid="{F4BA6B8A-C117-4279-A331-E3BB098DD54E}" name="CUSUMHidden" dataDxfId="163">
      <calculatedColumnFormula>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calculatedColumnFormula>
    </tableColumn>
    <tableColumn id="19" xr3:uid="{A38C65FF-C93E-49E3-BFA5-3BC43F314964}" name="SEP CUSUM" dataDxfId="162">
      <calculatedColumnFormula>IF(DetailTable6[Period]=DetailTable6[Model Year],"",DetailTable6[CUSUMHidden])</calculatedColumnFormula>
    </tableColumn>
    <tableColumn id="20" xr3:uid="{307ED231-092A-4F20-B914-499DD65DD023}" name="Energy Savings: Electricity (MMBTU)" dataDxfId="161">
      <calculatedColumnFormula>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calculatedColumnFormula>
    </tableColumn>
    <tableColumn id="21" xr3:uid="{6D33143B-7BD8-41CA-AA65-C30139F180B5}" name="Energy Savings: Natural Gas (MMBTU)" dataDxfId="160">
      <calculatedColumnFormula>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calculatedColumnFormula>
    </tableColumn>
    <tableColumn id="22" xr3:uid="{CECB2C1D-AA2E-4F3C-8458-57AF74FDFFB2}" name="Energy Savings TTM (MMBtu)" totalsRowFunction="sum" dataDxfId="159">
      <calculatedColumnFormula>IF(DetailTable6[Period]&lt;=DetailTable6[Model Year],"N/A",SUM(DetailTable6[[#This Row],[Total Modeled Energy Consumption (MMBTU)]]:OFFSET(DetailTable6[[#This Row],[Total Modeled Energy Consumption (MMBTU)]],-11,0))-SUM(DetailTable6[[#This Row],[TOTAL  (MMBTU)]]:OFFSET(DetailTable6[[#This Row],[TOTAL  (MMBTU)]],-11,0)))</calculatedColumnFormula>
    </tableColumn>
    <tableColumn id="23" xr3:uid="{A66120BD-B11C-438E-8428-40C0FE8B0FF6}" name="For SEP Only: Trailing Twelve Month Energy Performance Indicator" totalsRowFunction="sum" dataDxfId="158">
      <calculatedColumnFormula>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calculatedColumnFormula>
    </tableColumn>
    <tableColumn id="24" xr3:uid="{30107282-5554-41F2-B52B-D5943D2E3112}" name="For SEP Only: Trailing Twelve Month Energy Savings" dataDxfId="157">
      <calculatedColumnFormula>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calculatedColumnFormula>
    </tableColumn>
    <tableColumn id="25" xr3:uid="{DC110CFC-C956-43AC-A290-A9F5CB918C93}" name="For SEP Only: Trailing Twelve Month Actual Energy Consumption" totalsRowFunction="sum" dataDxfId="156">
      <calculatedColumnFormula>IF(DetailTable6[Period]&lt;DetailTable6[Model Year],"N/A",IF((AND(DetailTable6[Period]=DetailTable6[Model Year],DetailTable6[Period] =OFFSET(DetailTable6[[#This Row],[Period]],1,0))),"N/A",SUM(DetailTable6[[#This Row],[TOTAL  (MMBTU)]]:OFFSET(DetailTable6[[#This Row],[TOTAL  (MMBTU)]],-11,0))))</calculatedColumnFormula>
    </tableColumn>
    <tableColumn id="26" xr3:uid="{5A383B76-B03D-4891-9C71-B9DEC2FB164C}" name="For SEP Only: Trailing Twelve Month Actual Energy Consumption to meet 5% improvement target" totalsRowFunction="sum" dataDxfId="155">
      <calculatedColumnFormula>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calculatedColumnFormula>
    </tableColumn>
    <tableColumn id="27" xr3:uid="{31D43365-9353-4526-99F0-F1BDBA46CC33}" name="For SEP Only: Trailing Twelve Month Actual Energy Consumption to meet 10% improvement target" totalsRowFunction="sum" dataDxfId="154">
      <calculatedColumnFormula>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calculatedColumnFormula>
    </tableColumn>
    <tableColumn id="28" xr3:uid="{F93F3ECA-8AC3-4F68-AB78-304A43D4B3CA}" name="For SEP Only: Trailing Twelve Month Actual Energy Consumption to meet 15% improvement target" totalsRowFunction="sum" dataDxfId="153">
      <calculatedColumnFormula>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calculatedColumnFormula>
    </tableColumn>
    <tableColumn id="29" xr3:uid="{35BF0558-C086-4C7A-81B4-8395837E7C70}" name="For SEP Only: Trailing Twelve Month Energy Savings to Meet 5% Improvement" totalsRowFunction="sum" dataDxfId="152">
      <calculatedColumnFormula>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calculatedColumnFormula>
    </tableColumn>
    <tableColumn id="30" xr3:uid="{DE08A29A-6464-4DC9-8BBE-66CDC625E2B8}" name="For SEP Only: Trailing Twelve Month Energy Savings to Meet 10% Improvement" totalsRowFunction="sum" dataDxfId="151">
      <calculatedColumnFormula>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calculatedColumnFormula>
    </tableColumn>
    <tableColumn id="31" xr3:uid="{8EA3D064-6309-44AC-89FF-A1FAB95D3702}" name="For SEP Only: Trailing Twelve Month Energy Savings to Meet 15% Improvement" totalsRowFunction="sum" dataDxfId="150">
      <calculatedColumnFormula>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calculatedColumnFormula>
    </tableColumn>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C5230EA-C7D8-4F81-B088-1DDB452749F5}" name="ValidationDetailTable6" displayName="ValidationDetailTable6" ref="A6:E12" totalsRowShown="0" headerRowDxfId="149" dataDxfId="148">
  <autoFilter ref="A6:E12" xr:uid="{F3D9B527-0895-411D-A0B4-546C343FF4DA}"/>
  <tableColumns count="5">
    <tableColumn id="1" xr3:uid="{160E565A-9F9B-47F2-962C-BCCDB749520E}" name="Column1" dataDxfId="147"/>
    <tableColumn id="2" xr3:uid="{7DAEA1D9-16C0-4165-9C55-F3240196CA1B}" name="Column2" dataDxfId="146"/>
    <tableColumn id="3" xr3:uid="{B576E907-1C2E-4AC4-AF89-C92BCF896240}" name="Production" dataDxfId="145"/>
    <tableColumn id="4" xr3:uid="{E0FD0952-3B04-4CF3-9D98-9532E8F158CE}" name="HDD" dataDxfId="144"/>
    <tableColumn id="5" xr3:uid="{D8B0AEB9-DF0A-4A4B-A89F-7E969A21DEBC}" name="CDD" dataDxfId="143"/>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B16A5F0-E60C-4A00-8734-9FF5964C0D1D}" name="AnnualTable8" displayName="AnnualTable8" ref="A4:D21" totalsRowShown="0" headerRowDxfId="142" dataDxfId="141" dataCellStyle="Comma">
  <autoFilter ref="A4:D21" xr:uid="{3446A590-0BD7-46C8-8CA7-77EBD8F70C85}"/>
  <tableColumns count="4">
    <tableColumn id="1" xr3:uid="{2E08F7E1-6860-404C-923E-6AD2DD67CE78}" name=" " dataDxfId="140" dataCellStyle="Comma"/>
    <tableColumn id="2" xr3:uid="{D39500F3-F1EF-48A4-8773-B5E6731F2718}" name="2007" dataDxfId="139" dataCellStyle="Comma">
      <calculatedColumnFormula>SUMIF(DetailTable6[Period],AnnualTable8[#Headers],DetailTable6[Electricity (MMBTU)])</calculatedColumnFormula>
    </tableColumn>
    <tableColumn id="3" xr3:uid="{AF8D308E-E917-4344-98D7-1B200383F947}" name="2008" dataDxfId="138" dataCellStyle="Comma">
      <calculatedColumnFormula>SUMIF(DetailTable6[Period],AnnualTable8[#Headers],DetailTable6[Electricity (MMBTU)])</calculatedColumnFormula>
    </tableColumn>
    <tableColumn id="4" xr3:uid="{65929A34-4AC1-464C-B722-909EB5587EDD}" name="2009" dataDxfId="137" dataCellStyle="Comma">
      <calculatedColumnFormula>SUMIF(DetailTable6[Period],AnnualTable8[#Headers],DetailTable6[Electricity (MMBTU)])</calculatedColumnFormula>
    </tableColumn>
  </tableColumns>
  <tableStyleInfo name="TableStyleMedium4"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7338A1D-1CAB-454B-AC05-E74A95E6442C}" name="ModelTable9" displayName="ModelTable9" ref="A27:H28" insertRow="1" totalsRowShown="0">
  <autoFilter ref="A27:H28" xr:uid="{FA90BA4B-84C4-4060-90AB-43C7304253FD}"/>
  <tableColumns count="8">
    <tableColumn id="1" xr3:uid="{B5C63499-5DCA-4D23-823C-C941EB03B661}" name="Energy Use"/>
    <tableColumn id="2" xr3:uid="{06221081-99F6-44AA-8252-D02DFF547D21}" name="Model is Appropriate for SEP"/>
    <tableColumn id="3" xr3:uid="{7C70607D-04A7-4DEB-A0CA-FE5C55AF61DF}" name="Variables"/>
    <tableColumn id="4" xr3:uid="{9A5E1C7D-03F0-4C06-95BF-B9C280BA0034}" name="Variable p-Values"/>
    <tableColumn id="5" xr3:uid="{9A5C0910-A77F-4F86-B98D-CCA5BBF803CA}" name="R2"/>
    <tableColumn id="6" xr3:uid="{1D437385-C8C1-4187-92F3-92748790239B}" name="Adjusted R2"/>
    <tableColumn id="7" xr3:uid="{8C277F98-5ECC-4D88-A2E6-07F7525F8FA3}" name="Model p-Value"/>
    <tableColumn id="8" xr3:uid="{5C057878-24E4-4EA1-9C58-CD4F32B3F9B6}" name="Formula"/>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table" Target="../tables/table1.xml"/><Relationship Id="rId3" Type="http://schemas.openxmlformats.org/officeDocument/2006/relationships/customProperty" Target="../customProperty3.bin"/><Relationship Id="rId7" Type="http://schemas.openxmlformats.org/officeDocument/2006/relationships/customProperty" Target="../customProperty7.bin"/><Relationship Id="rId2" Type="http://schemas.openxmlformats.org/officeDocument/2006/relationships/customProperty" Target="../customProperty2.bin"/><Relationship Id="rId1" Type="http://schemas.openxmlformats.org/officeDocument/2006/relationships/customProperty" Target="../customProperty1.bin"/><Relationship Id="rId6" Type="http://schemas.openxmlformats.org/officeDocument/2006/relationships/customProperty" Target="../customProperty6.bin"/><Relationship Id="rId5" Type="http://schemas.openxmlformats.org/officeDocument/2006/relationships/customProperty" Target="../customProperty5.bin"/><Relationship Id="rId4" Type="http://schemas.openxmlformats.org/officeDocument/2006/relationships/customProperty" Target="../customProperty4.bin"/></Relationships>
</file>

<file path=xl/worksheets/_rels/sheet10.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9.xml"/><Relationship Id="rId1" Type="http://schemas.openxmlformats.org/officeDocument/2006/relationships/customProperty" Target="../customProperty23.bin"/><Relationship Id="rId4" Type="http://schemas.openxmlformats.org/officeDocument/2006/relationships/table" Target="../tables/table1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customProperty" Target="../customProperty25.bin"/><Relationship Id="rId1" Type="http://schemas.openxmlformats.org/officeDocument/2006/relationships/customProperty" Target="../customProperty24.bin"/><Relationship Id="rId5" Type="http://schemas.openxmlformats.org/officeDocument/2006/relationships/table" Target="../tables/table20.xml"/><Relationship Id="rId4" Type="http://schemas.openxmlformats.org/officeDocument/2006/relationships/table" Target="../tables/table1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23.xml"/><Relationship Id="rId2" Type="http://schemas.openxmlformats.org/officeDocument/2006/relationships/table" Target="../tables/table22.xml"/><Relationship Id="rId1" Type="http://schemas.openxmlformats.org/officeDocument/2006/relationships/table" Target="../tables/table21.xml"/></Relationships>
</file>

<file path=xl/worksheets/_rels/sheet13.xml.rels><?xml version="1.0" encoding="UTF-8" standalone="yes"?>
<Relationships xmlns="http://schemas.openxmlformats.org/package/2006/relationships"><Relationship Id="rId3" Type="http://schemas.openxmlformats.org/officeDocument/2006/relationships/customProperty" Target="../customProperty28.bin"/><Relationship Id="rId2" Type="http://schemas.openxmlformats.org/officeDocument/2006/relationships/customProperty" Target="../customProperty27.bin"/><Relationship Id="rId1" Type="http://schemas.openxmlformats.org/officeDocument/2006/relationships/customProperty" Target="../customProperty26.bin"/><Relationship Id="rId6" Type="http://schemas.openxmlformats.org/officeDocument/2006/relationships/table" Target="../tables/table25.xml"/><Relationship Id="rId5" Type="http://schemas.openxmlformats.org/officeDocument/2006/relationships/table" Target="../tables/table24.xml"/><Relationship Id="rId4"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3" Type="http://schemas.openxmlformats.org/officeDocument/2006/relationships/customProperty" Target="../customProperty30.bin"/><Relationship Id="rId7" Type="http://schemas.openxmlformats.org/officeDocument/2006/relationships/table" Target="../tables/table28.xml"/><Relationship Id="rId2" Type="http://schemas.openxmlformats.org/officeDocument/2006/relationships/customProperty" Target="../customProperty29.bin"/><Relationship Id="rId1" Type="http://schemas.openxmlformats.org/officeDocument/2006/relationships/printerSettings" Target="../printerSettings/printerSettings3.bin"/><Relationship Id="rId6" Type="http://schemas.openxmlformats.org/officeDocument/2006/relationships/table" Target="../tables/table27.xml"/><Relationship Id="rId5" Type="http://schemas.openxmlformats.org/officeDocument/2006/relationships/table" Target="../tables/table26.xm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1.xml"/><Relationship Id="rId1" Type="http://schemas.openxmlformats.org/officeDocument/2006/relationships/customProperty" Target="../customProperty8.bin"/><Relationship Id="rId4" Type="http://schemas.openxmlformats.org/officeDocument/2006/relationships/table" Target="../tables/table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customProperty" Target="../customProperty9.bin"/><Relationship Id="rId4" Type="http://schemas.openxmlformats.org/officeDocument/2006/relationships/table" Target="../tables/table5.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customProperty" Target="../customProperty11.bin"/><Relationship Id="rId1" Type="http://schemas.openxmlformats.org/officeDocument/2006/relationships/customProperty" Target="../customProperty10.bin"/><Relationship Id="rId5" Type="http://schemas.openxmlformats.org/officeDocument/2006/relationships/table" Target="../tables/table7.xml"/><Relationship Id="rId4" Type="http://schemas.openxmlformats.org/officeDocument/2006/relationships/table" Target="../tables/table6.xml"/></Relationships>
</file>

<file path=xl/worksheets/_rels/sheet5.xml.rels><?xml version="1.0" encoding="UTF-8" standalone="yes"?>
<Relationships xmlns="http://schemas.openxmlformats.org/package/2006/relationships"><Relationship Id="rId3" Type="http://schemas.openxmlformats.org/officeDocument/2006/relationships/customProperty" Target="../customProperty14.bin"/><Relationship Id="rId2" Type="http://schemas.openxmlformats.org/officeDocument/2006/relationships/customProperty" Target="../customProperty13.bin"/><Relationship Id="rId1" Type="http://schemas.openxmlformats.org/officeDocument/2006/relationships/customProperty" Target="../customProperty12.bin"/><Relationship Id="rId6" Type="http://schemas.openxmlformats.org/officeDocument/2006/relationships/table" Target="../tables/table9.xml"/><Relationship Id="rId5" Type="http://schemas.openxmlformats.org/officeDocument/2006/relationships/table" Target="../tables/table8.xml"/><Relationship Id="rId4"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3" Type="http://schemas.openxmlformats.org/officeDocument/2006/relationships/customProperty" Target="../customProperty16.bin"/><Relationship Id="rId7" Type="http://schemas.openxmlformats.org/officeDocument/2006/relationships/table" Target="../tables/table12.xml"/><Relationship Id="rId2" Type="http://schemas.openxmlformats.org/officeDocument/2006/relationships/customProperty" Target="../customProperty15.bin"/><Relationship Id="rId1" Type="http://schemas.openxmlformats.org/officeDocument/2006/relationships/printerSettings" Target="../printerSettings/printerSettings1.bin"/><Relationship Id="rId6" Type="http://schemas.openxmlformats.org/officeDocument/2006/relationships/table" Target="../tables/table11.xml"/><Relationship Id="rId5" Type="http://schemas.openxmlformats.org/officeDocument/2006/relationships/table" Target="../tables/table10.x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3" Type="http://schemas.openxmlformats.org/officeDocument/2006/relationships/customProperty" Target="../customProperty19.bin"/><Relationship Id="rId2" Type="http://schemas.openxmlformats.org/officeDocument/2006/relationships/customProperty" Target="../customProperty18.bin"/><Relationship Id="rId1" Type="http://schemas.openxmlformats.org/officeDocument/2006/relationships/customProperty" Target="../customProperty17.bin"/><Relationship Id="rId5" Type="http://schemas.openxmlformats.org/officeDocument/2006/relationships/table" Target="../tables/table13.xml"/><Relationship Id="rId4"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3" Type="http://schemas.openxmlformats.org/officeDocument/2006/relationships/customProperty" Target="../customProperty21.bin"/><Relationship Id="rId2" Type="http://schemas.openxmlformats.org/officeDocument/2006/relationships/customProperty" Target="../customProperty20.bin"/><Relationship Id="rId1" Type="http://schemas.openxmlformats.org/officeDocument/2006/relationships/printerSettings" Target="../printerSettings/printerSettings2.bin"/><Relationship Id="rId5" Type="http://schemas.openxmlformats.org/officeDocument/2006/relationships/table" Target="../tables/table14.xml"/><Relationship Id="rId4" Type="http://schemas.openxmlformats.org/officeDocument/2006/relationships/drawing" Target="../drawings/drawing7.xml"/></Relationships>
</file>

<file path=xl/worksheets/_rels/sheet9.xml.rels><?xml version="1.0" encoding="UTF-8" standalone="yes"?>
<Relationships xmlns="http://schemas.openxmlformats.org/package/2006/relationships"><Relationship Id="rId3" Type="http://schemas.openxmlformats.org/officeDocument/2006/relationships/table" Target="../tables/table15.xml"/><Relationship Id="rId2" Type="http://schemas.openxmlformats.org/officeDocument/2006/relationships/drawing" Target="../drawings/drawing8.xml"/><Relationship Id="rId1" Type="http://schemas.openxmlformats.org/officeDocument/2006/relationships/customProperty" Target="../customProperty22.bin"/><Relationship Id="rId4" Type="http://schemas.openxmlformats.org/officeDocument/2006/relationships/table" Target="../tables/table1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7"/>
  <sheetViews>
    <sheetView workbookViewId="0">
      <selection activeCell="A2" sqref="A1:I37"/>
    </sheetView>
  </sheetViews>
  <sheetFormatPr defaultRowHeight="15" x14ac:dyDescent="0.25"/>
  <cols>
    <col min="1" max="1" width="16.7109375" style="4" customWidth="1"/>
    <col min="2" max="2" width="17.42578125" style="6" customWidth="1"/>
    <col min="3" max="3" width="21" style="6" customWidth="1"/>
    <col min="4" max="4" width="21.5703125" style="6" customWidth="1"/>
    <col min="5" max="5" width="22.5703125" style="6" customWidth="1"/>
    <col min="6" max="8" width="16.7109375" style="6" customWidth="1"/>
  </cols>
  <sheetData>
    <row r="1" spans="1:9" s="2" customFormat="1" x14ac:dyDescent="0.25">
      <c r="A1" s="3" t="s">
        <v>0</v>
      </c>
      <c r="B1" s="5" t="s">
        <v>1</v>
      </c>
      <c r="C1" s="5" t="s">
        <v>2</v>
      </c>
      <c r="D1" s="5" t="s">
        <v>3</v>
      </c>
      <c r="E1" s="5" t="s">
        <v>4</v>
      </c>
      <c r="F1" s="5" t="s">
        <v>5</v>
      </c>
      <c r="G1" s="5" t="s">
        <v>6</v>
      </c>
      <c r="H1" s="5" t="s">
        <v>7</v>
      </c>
      <c r="I1" s="5" t="s">
        <v>8</v>
      </c>
    </row>
    <row r="2" spans="1:9" x14ac:dyDescent="0.25">
      <c r="A2" s="4">
        <v>39083</v>
      </c>
      <c r="B2" s="6">
        <v>4668632.7971602436</v>
      </c>
      <c r="C2" s="6">
        <v>47790.114149303845</v>
      </c>
      <c r="D2" s="6">
        <v>302940</v>
      </c>
      <c r="E2" s="6">
        <v>30294</v>
      </c>
      <c r="F2" s="6">
        <v>256107</v>
      </c>
      <c r="G2" s="6">
        <v>1619</v>
      </c>
      <c r="H2" s="6">
        <v>0</v>
      </c>
      <c r="I2" s="7">
        <f>YEAR(Table1[Date])</f>
        <v>2007</v>
      </c>
    </row>
    <row r="3" spans="1:9" x14ac:dyDescent="0.25">
      <c r="A3" s="4">
        <v>39114</v>
      </c>
      <c r="B3" s="6">
        <v>4811527.4482758623</v>
      </c>
      <c r="C3" s="6">
        <v>49252.844671244689</v>
      </c>
      <c r="D3" s="6">
        <v>280940</v>
      </c>
      <c r="E3" s="6">
        <v>28094</v>
      </c>
      <c r="F3" s="6">
        <v>265927</v>
      </c>
      <c r="G3" s="6">
        <v>1453</v>
      </c>
      <c r="H3" s="6">
        <v>0</v>
      </c>
      <c r="I3" s="7">
        <f>YEAR(Table1[Date])</f>
        <v>2007</v>
      </c>
    </row>
    <row r="4" spans="1:9" x14ac:dyDescent="0.25">
      <c r="A4" s="4">
        <v>39142</v>
      </c>
      <c r="B4" s="6">
        <v>4717995.1310344823</v>
      </c>
      <c r="C4" s="6">
        <v>48295.408027194782</v>
      </c>
      <c r="D4" s="6">
        <v>243870</v>
      </c>
      <c r="E4" s="6">
        <v>24387</v>
      </c>
      <c r="F4" s="6">
        <v>237277</v>
      </c>
      <c r="G4" s="6">
        <v>1126</v>
      </c>
      <c r="H4" s="6">
        <v>0</v>
      </c>
      <c r="I4" s="7">
        <f>YEAR(Table1[Date])</f>
        <v>2007</v>
      </c>
    </row>
    <row r="5" spans="1:9" x14ac:dyDescent="0.25">
      <c r="A5" s="4">
        <v>39173</v>
      </c>
      <c r="B5" s="6">
        <v>4286134.412903225</v>
      </c>
      <c r="C5" s="6">
        <v>43874.697743737306</v>
      </c>
      <c r="D5" s="6">
        <v>158180</v>
      </c>
      <c r="E5" s="6">
        <v>15818</v>
      </c>
      <c r="F5" s="6">
        <v>201834</v>
      </c>
      <c r="G5" s="6">
        <v>657</v>
      </c>
      <c r="H5" s="6">
        <v>0</v>
      </c>
      <c r="I5" s="7">
        <f>YEAR(Table1[Date])</f>
        <v>2007</v>
      </c>
    </row>
    <row r="6" spans="1:9" x14ac:dyDescent="0.25">
      <c r="A6" s="4">
        <v>39203</v>
      </c>
      <c r="B6" s="6">
        <v>4662388.1870967746</v>
      </c>
      <c r="C6" s="6">
        <v>47726.191660490287</v>
      </c>
      <c r="D6" s="6">
        <v>140850</v>
      </c>
      <c r="E6" s="6">
        <v>14085</v>
      </c>
      <c r="F6" s="6">
        <v>215584</v>
      </c>
      <c r="G6" s="6">
        <v>272</v>
      </c>
      <c r="H6" s="6">
        <v>11</v>
      </c>
      <c r="I6" s="7">
        <f>YEAR(Table1[Date])</f>
        <v>2007</v>
      </c>
    </row>
    <row r="7" spans="1:9" x14ac:dyDescent="0.25">
      <c r="A7" s="4">
        <v>39234</v>
      </c>
      <c r="B7" s="6">
        <v>4791049.5999999996</v>
      </c>
      <c r="C7" s="6">
        <v>49043.224692729593</v>
      </c>
      <c r="D7" s="6">
        <v>148660</v>
      </c>
      <c r="E7" s="6">
        <v>14866</v>
      </c>
      <c r="F7" s="6">
        <v>239665</v>
      </c>
      <c r="G7" s="6">
        <v>12</v>
      </c>
      <c r="H7" s="6">
        <v>94</v>
      </c>
      <c r="I7" s="7">
        <f>YEAR(Table1[Date])</f>
        <v>2007</v>
      </c>
    </row>
    <row r="8" spans="1:9" x14ac:dyDescent="0.25">
      <c r="A8" s="4">
        <v>39264</v>
      </c>
      <c r="B8" s="6">
        <v>5293607.5354838707</v>
      </c>
      <c r="C8" s="6">
        <v>54187.621810023011</v>
      </c>
      <c r="D8" s="6">
        <v>132970</v>
      </c>
      <c r="E8" s="6">
        <v>13297</v>
      </c>
      <c r="F8" s="6">
        <v>216025</v>
      </c>
      <c r="G8" s="6">
        <v>2</v>
      </c>
      <c r="H8" s="6">
        <v>216</v>
      </c>
      <c r="I8" s="7">
        <f>YEAR(Table1[Date])</f>
        <v>2007</v>
      </c>
    </row>
    <row r="9" spans="1:9" x14ac:dyDescent="0.25">
      <c r="A9" s="4">
        <v>39295</v>
      </c>
      <c r="B9" s="6">
        <v>5473240.9032258075</v>
      </c>
      <c r="C9" s="6">
        <v>56026.425486044143</v>
      </c>
      <c r="D9" s="6">
        <v>160018</v>
      </c>
      <c r="E9" s="6">
        <v>16001.800000000001</v>
      </c>
      <c r="F9" s="6">
        <v>265071</v>
      </c>
      <c r="G9" s="6">
        <v>7</v>
      </c>
      <c r="H9" s="6">
        <v>148</v>
      </c>
      <c r="I9" s="7">
        <f>YEAR(Table1[Date])</f>
        <v>2007</v>
      </c>
    </row>
    <row r="10" spans="1:9" x14ac:dyDescent="0.25">
      <c r="A10" s="4">
        <v>39326</v>
      </c>
      <c r="B10" s="6">
        <v>5301815.5061179092</v>
      </c>
      <c r="C10" s="6">
        <v>54271.642094028524</v>
      </c>
      <c r="D10" s="6">
        <v>159130</v>
      </c>
      <c r="E10" s="6">
        <v>15913</v>
      </c>
      <c r="F10" s="6">
        <v>243292</v>
      </c>
      <c r="G10" s="6">
        <v>84</v>
      </c>
      <c r="H10" s="6">
        <v>15</v>
      </c>
      <c r="I10" s="7">
        <f>YEAR(Table1[Date])</f>
        <v>2007</v>
      </c>
    </row>
    <row r="11" spans="1:9" x14ac:dyDescent="0.25">
      <c r="A11" s="4">
        <v>39356</v>
      </c>
      <c r="B11" s="6">
        <v>5298435.6229143497</v>
      </c>
      <c r="C11" s="6">
        <v>54237.044169726636</v>
      </c>
      <c r="D11" s="6">
        <v>174740</v>
      </c>
      <c r="E11" s="6">
        <v>17474</v>
      </c>
      <c r="F11" s="6">
        <v>253998</v>
      </c>
      <c r="G11" s="6">
        <v>478</v>
      </c>
      <c r="H11" s="6">
        <v>5</v>
      </c>
      <c r="I11" s="7">
        <f>YEAR(Table1[Date])</f>
        <v>2007</v>
      </c>
    </row>
    <row r="12" spans="1:9" x14ac:dyDescent="0.25">
      <c r="A12" s="4">
        <v>39387</v>
      </c>
      <c r="B12" s="6">
        <v>4584148</v>
      </c>
      <c r="C12" s="6">
        <v>46925.291775047997</v>
      </c>
      <c r="D12" s="6">
        <v>158940</v>
      </c>
      <c r="E12" s="6">
        <v>15894</v>
      </c>
      <c r="F12" s="6">
        <v>182621.5</v>
      </c>
      <c r="G12" s="6">
        <v>913</v>
      </c>
      <c r="H12" s="6">
        <v>0</v>
      </c>
      <c r="I12" s="7">
        <f>YEAR(Table1[Date])</f>
        <v>2007</v>
      </c>
    </row>
    <row r="13" spans="1:9" x14ac:dyDescent="0.25">
      <c r="A13" s="4">
        <v>39417</v>
      </c>
      <c r="B13" s="6">
        <v>4413514</v>
      </c>
      <c r="C13" s="6">
        <v>45178.609460963999</v>
      </c>
      <c r="D13" s="6">
        <v>228720</v>
      </c>
      <c r="E13" s="6">
        <v>22872</v>
      </c>
      <c r="F13" s="6">
        <v>233990.39999999999</v>
      </c>
      <c r="G13" s="6">
        <v>1605</v>
      </c>
      <c r="H13" s="6">
        <v>0</v>
      </c>
      <c r="I13" s="7">
        <f>YEAR(Table1[Date])</f>
        <v>2007</v>
      </c>
    </row>
    <row r="14" spans="1:9" x14ac:dyDescent="0.25">
      <c r="A14" s="4">
        <v>39448</v>
      </c>
      <c r="B14" s="6">
        <v>4261687</v>
      </c>
      <c r="C14" s="6">
        <v>43624.443610661998</v>
      </c>
      <c r="D14" s="6">
        <v>227990</v>
      </c>
      <c r="E14" s="6">
        <v>22799</v>
      </c>
      <c r="F14" s="6">
        <v>206376</v>
      </c>
      <c r="G14" s="6">
        <v>1722</v>
      </c>
      <c r="H14" s="6">
        <v>0</v>
      </c>
      <c r="I14" s="7">
        <f>YEAR(Table1[Date])</f>
        <v>2008</v>
      </c>
    </row>
    <row r="15" spans="1:9" x14ac:dyDescent="0.25">
      <c r="A15" s="4">
        <v>39479</v>
      </c>
      <c r="B15" s="6">
        <v>3917292</v>
      </c>
      <c r="C15" s="6">
        <v>40099.069678391999</v>
      </c>
      <c r="D15" s="6">
        <v>185290</v>
      </c>
      <c r="E15" s="6">
        <v>18529</v>
      </c>
      <c r="F15" s="6">
        <v>191967</v>
      </c>
      <c r="G15" s="6">
        <v>1218</v>
      </c>
      <c r="H15" s="6">
        <v>0</v>
      </c>
      <c r="I15" s="7">
        <f>YEAR(Table1[Date])</f>
        <v>2008</v>
      </c>
    </row>
    <row r="16" spans="1:9" x14ac:dyDescent="0.25">
      <c r="A16" s="4">
        <v>39508</v>
      </c>
      <c r="B16" s="6">
        <v>4119699</v>
      </c>
      <c r="C16" s="6">
        <v>42170.993955774</v>
      </c>
      <c r="D16" s="6">
        <v>172880</v>
      </c>
      <c r="E16" s="6">
        <v>17288</v>
      </c>
      <c r="F16" s="6">
        <v>187780</v>
      </c>
      <c r="G16" s="6">
        <v>1022</v>
      </c>
      <c r="H16" s="6">
        <v>0</v>
      </c>
      <c r="I16" s="7">
        <f>YEAR(Table1[Date])</f>
        <v>2008</v>
      </c>
    </row>
    <row r="17" spans="1:9" x14ac:dyDescent="0.25">
      <c r="A17" s="4">
        <v>39539</v>
      </c>
      <c r="B17" s="6">
        <v>3872411</v>
      </c>
      <c r="C17" s="6">
        <v>39639.648643085995</v>
      </c>
      <c r="D17" s="6">
        <v>132410</v>
      </c>
      <c r="E17" s="6">
        <v>13241</v>
      </c>
      <c r="F17" s="6">
        <v>187297</v>
      </c>
      <c r="G17" s="6">
        <v>551</v>
      </c>
      <c r="H17" s="6">
        <v>0</v>
      </c>
      <c r="I17" s="7">
        <f>YEAR(Table1[Date])</f>
        <v>2008</v>
      </c>
    </row>
    <row r="18" spans="1:9" x14ac:dyDescent="0.25">
      <c r="A18" s="4">
        <v>39569</v>
      </c>
      <c r="B18" s="6">
        <v>4046746</v>
      </c>
      <c r="C18" s="6">
        <v>41424.215969796001</v>
      </c>
      <c r="D18" s="6">
        <v>95930</v>
      </c>
      <c r="E18" s="6">
        <v>9593</v>
      </c>
      <c r="F18" s="6">
        <v>188155</v>
      </c>
      <c r="G18" s="6">
        <v>202</v>
      </c>
      <c r="H18" s="6">
        <v>14</v>
      </c>
      <c r="I18" s="7">
        <f>YEAR(Table1[Date])</f>
        <v>2008</v>
      </c>
    </row>
    <row r="19" spans="1:9" x14ac:dyDescent="0.25">
      <c r="A19" s="4">
        <v>39600</v>
      </c>
      <c r="B19" s="6">
        <v>4276366</v>
      </c>
      <c r="C19" s="6">
        <v>43774.704107915997</v>
      </c>
      <c r="D19" s="6">
        <v>114110</v>
      </c>
      <c r="E19" s="6">
        <v>11411</v>
      </c>
      <c r="F19" s="6">
        <v>237147</v>
      </c>
      <c r="G19" s="6">
        <v>84</v>
      </c>
      <c r="H19" s="6">
        <v>153</v>
      </c>
      <c r="I19" s="7">
        <f>YEAR(Table1[Date])</f>
        <v>2008</v>
      </c>
    </row>
    <row r="20" spans="1:9" x14ac:dyDescent="0.25">
      <c r="A20" s="4">
        <v>39630</v>
      </c>
      <c r="B20" s="6">
        <v>4731704</v>
      </c>
      <c r="C20" s="6">
        <v>48435.737849903999</v>
      </c>
      <c r="D20" s="6">
        <v>101330</v>
      </c>
      <c r="E20" s="6">
        <v>10133</v>
      </c>
      <c r="F20" s="6">
        <v>236993</v>
      </c>
      <c r="G20" s="6">
        <v>19</v>
      </c>
      <c r="H20" s="6">
        <v>93</v>
      </c>
      <c r="I20" s="7">
        <f>YEAR(Table1[Date])</f>
        <v>2008</v>
      </c>
    </row>
    <row r="21" spans="1:9" x14ac:dyDescent="0.25">
      <c r="A21" s="4">
        <v>39661</v>
      </c>
      <c r="B21" s="6">
        <v>4825936</v>
      </c>
      <c r="C21" s="6">
        <v>49400.336744736</v>
      </c>
      <c r="D21" s="6">
        <v>114760</v>
      </c>
      <c r="E21" s="6">
        <v>11476</v>
      </c>
      <c r="F21" s="6">
        <v>241257</v>
      </c>
      <c r="G21" s="6">
        <v>32</v>
      </c>
      <c r="H21" s="6">
        <v>134</v>
      </c>
      <c r="I21" s="7">
        <f>YEAR(Table1[Date])</f>
        <v>2008</v>
      </c>
    </row>
    <row r="22" spans="1:9" x14ac:dyDescent="0.25">
      <c r="A22" s="4">
        <v>39692</v>
      </c>
      <c r="B22" s="6">
        <v>4680616</v>
      </c>
      <c r="C22" s="6">
        <v>47912.779318415996</v>
      </c>
      <c r="D22" s="6">
        <v>118690</v>
      </c>
      <c r="E22" s="6">
        <v>11869</v>
      </c>
      <c r="F22" s="6">
        <v>231176</v>
      </c>
      <c r="G22" s="6">
        <v>77</v>
      </c>
      <c r="H22" s="6">
        <v>39</v>
      </c>
      <c r="I22" s="7">
        <f>YEAR(Table1[Date])</f>
        <v>2008</v>
      </c>
    </row>
    <row r="23" spans="1:9" x14ac:dyDescent="0.25">
      <c r="A23" s="4">
        <v>39722</v>
      </c>
      <c r="B23" s="6">
        <v>4998578</v>
      </c>
      <c r="C23" s="6">
        <v>51167.573802227998</v>
      </c>
      <c r="D23" s="6">
        <v>159500</v>
      </c>
      <c r="E23" s="6">
        <v>15950</v>
      </c>
      <c r="F23" s="6">
        <v>258807</v>
      </c>
      <c r="G23" s="6">
        <v>685</v>
      </c>
      <c r="H23" s="6">
        <v>0</v>
      </c>
      <c r="I23" s="7">
        <f>YEAR(Table1[Date])</f>
        <v>2008</v>
      </c>
    </row>
    <row r="24" spans="1:9" x14ac:dyDescent="0.25">
      <c r="A24" s="4">
        <v>39753</v>
      </c>
      <c r="B24" s="6">
        <v>4472358</v>
      </c>
      <c r="C24" s="6">
        <v>45780.961712507997</v>
      </c>
      <c r="D24" s="6">
        <v>163660</v>
      </c>
      <c r="E24" s="6">
        <v>16366</v>
      </c>
      <c r="F24" s="6">
        <v>213166</v>
      </c>
      <c r="G24" s="6">
        <v>677</v>
      </c>
      <c r="H24" s="6">
        <v>0</v>
      </c>
      <c r="I24" s="7">
        <f>YEAR(Table1[Date])</f>
        <v>2008</v>
      </c>
    </row>
    <row r="25" spans="1:9" x14ac:dyDescent="0.25">
      <c r="A25" s="4">
        <v>39783</v>
      </c>
      <c r="B25" s="6">
        <v>4297360</v>
      </c>
      <c r="C25" s="6">
        <v>43989.60763536</v>
      </c>
      <c r="D25" s="6">
        <v>220980</v>
      </c>
      <c r="E25" s="6">
        <v>22098</v>
      </c>
      <c r="F25" s="6">
        <v>207062</v>
      </c>
      <c r="G25" s="6">
        <v>1512</v>
      </c>
      <c r="H25" s="6">
        <v>0</v>
      </c>
      <c r="I25" s="7">
        <f>YEAR(Table1[Date])</f>
        <v>2008</v>
      </c>
    </row>
    <row r="26" spans="1:9" x14ac:dyDescent="0.25">
      <c r="A26" s="4">
        <v>39814</v>
      </c>
      <c r="B26" s="6">
        <v>4222668</v>
      </c>
      <c r="C26" s="6">
        <v>43225.028504567999</v>
      </c>
      <c r="D26" s="6">
        <v>234830</v>
      </c>
      <c r="E26" s="6">
        <v>23483</v>
      </c>
      <c r="F26" s="6">
        <v>211655.4</v>
      </c>
      <c r="G26" s="6">
        <v>1718</v>
      </c>
      <c r="H26" s="6">
        <v>0</v>
      </c>
      <c r="I26" s="7">
        <f>YEAR(Table1[Date])</f>
        <v>2009</v>
      </c>
    </row>
    <row r="27" spans="1:9" x14ac:dyDescent="0.25">
      <c r="A27" s="4">
        <v>39845</v>
      </c>
      <c r="B27" s="6">
        <v>3940038</v>
      </c>
      <c r="C27" s="6">
        <v>40331.907424188001</v>
      </c>
      <c r="D27" s="6">
        <v>212520</v>
      </c>
      <c r="E27" s="6">
        <v>21252</v>
      </c>
      <c r="F27" s="6">
        <v>213539</v>
      </c>
      <c r="G27" s="6">
        <v>1423</v>
      </c>
      <c r="H27" s="6">
        <v>0</v>
      </c>
      <c r="I27" s="7">
        <f>YEAR(Table1[Date])</f>
        <v>2009</v>
      </c>
    </row>
    <row r="28" spans="1:9" x14ac:dyDescent="0.25">
      <c r="A28" s="4">
        <v>39873</v>
      </c>
      <c r="B28" s="6">
        <v>4218989</v>
      </c>
      <c r="C28" s="6">
        <v>43187.368693313998</v>
      </c>
      <c r="D28" s="6">
        <v>165500</v>
      </c>
      <c r="E28" s="6">
        <v>16550</v>
      </c>
      <c r="F28" s="6">
        <v>223455.5</v>
      </c>
      <c r="G28" s="6">
        <v>805</v>
      </c>
      <c r="H28" s="6">
        <v>0</v>
      </c>
      <c r="I28" s="7">
        <f>YEAR(Table1[Date])</f>
        <v>2009</v>
      </c>
    </row>
    <row r="29" spans="1:9" x14ac:dyDescent="0.25">
      <c r="A29" s="4">
        <v>39904</v>
      </c>
      <c r="B29" s="6">
        <v>4220890</v>
      </c>
      <c r="C29" s="6">
        <v>43206.828139140001</v>
      </c>
      <c r="D29" s="6">
        <v>126110</v>
      </c>
      <c r="E29" s="6">
        <v>12611</v>
      </c>
      <c r="F29" s="6">
        <v>208021.4</v>
      </c>
      <c r="G29" s="6">
        <v>327</v>
      </c>
      <c r="H29" s="6">
        <v>31</v>
      </c>
      <c r="I29" s="7">
        <f>YEAR(Table1[Date])</f>
        <v>2009</v>
      </c>
    </row>
    <row r="30" spans="1:9" x14ac:dyDescent="0.25">
      <c r="A30" s="4">
        <v>39934</v>
      </c>
      <c r="B30" s="6">
        <v>4341676</v>
      </c>
      <c r="C30" s="6">
        <v>44443.245089976001</v>
      </c>
      <c r="D30" s="6">
        <v>112810</v>
      </c>
      <c r="E30" s="6">
        <v>11281</v>
      </c>
      <c r="F30" s="6">
        <v>190701.3</v>
      </c>
      <c r="G30" s="6">
        <v>223</v>
      </c>
      <c r="H30" s="6">
        <v>116</v>
      </c>
      <c r="I30" s="7">
        <f>YEAR(Table1[Date])</f>
        <v>2009</v>
      </c>
    </row>
    <row r="31" spans="1:9" x14ac:dyDescent="0.25">
      <c r="A31" s="4">
        <v>39965</v>
      </c>
      <c r="B31" s="6">
        <v>4708978</v>
      </c>
      <c r="C31" s="6">
        <v>48203.104832628</v>
      </c>
      <c r="D31" s="6">
        <v>105590</v>
      </c>
      <c r="E31" s="6">
        <v>10559</v>
      </c>
      <c r="F31" s="6">
        <v>206772.4</v>
      </c>
      <c r="G31" s="6">
        <v>13</v>
      </c>
      <c r="H31" s="6">
        <v>316</v>
      </c>
      <c r="I31" s="7">
        <f>YEAR(Table1[Date])</f>
        <v>2009</v>
      </c>
    </row>
    <row r="32" spans="1:9" x14ac:dyDescent="0.25">
      <c r="A32" s="4">
        <v>39995</v>
      </c>
      <c r="B32" s="6">
        <v>5193809</v>
      </c>
      <c r="C32" s="6">
        <v>53166.041486634</v>
      </c>
      <c r="D32" s="6">
        <v>112910</v>
      </c>
      <c r="E32" s="6">
        <v>11291</v>
      </c>
      <c r="F32" s="6">
        <v>236312</v>
      </c>
      <c r="G32" s="6">
        <v>0</v>
      </c>
      <c r="H32" s="6">
        <v>377</v>
      </c>
      <c r="I32" s="7">
        <f>YEAR(Table1[Date])</f>
        <v>2009</v>
      </c>
    </row>
    <row r="33" spans="1:9" x14ac:dyDescent="0.25">
      <c r="A33" s="4">
        <v>40026</v>
      </c>
      <c r="B33" s="6">
        <v>5373164</v>
      </c>
      <c r="C33" s="6">
        <v>55001.995671864002</v>
      </c>
      <c r="D33" s="6">
        <v>113730</v>
      </c>
      <c r="E33" s="6">
        <v>11373</v>
      </c>
      <c r="F33" s="6">
        <v>234273.9</v>
      </c>
      <c r="G33" s="6">
        <v>3</v>
      </c>
      <c r="H33" s="6">
        <v>394</v>
      </c>
      <c r="I33" s="7">
        <f>YEAR(Table1[Date])</f>
        <v>2009</v>
      </c>
    </row>
    <row r="34" spans="1:9" x14ac:dyDescent="0.25">
      <c r="A34" s="4">
        <v>40057</v>
      </c>
      <c r="B34" s="6">
        <v>5156702</v>
      </c>
      <c r="C34" s="6">
        <v>52786.198427052004</v>
      </c>
      <c r="D34" s="6">
        <v>118570</v>
      </c>
      <c r="E34" s="6">
        <v>11857</v>
      </c>
      <c r="F34" s="6">
        <v>240883</v>
      </c>
      <c r="G34" s="6">
        <v>159</v>
      </c>
      <c r="H34" s="6">
        <v>371</v>
      </c>
      <c r="I34" s="7">
        <f>YEAR(Table1[Date])</f>
        <v>2009</v>
      </c>
    </row>
    <row r="35" spans="1:9" x14ac:dyDescent="0.25">
      <c r="A35" s="4">
        <v>40087</v>
      </c>
      <c r="B35" s="6">
        <v>5129761</v>
      </c>
      <c r="C35" s="6">
        <v>52510.418874185998</v>
      </c>
      <c r="D35" s="6">
        <v>153810</v>
      </c>
      <c r="E35" s="6">
        <v>15381</v>
      </c>
      <c r="F35" s="6">
        <v>253572</v>
      </c>
      <c r="G35" s="6">
        <v>374</v>
      </c>
      <c r="H35" s="6">
        <v>82</v>
      </c>
      <c r="I35" s="7">
        <f>YEAR(Table1[Date])</f>
        <v>2009</v>
      </c>
    </row>
    <row r="36" spans="1:9" x14ac:dyDescent="0.25">
      <c r="A36" s="4">
        <v>40118</v>
      </c>
      <c r="B36" s="6">
        <v>4585918</v>
      </c>
      <c r="C36" s="6">
        <v>46943.410249068002</v>
      </c>
      <c r="D36" s="6">
        <v>176900</v>
      </c>
      <c r="E36" s="6">
        <v>17690</v>
      </c>
      <c r="F36" s="6">
        <v>210502</v>
      </c>
      <c r="G36" s="6">
        <v>884</v>
      </c>
      <c r="H36" s="6">
        <v>0</v>
      </c>
      <c r="I36" s="7">
        <f>YEAR(Table1[Date])</f>
        <v>2009</v>
      </c>
    </row>
    <row r="37" spans="1:9" x14ac:dyDescent="0.25">
      <c r="A37" s="4">
        <v>40148</v>
      </c>
      <c r="B37" s="6">
        <v>4192774</v>
      </c>
      <c r="C37" s="6">
        <v>42919.020785724002</v>
      </c>
      <c r="D37" s="6">
        <v>190570</v>
      </c>
      <c r="E37" s="6">
        <v>19057</v>
      </c>
      <c r="F37" s="6">
        <v>193889</v>
      </c>
      <c r="G37" s="6">
        <v>1499</v>
      </c>
      <c r="H37" s="6">
        <v>0</v>
      </c>
      <c r="I37" s="7">
        <f>YEAR(Table1[Date])</f>
        <v>2009</v>
      </c>
    </row>
  </sheetData>
  <pageMargins left="0.7" right="0.7" top="0.75" bottom="0.75" header="0.3" footer="0.3"/>
  <customProperties>
    <customPr name="BaselineYear" r:id="rId1"/>
    <customPr name="BuildingSF" r:id="rId2"/>
    <customPr name="ModelYear" r:id="rId3"/>
    <customPr name="Production" r:id="rId4"/>
    <customPr name="ReportYear" r:id="rId5"/>
    <customPr name="Sources" r:id="rId6"/>
    <customPr name="Variables" r:id="rId7"/>
  </customProperties>
  <tableParts count="1">
    <tablePart r:id="rId8"/>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9F71B7-AB5A-49AC-964E-61E12B5DA3B3}">
  <sheetPr>
    <tabColor rgb="FF11CC50"/>
  </sheetPr>
  <dimension ref="A1:N32"/>
  <sheetViews>
    <sheetView topLeftCell="A3" workbookViewId="0"/>
  </sheetViews>
  <sheetFormatPr defaultRowHeight="15" x14ac:dyDescent="0.25"/>
  <cols>
    <col min="1" max="1" width="16.7109375" customWidth="1"/>
    <col min="2" max="2" width="28.5703125" customWidth="1"/>
    <col min="3" max="3" width="11.42578125" customWidth="1"/>
    <col min="4" max="4" width="21.5703125" hidden="1" customWidth="1"/>
    <col min="5" max="5" width="13.85546875" hidden="1" customWidth="1"/>
    <col min="6" max="6" width="19.140625" hidden="1" customWidth="1"/>
    <col min="7" max="7" width="18.85546875" style="26" customWidth="1"/>
    <col min="8" max="8" width="9.140625" style="26"/>
    <col min="9" max="9" width="13.7109375" style="26" customWidth="1"/>
    <col min="10" max="10" width="16.42578125" style="26" customWidth="1"/>
    <col min="11" max="11" width="11.42578125" hidden="1" customWidth="1"/>
    <col min="12" max="12" width="10.7109375" hidden="1" customWidth="1"/>
    <col min="13" max="13" width="0" hidden="1" customWidth="1"/>
    <col min="14" max="14" width="10.42578125" customWidth="1"/>
  </cols>
  <sheetData>
    <row r="1" spans="1:14" hidden="1" x14ac:dyDescent="0.25"/>
    <row r="2" spans="1:14" hidden="1" x14ac:dyDescent="0.25">
      <c r="A2" s="112" t="s">
        <v>10</v>
      </c>
      <c r="B2" s="112"/>
      <c r="C2" s="112"/>
      <c r="D2" s="112"/>
      <c r="E2" s="112"/>
    </row>
    <row r="3" spans="1:14" x14ac:dyDescent="0.25">
      <c r="A3" s="120" t="s">
        <v>164</v>
      </c>
      <c r="B3" s="120"/>
      <c r="C3" s="120"/>
      <c r="D3" s="120"/>
      <c r="E3" s="120"/>
      <c r="F3" s="120"/>
      <c r="G3" s="120"/>
    </row>
    <row r="4" spans="1:14" ht="105" customHeight="1" x14ac:dyDescent="0.25">
      <c r="A4" s="118" t="s">
        <v>165</v>
      </c>
      <c r="B4" s="118"/>
      <c r="C4" s="118"/>
      <c r="D4" s="118"/>
      <c r="E4" s="118"/>
      <c r="F4" s="118"/>
      <c r="G4" s="118"/>
    </row>
    <row r="6" spans="1:14" ht="15.75" thickBot="1" x14ac:dyDescent="0.3">
      <c r="A6" t="s">
        <v>13</v>
      </c>
      <c r="B6" t="s">
        <v>14</v>
      </c>
      <c r="C6" t="s">
        <v>15</v>
      </c>
      <c r="D6" t="s">
        <v>16</v>
      </c>
      <c r="E6" t="s">
        <v>17</v>
      </c>
      <c r="F6" t="s">
        <v>18</v>
      </c>
      <c r="G6" s="26" t="s">
        <v>19</v>
      </c>
      <c r="H6" s="26" t="s">
        <v>20</v>
      </c>
      <c r="I6" s="26" t="s">
        <v>21</v>
      </c>
      <c r="J6" s="26" t="s">
        <v>22</v>
      </c>
      <c r="K6" t="s">
        <v>23</v>
      </c>
      <c r="L6" t="s">
        <v>24</v>
      </c>
      <c r="M6" t="s">
        <v>25</v>
      </c>
      <c r="N6" t="s">
        <v>26</v>
      </c>
    </row>
    <row r="7" spans="1:14" x14ac:dyDescent="0.25">
      <c r="A7" s="122">
        <v>4</v>
      </c>
      <c r="B7" s="18" t="b">
        <v>1</v>
      </c>
      <c r="C7" s="18" t="s">
        <v>5</v>
      </c>
      <c r="D7" s="18" t="s">
        <v>28</v>
      </c>
      <c r="E7" s="18">
        <v>4.5037114005314377E-2</v>
      </c>
      <c r="F7" s="18">
        <v>1.2479579713377079E-2</v>
      </c>
      <c r="G7" s="27">
        <v>5.6693411148797928E-3</v>
      </c>
      <c r="H7" s="27">
        <v>0.97731442763274001</v>
      </c>
      <c r="I7" s="27">
        <v>0.9722731893289045</v>
      </c>
      <c r="J7" s="27">
        <v>3.9890900052232767E-8</v>
      </c>
      <c r="K7" s="18">
        <v>634.36652844370485</v>
      </c>
      <c r="L7" s="18">
        <v>4829050.7089166138</v>
      </c>
      <c r="M7" s="18"/>
      <c r="N7" s="19" t="s">
        <v>166</v>
      </c>
    </row>
    <row r="8" spans="1:14" x14ac:dyDescent="0.25">
      <c r="A8" s="20"/>
      <c r="B8" s="21"/>
      <c r="C8" s="21" t="s">
        <v>6</v>
      </c>
      <c r="D8" s="21" t="s">
        <v>28</v>
      </c>
      <c r="E8" s="21">
        <v>7.3209579630305166</v>
      </c>
      <c r="F8" s="21">
        <v>0.38114150108198575</v>
      </c>
      <c r="G8" s="28">
        <v>1.2963111521496415E-8</v>
      </c>
      <c r="H8" s="28"/>
      <c r="I8" s="28"/>
      <c r="J8" s="28"/>
      <c r="K8" s="21"/>
      <c r="L8" s="21"/>
      <c r="M8" s="21"/>
      <c r="N8" s="22"/>
    </row>
    <row r="9" spans="1:14" ht="15.75" thickBot="1" x14ac:dyDescent="0.3">
      <c r="A9" s="23"/>
      <c r="B9" s="24"/>
      <c r="C9" s="24"/>
      <c r="D9" s="24"/>
      <c r="E9" s="24">
        <v>820.54935863333787</v>
      </c>
      <c r="F9" s="24"/>
      <c r="G9" s="29"/>
      <c r="H9" s="29"/>
      <c r="I9" s="29"/>
      <c r="J9" s="29"/>
      <c r="K9" s="24"/>
      <c r="L9" s="24"/>
      <c r="M9" s="24"/>
      <c r="N9" s="25"/>
    </row>
    <row r="10" spans="1:14" x14ac:dyDescent="0.25">
      <c r="A10" s="121">
        <v>2</v>
      </c>
      <c r="B10" s="9" t="b">
        <v>1</v>
      </c>
      <c r="C10" s="9" t="s">
        <v>6</v>
      </c>
      <c r="D10" s="9" t="s">
        <v>28</v>
      </c>
      <c r="E10" s="9">
        <v>6.7774407378942101</v>
      </c>
      <c r="F10" s="9">
        <v>0.51959947816631669</v>
      </c>
      <c r="G10" s="30">
        <v>1.3286313328849352E-7</v>
      </c>
      <c r="H10" s="30">
        <v>0.9444861257220819</v>
      </c>
      <c r="I10" s="30">
        <v>0.93893473829429008</v>
      </c>
      <c r="J10" s="30">
        <v>1.3286313328858457E-7</v>
      </c>
      <c r="K10" s="9">
        <v>992.35293401814295</v>
      </c>
      <c r="L10" s="9">
        <v>11817172.147853</v>
      </c>
      <c r="M10" s="9"/>
      <c r="N10" s="10" t="s">
        <v>167</v>
      </c>
    </row>
    <row r="11" spans="1:14" ht="15.75" thickBot="1" x14ac:dyDescent="0.3">
      <c r="A11" s="14"/>
      <c r="B11" s="15"/>
      <c r="C11" s="15"/>
      <c r="D11" s="15"/>
      <c r="E11" s="15">
        <v>11003.514183243486</v>
      </c>
      <c r="F11" s="15"/>
      <c r="G11" s="32"/>
      <c r="H11" s="32"/>
      <c r="I11" s="32"/>
      <c r="J11" s="32"/>
      <c r="K11" s="15"/>
      <c r="L11" s="15"/>
      <c r="M11" s="15"/>
      <c r="N11" s="16"/>
    </row>
    <row r="12" spans="1:14" x14ac:dyDescent="0.25">
      <c r="A12" s="121">
        <v>3</v>
      </c>
      <c r="B12" s="9" t="b">
        <v>1</v>
      </c>
      <c r="C12" s="9" t="s">
        <v>7</v>
      </c>
      <c r="D12" s="9" t="s">
        <v>28</v>
      </c>
      <c r="E12" s="9">
        <v>-19.465165403533181</v>
      </c>
      <c r="F12" s="9">
        <v>5.3734979425701592</v>
      </c>
      <c r="G12" s="30">
        <v>4.6707446177381342E-3</v>
      </c>
      <c r="H12" s="30">
        <v>0.5675125853828572</v>
      </c>
      <c r="I12" s="30">
        <v>0.52426384392114289</v>
      </c>
      <c r="J12" s="30">
        <v>4.6707446177381186E-3</v>
      </c>
      <c r="K12" s="9">
        <v>2769.8236957686795</v>
      </c>
      <c r="L12" s="9">
        <v>92063079.667699993</v>
      </c>
      <c r="M12" s="9"/>
      <c r="N12" s="10" t="s">
        <v>168</v>
      </c>
    </row>
    <row r="13" spans="1:14" ht="15.75" thickBot="1" x14ac:dyDescent="0.3">
      <c r="A13" s="14"/>
      <c r="B13" s="15"/>
      <c r="C13" s="15"/>
      <c r="D13" s="15"/>
      <c r="E13" s="15">
        <v>17935.227836313374</v>
      </c>
      <c r="F13" s="15"/>
      <c r="G13" s="32"/>
      <c r="H13" s="32"/>
      <c r="I13" s="32"/>
      <c r="J13" s="32"/>
      <c r="K13" s="15"/>
      <c r="L13" s="15"/>
      <c r="M13" s="15"/>
      <c r="N13" s="16"/>
    </row>
    <row r="14" spans="1:14" x14ac:dyDescent="0.25">
      <c r="A14" s="121">
        <v>7</v>
      </c>
      <c r="B14" s="9" t="b">
        <v>0</v>
      </c>
      <c r="C14" s="9" t="s">
        <v>5</v>
      </c>
      <c r="D14" s="9" t="s">
        <v>31</v>
      </c>
      <c r="E14" s="9">
        <v>4.8716134254211438E-2</v>
      </c>
      <c r="F14" s="9">
        <v>1.2841294867358964E-2</v>
      </c>
      <c r="G14" s="30">
        <v>5.2838163891800859E-3</v>
      </c>
      <c r="H14" s="30">
        <v>0.98017025699556815</v>
      </c>
      <c r="I14" s="30">
        <v>0.9727341033689062</v>
      </c>
      <c r="J14" s="30">
        <v>3.774817372461255E-7</v>
      </c>
      <c r="K14" s="9">
        <v>593.09454850510554</v>
      </c>
      <c r="L14" s="9">
        <v>4221133.7215976994</v>
      </c>
      <c r="M14" s="9"/>
      <c r="N14" s="10" t="s">
        <v>169</v>
      </c>
    </row>
    <row r="15" spans="1:14" x14ac:dyDescent="0.25">
      <c r="A15" s="11"/>
      <c r="B15" s="12"/>
      <c r="C15" s="12" t="s">
        <v>6</v>
      </c>
      <c r="D15" s="12" t="s">
        <v>31</v>
      </c>
      <c r="E15" s="12">
        <v>6.8940043948679879</v>
      </c>
      <c r="F15" s="12">
        <v>0.54870034755325792</v>
      </c>
      <c r="G15" s="31">
        <v>1.5094026448473838E-6</v>
      </c>
      <c r="H15" s="31"/>
      <c r="I15" s="31"/>
      <c r="J15" s="31"/>
      <c r="K15" s="12"/>
      <c r="L15" s="12"/>
      <c r="M15" s="12"/>
      <c r="N15" s="13"/>
    </row>
    <row r="16" spans="1:14" x14ac:dyDescent="0.25">
      <c r="A16" s="11"/>
      <c r="B16" s="12"/>
      <c r="C16" s="12" t="s">
        <v>7</v>
      </c>
      <c r="D16" s="12" t="s">
        <v>31</v>
      </c>
      <c r="E16" s="12">
        <v>-2.2589585339330336</v>
      </c>
      <c r="F16" s="12">
        <v>2.1045327140182257</v>
      </c>
      <c r="G16" s="31">
        <v>0.31440868598000149</v>
      </c>
      <c r="H16" s="31"/>
      <c r="I16" s="31"/>
      <c r="J16" s="31"/>
      <c r="K16" s="12"/>
      <c r="L16" s="12"/>
      <c r="M16" s="12"/>
      <c r="N16" s="13"/>
    </row>
    <row r="17" spans="1:14" ht="15.75" thickBot="1" x14ac:dyDescent="0.3">
      <c r="A17" s="14"/>
      <c r="B17" s="15"/>
      <c r="C17" s="15"/>
      <c r="D17" s="15"/>
      <c r="E17" s="15">
        <v>598.05615958481337</v>
      </c>
      <c r="F17" s="15"/>
      <c r="G17" s="32"/>
      <c r="H17" s="32"/>
      <c r="I17" s="32"/>
      <c r="J17" s="32"/>
      <c r="K17" s="15"/>
      <c r="L17" s="15"/>
      <c r="M17" s="15"/>
      <c r="N17" s="16"/>
    </row>
    <row r="18" spans="1:14" x14ac:dyDescent="0.25">
      <c r="A18" s="121">
        <v>6</v>
      </c>
      <c r="B18" s="9" t="b">
        <v>0</v>
      </c>
      <c r="C18" s="9" t="s">
        <v>6</v>
      </c>
      <c r="D18" s="9" t="s">
        <v>31</v>
      </c>
      <c r="E18" s="9">
        <v>6.7507481779335956</v>
      </c>
      <c r="F18" s="9">
        <v>0.86343914167431624</v>
      </c>
      <c r="G18" s="30">
        <v>2.6578041617129639E-5</v>
      </c>
      <c r="H18" s="30">
        <v>0.94449598666568313</v>
      </c>
      <c r="I18" s="30">
        <v>0.93216176148027929</v>
      </c>
      <c r="J18" s="30">
        <v>2.235937916886071E-6</v>
      </c>
      <c r="K18" s="9">
        <v>992.26479415191568</v>
      </c>
      <c r="L18" s="9">
        <v>11815073.060560122</v>
      </c>
      <c r="M18" s="9"/>
      <c r="N18" s="10" t="s">
        <v>170</v>
      </c>
    </row>
    <row r="19" spans="1:14" x14ac:dyDescent="0.25">
      <c r="A19" s="11"/>
      <c r="B19" s="12"/>
      <c r="C19" s="12" t="s">
        <v>7</v>
      </c>
      <c r="D19" s="12" t="s">
        <v>31</v>
      </c>
      <c r="E19" s="12">
        <v>-0.12792412159558389</v>
      </c>
      <c r="F19" s="12">
        <v>3.1991466206998109</v>
      </c>
      <c r="G19" s="31">
        <v>0.96897651956398301</v>
      </c>
      <c r="H19" s="31"/>
      <c r="I19" s="31"/>
      <c r="J19" s="31"/>
      <c r="K19" s="12"/>
      <c r="L19" s="12"/>
      <c r="M19" s="12"/>
      <c r="N19" s="13"/>
    </row>
    <row r="20" spans="1:14" x14ac:dyDescent="0.25">
      <c r="A20" s="11"/>
      <c r="B20" s="12"/>
      <c r="C20" s="12"/>
      <c r="D20" s="12"/>
      <c r="E20" s="12">
        <v>11038.020877286752</v>
      </c>
      <c r="F20" s="12"/>
      <c r="G20" s="31"/>
      <c r="H20" s="31"/>
      <c r="I20" s="31"/>
      <c r="J20" s="31"/>
      <c r="K20" s="12"/>
      <c r="L20" s="12"/>
      <c r="M20" s="12"/>
      <c r="N20" s="13"/>
    </row>
    <row r="22" spans="1:14" s="123" customFormat="1" ht="75" customHeight="1" x14ac:dyDescent="0.25">
      <c r="A22" s="120" t="s">
        <v>34</v>
      </c>
      <c r="B22" s="120"/>
      <c r="C22" s="120"/>
      <c r="G22" s="124" t="s">
        <v>35</v>
      </c>
      <c r="H22" s="124"/>
      <c r="I22" s="124"/>
      <c r="J22" s="124"/>
      <c r="K22" s="124"/>
      <c r="L22" s="124"/>
      <c r="M22" s="124"/>
      <c r="N22" s="124"/>
    </row>
    <row r="23" spans="1:14" ht="268.35000000000002" customHeight="1" x14ac:dyDescent="0.25"/>
    <row r="24" spans="1:14" ht="268.35000000000002" customHeight="1" x14ac:dyDescent="0.25"/>
    <row r="25" spans="1:14" ht="268.35000000000002" customHeight="1" x14ac:dyDescent="0.25"/>
    <row r="27" spans="1:14" ht="15.75" thickBot="1" x14ac:dyDescent="0.3">
      <c r="A27" t="s">
        <v>13</v>
      </c>
      <c r="B27" t="s">
        <v>14</v>
      </c>
      <c r="C27" t="s">
        <v>15</v>
      </c>
      <c r="D27" t="s">
        <v>16</v>
      </c>
      <c r="E27" t="s">
        <v>17</v>
      </c>
      <c r="F27" t="s">
        <v>18</v>
      </c>
      <c r="G27" s="26" t="s">
        <v>19</v>
      </c>
      <c r="H27" s="26" t="s">
        <v>20</v>
      </c>
      <c r="I27" s="26" t="s">
        <v>21</v>
      </c>
      <c r="J27" s="26" t="s">
        <v>22</v>
      </c>
      <c r="K27" t="s">
        <v>23</v>
      </c>
      <c r="L27" t="s">
        <v>24</v>
      </c>
      <c r="M27" t="s">
        <v>25</v>
      </c>
      <c r="N27" t="s">
        <v>26</v>
      </c>
    </row>
    <row r="28" spans="1:14" x14ac:dyDescent="0.25">
      <c r="A28" s="34">
        <v>5</v>
      </c>
      <c r="B28" s="9" t="b">
        <v>0</v>
      </c>
      <c r="C28" s="9" t="s">
        <v>5</v>
      </c>
      <c r="D28" s="9" t="s">
        <v>31</v>
      </c>
      <c r="E28" s="9">
        <v>3.7612647416934583E-2</v>
      </c>
      <c r="F28" s="9">
        <v>5.4995576680526695E-2</v>
      </c>
      <c r="G28" s="30">
        <v>0.5112482965056927</v>
      </c>
      <c r="H28" s="30">
        <v>0.58887936408540942</v>
      </c>
      <c r="I28" s="30">
        <v>0.49751922277105592</v>
      </c>
      <c r="J28" s="30">
        <v>1.8317312047281608E-2</v>
      </c>
      <c r="K28" s="9">
        <v>2700.5363509230251</v>
      </c>
      <c r="L28" s="9">
        <v>87514758.991879776</v>
      </c>
      <c r="M28" s="9"/>
      <c r="N28" s="10" t="s">
        <v>171</v>
      </c>
    </row>
    <row r="29" spans="1:14" x14ac:dyDescent="0.25">
      <c r="A29" s="11"/>
      <c r="B29" s="12"/>
      <c r="C29" s="12" t="s">
        <v>7</v>
      </c>
      <c r="D29" s="12" t="s">
        <v>31</v>
      </c>
      <c r="E29" s="12">
        <v>-21.427313178870957</v>
      </c>
      <c r="F29" s="12">
        <v>6.223238617551841</v>
      </c>
      <c r="G29" s="31">
        <v>7.3542611611259624E-3</v>
      </c>
      <c r="H29" s="31"/>
      <c r="I29" s="31"/>
      <c r="J29" s="31"/>
      <c r="K29" s="12"/>
      <c r="L29" s="12"/>
      <c r="M29" s="12"/>
      <c r="N29" s="13"/>
    </row>
    <row r="30" spans="1:14" ht="15.75" thickBot="1" x14ac:dyDescent="0.3">
      <c r="A30" s="14"/>
      <c r="B30" s="15"/>
      <c r="C30" s="15"/>
      <c r="D30" s="15"/>
      <c r="E30" s="15">
        <v>9987.7670351534234</v>
      </c>
      <c r="F30" s="15"/>
      <c r="G30" s="32"/>
      <c r="H30" s="32"/>
      <c r="I30" s="32"/>
      <c r="J30" s="32"/>
      <c r="K30" s="15"/>
      <c r="L30" s="15"/>
      <c r="M30" s="15"/>
      <c r="N30" s="16"/>
    </row>
    <row r="31" spans="1:14" x14ac:dyDescent="0.25">
      <c r="A31" s="34">
        <v>1</v>
      </c>
      <c r="B31" s="9" t="b">
        <v>0</v>
      </c>
      <c r="C31" s="9" t="s">
        <v>5</v>
      </c>
      <c r="D31" s="9" t="s">
        <v>31</v>
      </c>
      <c r="E31" s="9">
        <v>-4.9682105598174299E-2</v>
      </c>
      <c r="F31" s="9">
        <v>7.0477487455890567E-2</v>
      </c>
      <c r="G31" s="30">
        <v>0.49694038941353952</v>
      </c>
      <c r="H31" s="30">
        <v>4.7340917807263301E-2</v>
      </c>
      <c r="I31" s="30">
        <v>-4.792499041201026E-2</v>
      </c>
      <c r="J31" s="30">
        <v>0.49694038941353769</v>
      </c>
      <c r="K31" s="9">
        <v>4110.8738080606463</v>
      </c>
      <c r="L31" s="9">
        <v>202791401.58958849</v>
      </c>
      <c r="M31" s="9"/>
      <c r="N31" s="10" t="s">
        <v>172</v>
      </c>
    </row>
    <row r="32" spans="1:14" x14ac:dyDescent="0.25">
      <c r="A32" s="11"/>
      <c r="B32" s="12"/>
      <c r="C32" s="12"/>
      <c r="D32" s="12"/>
      <c r="E32" s="12">
        <v>26060.818715894238</v>
      </c>
      <c r="F32" s="12"/>
      <c r="G32" s="31"/>
      <c r="H32" s="31"/>
      <c r="I32" s="31"/>
      <c r="J32" s="31"/>
      <c r="K32" s="12"/>
      <c r="L32" s="12"/>
      <c r="M32" s="12"/>
      <c r="N32" s="13"/>
    </row>
  </sheetData>
  <mergeCells count="5">
    <mergeCell ref="A2:E2"/>
    <mergeCell ref="A3:G3"/>
    <mergeCell ref="A4:G4"/>
    <mergeCell ref="A22:C22"/>
    <mergeCell ref="G22:N22"/>
  </mergeCells>
  <hyperlinks>
    <hyperlink ref="A7" location="$A$7" tooltip="Graph model 4" display="$A$7" xr:uid="{1BFC817E-F5C3-41A5-8822-40CD6488C4AC}"/>
    <hyperlink ref="A10" location="$A$10" tooltip="Graph model 2" display="$A$10" xr:uid="{AE5D88C0-5608-4761-B0EA-75F4AE22C967}"/>
    <hyperlink ref="A12" location="$A$12" tooltip="Graph model 3" display="$A$12" xr:uid="{7BB481AC-804F-459C-BC97-6D7AC4B083F0}"/>
    <hyperlink ref="A14" location="$A$14" tooltip="Graph model 7" display="$A$14" xr:uid="{77265A0C-0902-48E0-AEB5-542C62A6A67B}"/>
    <hyperlink ref="A18" location="$A$18" tooltip="Graph model 6" display="$A$18" xr:uid="{2BA666CB-CC6C-44C1-9AF0-C3A3E3174105}"/>
  </hyperlinks>
  <pageMargins left="0.7" right="0.7" top="0.75" bottom="0.75" header="0.3" footer="0.3"/>
  <customProperties>
    <customPr name="SheetGUID" r:id="rId1"/>
  </customProperties>
  <drawing r:id="rId2"/>
  <tableParts count="2">
    <tablePart r:id="rId3"/>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950FE4-3673-4B6D-AB52-9DAA95DEDE4E}">
  <sheetPr>
    <tabColor rgb="FF11CC50"/>
  </sheetPr>
  <dimension ref="A1:AO86"/>
  <sheetViews>
    <sheetView topLeftCell="O13" workbookViewId="0">
      <selection activeCell="P38" sqref="P38"/>
    </sheetView>
  </sheetViews>
  <sheetFormatPr defaultRowHeight="15" x14ac:dyDescent="0.25"/>
  <cols>
    <col min="1" max="1" width="11" customWidth="1"/>
    <col min="2" max="2" width="27.7109375" bestFit="1" customWidth="1"/>
    <col min="3" max="3" width="21" customWidth="1"/>
    <col min="4" max="4" width="21.5703125" customWidth="1"/>
    <col min="5" max="5" width="22.5703125" customWidth="1"/>
    <col min="6" max="6" width="12.85546875" customWidth="1"/>
    <col min="11" max="14" width="0" hidden="1" customWidth="1"/>
    <col min="15" max="15" width="20.7109375" customWidth="1"/>
    <col min="19" max="19" width="0" hidden="1" customWidth="1"/>
    <col min="21" max="32" width="16.42578125" customWidth="1"/>
  </cols>
  <sheetData>
    <row r="1" spans="1:41" ht="212.1" customHeight="1" x14ac:dyDescent="0.25"/>
    <row r="2" spans="1:41" ht="18.75" hidden="1" x14ac:dyDescent="0.3">
      <c r="A2" s="50" t="s">
        <v>70</v>
      </c>
    </row>
    <row r="3" spans="1:41" ht="69" hidden="1" customHeight="1" x14ac:dyDescent="0.25">
      <c r="A3" s="125" t="s">
        <v>71</v>
      </c>
      <c r="B3" s="125"/>
      <c r="C3" s="125"/>
      <c r="D3" s="125"/>
      <c r="E3" s="125"/>
      <c r="F3" s="125"/>
      <c r="G3" s="125"/>
      <c r="H3" s="125"/>
      <c r="I3" s="125"/>
    </row>
    <row r="4" spans="1:41" ht="18.75" x14ac:dyDescent="0.3">
      <c r="A4" s="50" t="s">
        <v>72</v>
      </c>
    </row>
    <row r="5" spans="1:41" ht="129.94999999999999" customHeight="1" x14ac:dyDescent="0.25">
      <c r="A5" s="118" t="s">
        <v>73</v>
      </c>
      <c r="B5" s="112"/>
      <c r="C5" s="112"/>
      <c r="D5" s="112"/>
      <c r="E5" s="112"/>
      <c r="F5" s="112"/>
      <c r="G5" s="112"/>
    </row>
    <row r="6" spans="1:41" s="51" customFormat="1" x14ac:dyDescent="0.25">
      <c r="A6" s="55" t="s">
        <v>9</v>
      </c>
      <c r="B6" s="55" t="s">
        <v>82</v>
      </c>
      <c r="C6" s="52" t="s">
        <v>5</v>
      </c>
      <c r="D6" s="52" t="s">
        <v>6</v>
      </c>
      <c r="E6" s="52" t="s">
        <v>7</v>
      </c>
    </row>
    <row r="7" spans="1:41" s="51" customFormat="1" x14ac:dyDescent="0.25">
      <c r="A7" s="56"/>
      <c r="B7" s="56" t="s">
        <v>76</v>
      </c>
      <c r="C7" s="57">
        <v>234282.65833333301</v>
      </c>
      <c r="D7" s="57">
        <v>685.66666666666697</v>
      </c>
      <c r="E7" s="57">
        <v>40.75</v>
      </c>
    </row>
    <row r="8" spans="1:41" s="51" customFormat="1" hidden="1" x14ac:dyDescent="0.25">
      <c r="A8" s="56"/>
      <c r="B8" s="56" t="s">
        <v>77</v>
      </c>
      <c r="C8" s="57">
        <v>218631.40833333301</v>
      </c>
      <c r="D8" s="57">
        <v>619</v>
      </c>
      <c r="E8" s="57">
        <v>140.583333333333</v>
      </c>
    </row>
    <row r="9" spans="1:41" s="51" customFormat="1" x14ac:dyDescent="0.25">
      <c r="A9" s="58" t="s">
        <v>74</v>
      </c>
      <c r="B9" s="58" t="s">
        <v>78</v>
      </c>
      <c r="C9" s="59">
        <v>190701.3</v>
      </c>
      <c r="D9" s="59">
        <v>0</v>
      </c>
      <c r="E9" s="59">
        <v>0</v>
      </c>
    </row>
    <row r="10" spans="1:41" s="51" customFormat="1" x14ac:dyDescent="0.25">
      <c r="A10" s="58"/>
      <c r="B10" s="58" t="s">
        <v>79</v>
      </c>
      <c r="C10" s="59">
        <v>253572</v>
      </c>
      <c r="D10" s="59">
        <v>1718</v>
      </c>
      <c r="E10" s="59">
        <v>394</v>
      </c>
    </row>
    <row r="11" spans="1:41" s="51" customFormat="1" x14ac:dyDescent="0.25">
      <c r="A11" s="60" t="s">
        <v>75</v>
      </c>
      <c r="B11" s="60" t="s">
        <v>80</v>
      </c>
      <c r="C11" s="61">
        <v>160835.21067996201</v>
      </c>
      <c r="D11" s="61">
        <v>-1273.4002075286701</v>
      </c>
      <c r="E11" s="61">
        <v>-370.16925309717601</v>
      </c>
    </row>
    <row r="12" spans="1:41" s="51" customFormat="1" x14ac:dyDescent="0.25">
      <c r="A12" s="60"/>
      <c r="B12" s="60" t="s">
        <v>81</v>
      </c>
      <c r="C12" s="61">
        <v>276427.60598670499</v>
      </c>
      <c r="D12" s="61">
        <v>2511.4002075286699</v>
      </c>
      <c r="E12" s="61">
        <v>651.33591976384196</v>
      </c>
    </row>
    <row r="13" spans="1:41" x14ac:dyDescent="0.25">
      <c r="A13" s="53"/>
      <c r="B13" s="53" t="s">
        <v>16</v>
      </c>
      <c r="C13" s="54" t="s">
        <v>28</v>
      </c>
      <c r="D13" s="54" t="s">
        <v>28</v>
      </c>
      <c r="E13" s="54" t="s">
        <v>28</v>
      </c>
    </row>
    <row r="14" spans="1:41" ht="165" x14ac:dyDescent="0.25">
      <c r="A14" s="44" t="s">
        <v>0</v>
      </c>
      <c r="B14" s="44" t="s">
        <v>1</v>
      </c>
      <c r="C14" s="44" t="s">
        <v>2</v>
      </c>
      <c r="D14" s="44" t="s">
        <v>3</v>
      </c>
      <c r="E14" s="44" t="s">
        <v>4</v>
      </c>
      <c r="F14" s="44" t="s">
        <v>5</v>
      </c>
      <c r="G14" s="44" t="s">
        <v>6</v>
      </c>
      <c r="H14" s="44" t="s">
        <v>7</v>
      </c>
      <c r="I14" s="44" t="s">
        <v>8</v>
      </c>
      <c r="J14" s="44" t="s">
        <v>47</v>
      </c>
      <c r="K14" s="44" t="s">
        <v>142</v>
      </c>
      <c r="L14" s="44" t="s">
        <v>48</v>
      </c>
      <c r="M14" s="44" t="s">
        <v>49</v>
      </c>
      <c r="N14" s="44" t="s">
        <v>50</v>
      </c>
      <c r="O14" s="44" t="s">
        <v>51</v>
      </c>
      <c r="P14" s="45" t="s">
        <v>52</v>
      </c>
      <c r="Q14" s="45" t="s">
        <v>53</v>
      </c>
      <c r="R14" s="45" t="s">
        <v>54</v>
      </c>
      <c r="S14" s="45" t="s">
        <v>55</v>
      </c>
      <c r="T14" s="45" t="s">
        <v>56</v>
      </c>
      <c r="U14" s="45" t="s">
        <v>57</v>
      </c>
      <c r="V14" s="45" t="s">
        <v>58</v>
      </c>
      <c r="W14" s="45" t="s">
        <v>60</v>
      </c>
      <c r="X14" s="45" t="s">
        <v>61</v>
      </c>
      <c r="Y14" s="45" t="s">
        <v>62</v>
      </c>
      <c r="Z14" s="45" t="s">
        <v>63</v>
      </c>
      <c r="AA14" s="45" t="s">
        <v>64</v>
      </c>
      <c r="AB14" s="45" t="s">
        <v>65</v>
      </c>
      <c r="AC14" s="45" t="s">
        <v>66</v>
      </c>
      <c r="AD14" s="45" t="s">
        <v>67</v>
      </c>
      <c r="AE14" s="45" t="s">
        <v>68</v>
      </c>
      <c r="AF14" s="45" t="s">
        <v>69</v>
      </c>
    </row>
    <row r="15" spans="1:41" x14ac:dyDescent="0.25">
      <c r="A15" s="42">
        <v>39083</v>
      </c>
      <c r="B15" s="35">
        <v>4668632.7971602436</v>
      </c>
      <c r="C15" s="35">
        <v>47790.114149303845</v>
      </c>
      <c r="D15" s="35">
        <v>302940</v>
      </c>
      <c r="E15" s="35">
        <v>30294</v>
      </c>
      <c r="F15" s="35">
        <v>256107</v>
      </c>
      <c r="G15" s="35">
        <v>1619</v>
      </c>
      <c r="H15" s="35">
        <v>0</v>
      </c>
      <c r="I15" s="37">
        <v>2007</v>
      </c>
      <c r="J15" s="35">
        <f>DetailTable21[Electricity (MMBTU)]+DetailTable21[Natural Gas (MMBTU)]</f>
        <v>78084.114149303845</v>
      </c>
      <c r="K15" s="35">
        <f>SUM(SUMIFS(DetailTable21[Production],DetailTable21[Period],DetailTable21[Period]))</f>
        <v>2811391.9</v>
      </c>
      <c r="L15" s="35">
        <v>2007</v>
      </c>
      <c r="M15" s="35">
        <v>2009</v>
      </c>
      <c r="N15" s="35">
        <v>2009</v>
      </c>
      <c r="O15"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15" s="36">
        <f>(0.121551243906 * DetailTable21[Production]) + (18.032961298995 * DetailTable21[CDD]) + 18050.33</f>
        <v>49180.454423033945</v>
      </c>
      <c r="Q15" s="36">
        <f>(0.045037114005 * DetailTable21[Production]) + (7.320957963031 * DetailTable21[HDD]) + 820.55</f>
        <v>24207.501098625722</v>
      </c>
      <c r="R15" s="36">
        <f>DetailTable21[Modeled Electricity (MMBTU)]+DetailTable21[Modeled Natural Gas (MMBTU)]</f>
        <v>73387.955521659664</v>
      </c>
      <c r="S15"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4696.1586276441813</v>
      </c>
      <c r="T15" s="36">
        <f ca="1">IF(DetailTable21[Period]=DetailTable21[Model Year],"",DetailTable21[CUSUMHidden])</f>
        <v>4696.1586276441813</v>
      </c>
      <c r="U15"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0</v>
      </c>
      <c r="V15"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0</v>
      </c>
      <c r="W15"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15"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15"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15" s="47" t="str">
        <f ca="1">IF(DetailTable21[Period]&lt;DetailTable21[Model Year],"N/A",IF((AND(DetailTable21[Period]=DetailTable21[Model Year],DetailTable21[Period] =OFFSET(DetailTable21[[#This Row],[Period]],1,0))),"N/A",SUM(DetailTable21[[#This Row],[TOTAL  (MMBTU)]]:OFFSET(DetailTable21[[#This Row],[TOTAL  (MMBTU)]],-11,0))))</f>
        <v>N/A</v>
      </c>
      <c r="AA15"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15"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15"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15"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15"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15"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15" s="35"/>
      <c r="AH15" s="35"/>
      <c r="AI15" s="35"/>
      <c r="AJ15" s="35"/>
      <c r="AK15" s="35"/>
      <c r="AL15" s="35"/>
      <c r="AM15" s="35"/>
      <c r="AN15" s="35"/>
      <c r="AO15" s="35"/>
    </row>
    <row r="16" spans="1:41" x14ac:dyDescent="0.25">
      <c r="A16" s="42">
        <v>39114</v>
      </c>
      <c r="B16" s="35">
        <v>4811527.4482758623</v>
      </c>
      <c r="C16" s="35">
        <v>49252.844671244689</v>
      </c>
      <c r="D16" s="35">
        <v>280940</v>
      </c>
      <c r="E16" s="35">
        <v>28094</v>
      </c>
      <c r="F16" s="35">
        <v>265927</v>
      </c>
      <c r="G16" s="35">
        <v>1453</v>
      </c>
      <c r="H16" s="35">
        <v>0</v>
      </c>
      <c r="I16" s="37">
        <v>2007</v>
      </c>
      <c r="J16" s="35">
        <f>DetailTable21[Electricity (MMBTU)]+DetailTable21[Natural Gas (MMBTU)]</f>
        <v>77346.844671244689</v>
      </c>
      <c r="K16" s="35">
        <f>SUM(SUMIFS(DetailTable21[Production],DetailTable21[Period],DetailTable21[Period]))</f>
        <v>2811391.9</v>
      </c>
      <c r="L16" s="35">
        <v>2007</v>
      </c>
      <c r="M16" s="35">
        <v>2009</v>
      </c>
      <c r="N16" s="35">
        <v>2009</v>
      </c>
      <c r="O16"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16" s="36">
        <f>(0.121551243906 * DetailTable21[Production]) + (18.032961298995 * DetailTable21[CDD]) + 18050.33</f>
        <v>50374.08763819086</v>
      </c>
      <c r="Q16" s="36">
        <f>(0.045037114005 * DetailTable21[Production]) + (7.320957963031 * DetailTable21[HDD]) + 820.55</f>
        <v>23434.486536291679</v>
      </c>
      <c r="R16" s="36">
        <f>DetailTable21[Modeled Electricity (MMBTU)]+DetailTable21[Modeled Natural Gas (MMBTU)]</f>
        <v>73808.574174482535</v>
      </c>
      <c r="S16"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8234.4291244063352</v>
      </c>
      <c r="T16" s="36">
        <f ca="1">IF(DetailTable21[Period]=DetailTable21[Model Year],"",DetailTable21[CUSUMHidden])</f>
        <v>8234.4291244063352</v>
      </c>
      <c r="U16"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-269.09730678392953</v>
      </c>
      <c r="V16"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1426.9854376659569</v>
      </c>
      <c r="W16"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16"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16"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16" s="47" t="str">
        <f ca="1">IF(DetailTable21[Period]&lt;DetailTable21[Model Year],"N/A",IF((AND(DetailTable21[Period]=DetailTable21[Model Year],DetailTable21[Period] =OFFSET(DetailTable21[[#This Row],[Period]],1,0))),"N/A",SUM(DetailTable21[[#This Row],[TOTAL  (MMBTU)]]:OFFSET(DetailTable21[[#This Row],[TOTAL  (MMBTU)]],-11,0))))</f>
        <v>N/A</v>
      </c>
      <c r="AA16"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16"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16"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16"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16"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16"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16" s="35"/>
      <c r="AH16" s="35"/>
      <c r="AI16" s="35"/>
      <c r="AJ16" s="35"/>
      <c r="AK16" s="35"/>
      <c r="AL16" s="35"/>
      <c r="AM16" s="35"/>
      <c r="AN16" s="35"/>
      <c r="AO16" s="35"/>
    </row>
    <row r="17" spans="1:41" x14ac:dyDescent="0.25">
      <c r="A17" s="42">
        <v>39142</v>
      </c>
      <c r="B17" s="35">
        <v>4717995.1310344823</v>
      </c>
      <c r="C17" s="35">
        <v>48295.408027194782</v>
      </c>
      <c r="D17" s="35">
        <v>243870</v>
      </c>
      <c r="E17" s="35">
        <v>24387</v>
      </c>
      <c r="F17" s="35">
        <v>237277</v>
      </c>
      <c r="G17" s="35">
        <v>1126</v>
      </c>
      <c r="H17" s="35">
        <v>0</v>
      </c>
      <c r="I17" s="37">
        <v>2007</v>
      </c>
      <c r="J17" s="35">
        <f>DetailTable21[Electricity (MMBTU)]+DetailTable21[Natural Gas (MMBTU)]</f>
        <v>72682.40802719479</v>
      </c>
      <c r="K17" s="35">
        <f>SUM(SUMIFS(DetailTable21[Production],DetailTable21[Period],DetailTable21[Period]))</f>
        <v>2811391.9</v>
      </c>
      <c r="L17" s="35">
        <v>2007</v>
      </c>
      <c r="M17" s="35">
        <v>2009</v>
      </c>
      <c r="N17" s="35">
        <v>2009</v>
      </c>
      <c r="O17"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17" s="36">
        <f>(0.121551243906 * DetailTable21[Production]) + (18.032961298995 * DetailTable21[CDD]) + 18050.33</f>
        <v>46891.644500283961</v>
      </c>
      <c r="Q17" s="36">
        <f>(0.045037114005 * DetailTable21[Production]) + (7.320957963031 * DetailTable21[HDD]) + 820.55</f>
        <v>19750.219966137291</v>
      </c>
      <c r="R17" s="36">
        <f>DetailTable21[Modeled Electricity (MMBTU)]+DetailTable21[Modeled Natural Gas (MMBTU)]</f>
        <v>66641.864466421248</v>
      </c>
      <c r="S17"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14274.972685179877</v>
      </c>
      <c r="T17" s="36">
        <f ca="1">IF(DetailTable21[Period]=DetailTable21[Model Year],"",DetailTable21[CUSUMHidden])</f>
        <v>14274.972685179877</v>
      </c>
      <c r="U17"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-2794.1038006409217</v>
      </c>
      <c r="V17"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1449.7188675115685</v>
      </c>
      <c r="W17"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17"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17"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17" s="47" t="str">
        <f ca="1">IF(DetailTable21[Period]&lt;DetailTable21[Model Year],"N/A",IF((AND(DetailTable21[Period]=DetailTable21[Model Year],DetailTable21[Period] =OFFSET(DetailTable21[[#This Row],[Period]],1,0))),"N/A",SUM(DetailTable21[[#This Row],[TOTAL  (MMBTU)]]:OFFSET(DetailTable21[[#This Row],[TOTAL  (MMBTU)]],-11,0))))</f>
        <v>N/A</v>
      </c>
      <c r="AA17"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17"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17"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17"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17"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17"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17" s="35"/>
      <c r="AH17" s="35"/>
      <c r="AI17" s="35"/>
      <c r="AJ17" s="35"/>
      <c r="AK17" s="35"/>
      <c r="AL17" s="35"/>
      <c r="AM17" s="35"/>
      <c r="AN17" s="35"/>
      <c r="AO17" s="35"/>
    </row>
    <row r="18" spans="1:41" x14ac:dyDescent="0.25">
      <c r="A18" s="42">
        <v>39173</v>
      </c>
      <c r="B18" s="35">
        <v>4286134.412903225</v>
      </c>
      <c r="C18" s="35">
        <v>43874.697743737306</v>
      </c>
      <c r="D18" s="35">
        <v>158180</v>
      </c>
      <c r="E18" s="35">
        <v>15818</v>
      </c>
      <c r="F18" s="35">
        <v>201834</v>
      </c>
      <c r="G18" s="35">
        <v>657</v>
      </c>
      <c r="H18" s="35">
        <v>0</v>
      </c>
      <c r="I18" s="37">
        <v>2007</v>
      </c>
      <c r="J18" s="35">
        <f>DetailTable21[Electricity (MMBTU)]+DetailTable21[Natural Gas (MMBTU)]</f>
        <v>59692.697743737306</v>
      </c>
      <c r="K18" s="35">
        <f>SUM(SUMIFS(DetailTable21[Production],DetailTable21[Period],DetailTable21[Period]))</f>
        <v>2811391.9</v>
      </c>
      <c r="L18" s="35">
        <v>2007</v>
      </c>
      <c r="M18" s="35">
        <v>2009</v>
      </c>
      <c r="N18" s="35">
        <v>2009</v>
      </c>
      <c r="O18"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18" s="36">
        <f>(0.121551243906 * DetailTable21[Production]) + (18.032961298995 * DetailTable21[CDD]) + 18050.33</f>
        <v>42583.503762523607</v>
      </c>
      <c r="Q18" s="36">
        <f>(0.045037114005 * DetailTable21[Production]) + (7.320957963031 * DetailTable21[HDD]) + 820.55</f>
        <v>14720.440249796537</v>
      </c>
      <c r="R18" s="36">
        <f>DetailTable21[Modeled Electricity (MMBTU)]+DetailTable21[Modeled Natural Gas (MMBTU)]</f>
        <v>57303.944012320142</v>
      </c>
      <c r="S18"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16663.726416597041</v>
      </c>
      <c r="T18" s="36">
        <f ca="1">IF(DetailTable21[Period]=DetailTable21[Model Year],"",DetailTable21[CUSUMHidden])</f>
        <v>16663.726416597041</v>
      </c>
      <c r="U18"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-2681.5342549437992</v>
      </c>
      <c r="V18"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4988.9391511708145</v>
      </c>
      <c r="W18"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18"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18"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18" s="47" t="str">
        <f ca="1">IF(DetailTable21[Period]&lt;DetailTable21[Model Year],"N/A",IF((AND(DetailTable21[Period]=DetailTable21[Model Year],DetailTable21[Period] =OFFSET(DetailTable21[[#This Row],[Period]],1,0))),"N/A",SUM(DetailTable21[[#This Row],[TOTAL  (MMBTU)]]:OFFSET(DetailTable21[[#This Row],[TOTAL  (MMBTU)]],-11,0))))</f>
        <v>N/A</v>
      </c>
      <c r="AA18"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18"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18"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18"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18"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18"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18" s="35"/>
      <c r="AH18" s="35"/>
      <c r="AI18" s="35"/>
      <c r="AJ18" s="35"/>
      <c r="AK18" s="35"/>
      <c r="AL18" s="35"/>
      <c r="AM18" s="35"/>
      <c r="AN18" s="35"/>
      <c r="AO18" s="35"/>
    </row>
    <row r="19" spans="1:41" x14ac:dyDescent="0.25">
      <c r="A19" s="42">
        <v>39203</v>
      </c>
      <c r="B19" s="35">
        <v>4662388.1870967746</v>
      </c>
      <c r="C19" s="35">
        <v>47726.191660490287</v>
      </c>
      <c r="D19" s="35">
        <v>140850</v>
      </c>
      <c r="E19" s="35">
        <v>14085</v>
      </c>
      <c r="F19" s="35">
        <v>215584</v>
      </c>
      <c r="G19" s="35">
        <v>272</v>
      </c>
      <c r="H19" s="35">
        <v>11</v>
      </c>
      <c r="I19" s="37">
        <v>2007</v>
      </c>
      <c r="J19" s="35">
        <f>DetailTable21[Electricity (MMBTU)]+DetailTable21[Natural Gas (MMBTU)]</f>
        <v>61811.191660490287</v>
      </c>
      <c r="K19" s="35">
        <f>SUM(SUMIFS(DetailTable21[Production],DetailTable21[Period],DetailTable21[Period]))</f>
        <v>2811391.9</v>
      </c>
      <c r="L19" s="35">
        <v>2007</v>
      </c>
      <c r="M19" s="35">
        <v>2009</v>
      </c>
      <c r="N19" s="35">
        <v>2009</v>
      </c>
      <c r="O19"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19" s="36">
        <f>(0.121551243906 * DetailTable21[Production]) + (18.032961298995 * DetailTable21[CDD]) + 18050.33</f>
        <v>44453.195940520047</v>
      </c>
      <c r="Q19" s="36">
        <f>(0.045037114005 * DetailTable21[Production]) + (7.320957963031 * DetailTable21[HDD]) + 820.55</f>
        <v>12521.13175159835</v>
      </c>
      <c r="R19" s="36">
        <f>DetailTable21[Modeled Electricity (MMBTU)]+DetailTable21[Modeled Natural Gas (MMBTU)]</f>
        <v>56974.327692118401</v>
      </c>
      <c r="S19"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21500.590384968928</v>
      </c>
      <c r="T19" s="36">
        <f ca="1">IF(DetailTable21[Period]=DetailTable21[Model Year],"",DetailTable21[CUSUMHidden])</f>
        <v>21500.590384968928</v>
      </c>
      <c r="U19"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-4663.3359937003406</v>
      </c>
      <c r="V19"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4522.630652972628</v>
      </c>
      <c r="W19"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19"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19"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19" s="47" t="str">
        <f ca="1">IF(DetailTable21[Period]&lt;DetailTable21[Model Year],"N/A",IF((AND(DetailTable21[Period]=DetailTable21[Model Year],DetailTable21[Period] =OFFSET(DetailTable21[[#This Row],[Period]],1,0))),"N/A",SUM(DetailTable21[[#This Row],[TOTAL  (MMBTU)]]:OFFSET(DetailTable21[[#This Row],[TOTAL  (MMBTU)]],-11,0))))</f>
        <v>N/A</v>
      </c>
      <c r="AA19"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19"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19"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19"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19"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19"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19" s="35"/>
      <c r="AH19" s="35"/>
      <c r="AI19" s="35"/>
      <c r="AJ19" s="35"/>
      <c r="AK19" s="35"/>
      <c r="AL19" s="35"/>
      <c r="AM19" s="35"/>
      <c r="AN19" s="35"/>
      <c r="AO19" s="35"/>
    </row>
    <row r="20" spans="1:41" x14ac:dyDescent="0.25">
      <c r="A20" s="42">
        <v>39234</v>
      </c>
      <c r="B20" s="35">
        <v>4791049.5999999996</v>
      </c>
      <c r="C20" s="35">
        <v>49043.224692729593</v>
      </c>
      <c r="D20" s="35">
        <v>148660</v>
      </c>
      <c r="E20" s="35">
        <v>14866</v>
      </c>
      <c r="F20" s="35">
        <v>239665</v>
      </c>
      <c r="G20" s="35">
        <v>12</v>
      </c>
      <c r="H20" s="35">
        <v>94</v>
      </c>
      <c r="I20" s="37">
        <v>2007</v>
      </c>
      <c r="J20" s="35">
        <f>DetailTable21[Electricity (MMBTU)]+DetailTable21[Natural Gas (MMBTU)]</f>
        <v>63909.224692729593</v>
      </c>
      <c r="K20" s="35">
        <f>SUM(SUMIFS(DetailTable21[Production],DetailTable21[Period],DetailTable21[Period]))</f>
        <v>2811391.9</v>
      </c>
      <c r="L20" s="35">
        <v>2007</v>
      </c>
      <c r="M20" s="35">
        <v>2009</v>
      </c>
      <c r="N20" s="35">
        <v>2009</v>
      </c>
      <c r="O20"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0" s="36">
        <f>(0.121551243906 * DetailTable21[Production]) + (18.032961298995 * DetailTable21[CDD]) + 18050.33</f>
        <v>48877.007232837022</v>
      </c>
      <c r="Q20" s="36">
        <f>(0.045037114005 * DetailTable21[Production]) + (7.320957963031 * DetailTable21[HDD]) + 820.55</f>
        <v>11702.221423564695</v>
      </c>
      <c r="R20" s="36">
        <f>DetailTable21[Modeled Electricity (MMBTU)]+DetailTable21[Modeled Natural Gas (MMBTU)]</f>
        <v>60579.228656401719</v>
      </c>
      <c r="S20"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24830.586421296801</v>
      </c>
      <c r="T20" s="36">
        <f ca="1">IF(DetailTable21[Period]=DetailTable21[Model Year],"",DetailTable21[CUSUMHidden])</f>
        <v>24830.586421296801</v>
      </c>
      <c r="U20"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-1556.5577336226706</v>
      </c>
      <c r="V20"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2922.7203249389731</v>
      </c>
      <c r="W20"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0"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0"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0" s="47" t="str">
        <f ca="1">IF(DetailTable21[Period]&lt;DetailTable21[Model Year],"N/A",IF((AND(DetailTable21[Period]=DetailTable21[Model Year],DetailTable21[Period] =OFFSET(DetailTable21[[#This Row],[Period]],1,0))),"N/A",SUM(DetailTable21[[#This Row],[TOTAL  (MMBTU)]]:OFFSET(DetailTable21[[#This Row],[TOTAL  (MMBTU)]],-11,0))))</f>
        <v>N/A</v>
      </c>
      <c r="AA20"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0"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0"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0"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0"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0"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0" s="35"/>
      <c r="AH20" s="35"/>
      <c r="AI20" s="35"/>
      <c r="AJ20" s="35"/>
      <c r="AK20" s="35"/>
      <c r="AL20" s="35"/>
      <c r="AM20" s="35"/>
      <c r="AN20" s="35"/>
      <c r="AO20" s="35"/>
    </row>
    <row r="21" spans="1:41" x14ac:dyDescent="0.25">
      <c r="A21" s="42">
        <v>39264</v>
      </c>
      <c r="B21" s="35">
        <v>5293607.5354838707</v>
      </c>
      <c r="C21" s="35">
        <v>54187.621810023011</v>
      </c>
      <c r="D21" s="35">
        <v>132970</v>
      </c>
      <c r="E21" s="35">
        <v>13297</v>
      </c>
      <c r="F21" s="35">
        <v>216025</v>
      </c>
      <c r="G21" s="35">
        <v>2</v>
      </c>
      <c r="H21" s="35">
        <v>216</v>
      </c>
      <c r="I21" s="37">
        <v>2007</v>
      </c>
      <c r="J21" s="35">
        <f>DetailTable21[Electricity (MMBTU)]+DetailTable21[Natural Gas (MMBTU)]</f>
        <v>67484.621810023003</v>
      </c>
      <c r="K21" s="35">
        <f>SUM(SUMIFS(DetailTable21[Production],DetailTable21[Period],DetailTable21[Period]))</f>
        <v>2811391.9</v>
      </c>
      <c r="L21" s="35">
        <v>2007</v>
      </c>
      <c r="M21" s="35">
        <v>2009</v>
      </c>
      <c r="N21" s="35">
        <v>2009</v>
      </c>
      <c r="O21"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1" s="36">
        <f>(0.121551243906 * DetailTable21[Production]) + (18.032961298995 * DetailTable21[CDD]) + 18050.33</f>
        <v>48203.557105376574</v>
      </c>
      <c r="Q21" s="36">
        <f>(0.045037114005 * DetailTable21[Production]) + (7.320957963031 * DetailTable21[HDD]) + 820.55</f>
        <v>10564.334468856187</v>
      </c>
      <c r="R21" s="36">
        <f>DetailTable21[Modeled Electricity (MMBTU)]+DetailTable21[Modeled Natural Gas (MMBTU)]</f>
        <v>58767.891574232759</v>
      </c>
      <c r="S21"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33547.316657087045</v>
      </c>
      <c r="T21" s="36">
        <f ca="1">IF(DetailTable21[Period]=DetailTable21[Model Year],"",DetailTable21[CUSUMHidden])</f>
        <v>33547.316657087045</v>
      </c>
      <c r="U21"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-7374.4049783765367</v>
      </c>
      <c r="V21"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3353.8333702304644</v>
      </c>
      <c r="W21"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1"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1"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1" s="47" t="str">
        <f ca="1">IF(DetailTable21[Period]&lt;DetailTable21[Model Year],"N/A",IF((AND(DetailTable21[Period]=DetailTable21[Model Year],DetailTable21[Period] =OFFSET(DetailTable21[[#This Row],[Period]],1,0))),"N/A",SUM(DetailTable21[[#This Row],[TOTAL  (MMBTU)]]:OFFSET(DetailTable21[[#This Row],[TOTAL  (MMBTU)]],-11,0))))</f>
        <v>N/A</v>
      </c>
      <c r="AA21"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1"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1"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1"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1"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1"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1" s="35"/>
      <c r="AH21" s="35"/>
      <c r="AI21" s="35"/>
      <c r="AJ21" s="35"/>
      <c r="AK21" s="35"/>
      <c r="AL21" s="35"/>
      <c r="AM21" s="35"/>
      <c r="AN21" s="35"/>
      <c r="AO21" s="35"/>
    </row>
    <row r="22" spans="1:41" x14ac:dyDescent="0.25">
      <c r="A22" s="42">
        <v>39295</v>
      </c>
      <c r="B22" s="35">
        <v>5473240.9032258075</v>
      </c>
      <c r="C22" s="35">
        <v>56026.425486044143</v>
      </c>
      <c r="D22" s="35">
        <v>160018</v>
      </c>
      <c r="E22" s="35">
        <v>16001.800000000001</v>
      </c>
      <c r="F22" s="35">
        <v>265071</v>
      </c>
      <c r="G22" s="35">
        <v>7</v>
      </c>
      <c r="H22" s="35">
        <v>148</v>
      </c>
      <c r="I22" s="37">
        <v>2007</v>
      </c>
      <c r="J22" s="35">
        <f>DetailTable21[Electricity (MMBTU)]+DetailTable21[Natural Gas (MMBTU)]</f>
        <v>72028.225486044146</v>
      </c>
      <c r="K22" s="35">
        <f>SUM(SUMIFS(DetailTable21[Production],DetailTable21[Period],DetailTable21[Period]))</f>
        <v>2811391.9</v>
      </c>
      <c r="L22" s="35">
        <v>2007</v>
      </c>
      <c r="M22" s="35">
        <v>2009</v>
      </c>
      <c r="N22" s="35">
        <v>2009</v>
      </c>
      <c r="O22"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2" s="36">
        <f>(0.121551243906 * DetailTable21[Production]) + (18.032961298995 * DetailTable21[CDD]) + 18050.33</f>
        <v>52938.918045658589</v>
      </c>
      <c r="Q22" s="36">
        <f>(0.045037114005 * DetailTable21[Production]) + (7.320957963031 * DetailTable21[HDD]) + 820.55</f>
        <v>12809.829552160571</v>
      </c>
      <c r="R22" s="36">
        <f>DetailTable21[Modeled Electricity (MMBTU)]+DetailTable21[Modeled Natural Gas (MMBTU)]</f>
        <v>65748.747597819165</v>
      </c>
      <c r="S22"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39826.794545312026</v>
      </c>
      <c r="T22" s="36">
        <f ca="1">IF(DetailTable21[Period]=DetailTable21[Model Year],"",DetailTable21[CUSUMHidden])</f>
        <v>39826.794545312026</v>
      </c>
      <c r="U22"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-4477.8477141156545</v>
      </c>
      <c r="V22"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2894.5284535348474</v>
      </c>
      <c r="W22"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2"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2"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2" s="47" t="str">
        <f ca="1">IF(DetailTable21[Period]&lt;DetailTable21[Model Year],"N/A",IF((AND(DetailTable21[Period]=DetailTable21[Model Year],DetailTable21[Period] =OFFSET(DetailTable21[[#This Row],[Period]],1,0))),"N/A",SUM(DetailTable21[[#This Row],[TOTAL  (MMBTU)]]:OFFSET(DetailTable21[[#This Row],[TOTAL  (MMBTU)]],-11,0))))</f>
        <v>N/A</v>
      </c>
      <c r="AA22"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2"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2"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2"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2"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2"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2" s="35"/>
      <c r="AH22" s="35"/>
      <c r="AI22" s="35"/>
      <c r="AJ22" s="35"/>
      <c r="AK22" s="35"/>
      <c r="AL22" s="35"/>
      <c r="AM22" s="35"/>
      <c r="AN22" s="35"/>
      <c r="AO22" s="35"/>
    </row>
    <row r="23" spans="1:41" x14ac:dyDescent="0.25">
      <c r="A23" s="42">
        <v>39326</v>
      </c>
      <c r="B23" s="35">
        <v>5301815.5061179092</v>
      </c>
      <c r="C23" s="35">
        <v>54271.642094028524</v>
      </c>
      <c r="D23" s="35">
        <v>159130</v>
      </c>
      <c r="E23" s="35">
        <v>15913</v>
      </c>
      <c r="F23" s="35">
        <v>243292</v>
      </c>
      <c r="G23" s="35">
        <v>84</v>
      </c>
      <c r="H23" s="35">
        <v>15</v>
      </c>
      <c r="I23" s="37">
        <v>2007</v>
      </c>
      <c r="J23" s="35">
        <f>DetailTable21[Electricity (MMBTU)]+DetailTable21[Natural Gas (MMBTU)]</f>
        <v>70184.642094028532</v>
      </c>
      <c r="K23" s="35">
        <f>SUM(SUMIFS(DetailTable21[Production],DetailTable21[Period],DetailTable21[Period]))</f>
        <v>2811391.9</v>
      </c>
      <c r="L23" s="35">
        <v>2007</v>
      </c>
      <c r="M23" s="35">
        <v>2009</v>
      </c>
      <c r="N23" s="35">
        <v>2009</v>
      </c>
      <c r="O23"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3" s="36">
        <f>(0.121551243906 * DetailTable21[Production]) + (18.032961298995 * DetailTable21[CDD]) + 18050.33</f>
        <v>47893.269651863477</v>
      </c>
      <c r="Q23" s="36">
        <f>(0.045037114005 * DetailTable21[Production]) + (7.320957963031 * DetailTable21[HDD]) + 820.55</f>
        <v>12392.680009399062</v>
      </c>
      <c r="R23" s="36">
        <f>DetailTable21[Modeled Electricity (MMBTU)]+DetailTable21[Modeled Natural Gas (MMBTU)]</f>
        <v>60285.949661262537</v>
      </c>
      <c r="S23"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49725.486978078021</v>
      </c>
      <c r="T23" s="36">
        <f ca="1">IF(DetailTable21[Period]=DetailTable21[Model Year],"",DetailTable21[CUSUMHidden])</f>
        <v>49725.486978078021</v>
      </c>
      <c r="U23"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-7768.712715895148</v>
      </c>
      <c r="V23"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2566.1789107733402</v>
      </c>
      <c r="W23"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3"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3"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3" s="47" t="str">
        <f ca="1">IF(DetailTable21[Period]&lt;DetailTable21[Model Year],"N/A",IF((AND(DetailTable21[Period]=DetailTable21[Model Year],DetailTable21[Period] =OFFSET(DetailTable21[[#This Row],[Period]],1,0))),"N/A",SUM(DetailTable21[[#This Row],[TOTAL  (MMBTU)]]:OFFSET(DetailTable21[[#This Row],[TOTAL  (MMBTU)]],-11,0))))</f>
        <v>N/A</v>
      </c>
      <c r="AA23"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3"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3"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3"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3"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3"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3" s="35"/>
      <c r="AH23" s="35"/>
      <c r="AI23" s="35"/>
      <c r="AJ23" s="35"/>
      <c r="AK23" s="35"/>
      <c r="AL23" s="35"/>
      <c r="AM23" s="35"/>
      <c r="AN23" s="35"/>
      <c r="AO23" s="35"/>
    </row>
    <row r="24" spans="1:41" x14ac:dyDescent="0.25">
      <c r="A24" s="42">
        <v>39356</v>
      </c>
      <c r="B24" s="35">
        <v>5298435.6229143497</v>
      </c>
      <c r="C24" s="35">
        <v>54237.044169726636</v>
      </c>
      <c r="D24" s="35">
        <v>174740</v>
      </c>
      <c r="E24" s="35">
        <v>17474</v>
      </c>
      <c r="F24" s="35">
        <v>253998</v>
      </c>
      <c r="G24" s="35">
        <v>478</v>
      </c>
      <c r="H24" s="35">
        <v>5</v>
      </c>
      <c r="I24" s="37">
        <v>2007</v>
      </c>
      <c r="J24" s="35">
        <f>DetailTable21[Electricity (MMBTU)]+DetailTable21[Natural Gas (MMBTU)]</f>
        <v>71711.044169726636</v>
      </c>
      <c r="K24" s="35">
        <f>SUM(SUMIFS(DetailTable21[Production],DetailTable21[Period],DetailTable21[Period]))</f>
        <v>2811391.9</v>
      </c>
      <c r="L24" s="35">
        <v>2007</v>
      </c>
      <c r="M24" s="35">
        <v>2009</v>
      </c>
      <c r="N24" s="35">
        <v>2009</v>
      </c>
      <c r="O24"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4" s="36">
        <f>(0.121551243906 * DetailTable21[Production]) + (18.032961298995 * DetailTable21[CDD]) + 18050.33</f>
        <v>49014.267656131167</v>
      </c>
      <c r="Q24" s="36">
        <f>(0.045037114005 * DetailTable21[Production]) + (7.320957963031 * DetailTable21[HDD]) + 820.55</f>
        <v>15759.304789370806</v>
      </c>
      <c r="R24" s="36">
        <f>DetailTable21[Modeled Electricity (MMBTU)]+DetailTable21[Modeled Natural Gas (MMBTU)]</f>
        <v>64773.572445501974</v>
      </c>
      <c r="S24"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56662.958702302683</v>
      </c>
      <c r="T24" s="36">
        <f ca="1">IF(DetailTable21[Period]=DetailTable21[Model Year],"",DetailTable21[CUSUMHidden])</f>
        <v>56662.958702302683</v>
      </c>
      <c r="U24"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-6613.116787325569</v>
      </c>
      <c r="V24"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4371.8036907450842</v>
      </c>
      <c r="W24"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4"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4"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4" s="47" t="str">
        <f ca="1">IF(DetailTable21[Period]&lt;DetailTable21[Model Year],"N/A",IF((AND(DetailTable21[Period]=DetailTable21[Model Year],DetailTable21[Period] =OFFSET(DetailTable21[[#This Row],[Period]],1,0))),"N/A",SUM(DetailTable21[[#This Row],[TOTAL  (MMBTU)]]:OFFSET(DetailTable21[[#This Row],[TOTAL  (MMBTU)]],-11,0))))</f>
        <v>N/A</v>
      </c>
      <c r="AA24"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4"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4"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4"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4"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4"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4" s="35"/>
      <c r="AH24" s="35"/>
      <c r="AI24" s="35"/>
      <c r="AJ24" s="35"/>
      <c r="AK24" s="35"/>
      <c r="AL24" s="35"/>
      <c r="AM24" s="35"/>
      <c r="AN24" s="35"/>
      <c r="AO24" s="35"/>
    </row>
    <row r="25" spans="1:41" x14ac:dyDescent="0.25">
      <c r="A25" s="42">
        <v>39387</v>
      </c>
      <c r="B25" s="35">
        <v>4584148</v>
      </c>
      <c r="C25" s="35">
        <v>46925.291775047997</v>
      </c>
      <c r="D25" s="35">
        <v>158940</v>
      </c>
      <c r="E25" s="35">
        <v>15894</v>
      </c>
      <c r="F25" s="35">
        <v>182621.5</v>
      </c>
      <c r="G25" s="35">
        <v>913</v>
      </c>
      <c r="H25" s="35">
        <v>0</v>
      </c>
      <c r="I25" s="37">
        <v>2007</v>
      </c>
      <c r="J25" s="35">
        <f>DetailTable21[Electricity (MMBTU)]+DetailTable21[Natural Gas (MMBTU)]</f>
        <v>62819.291775047997</v>
      </c>
      <c r="K25" s="35">
        <f>SUM(SUMIFS(DetailTable21[Production],DetailTable21[Period],DetailTable21[Period]))</f>
        <v>2811391.9</v>
      </c>
      <c r="L25" s="35">
        <v>2007</v>
      </c>
      <c r="M25" s="35">
        <v>2009</v>
      </c>
      <c r="N25" s="35">
        <v>2009</v>
      </c>
      <c r="O25"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5" s="36">
        <f>(0.121551243906 * DetailTable21[Production]) + (18.032961298995 * DetailTable21[CDD]) + 18050.33</f>
        <v>40248.200488979579</v>
      </c>
      <c r="Q25" s="36">
        <f>(0.045037114005 * DetailTable21[Production]) + (7.320957963031 * DetailTable21[HDD]) + 820.55</f>
        <v>15729.329935511409</v>
      </c>
      <c r="R25" s="36">
        <f>DetailTable21[Modeled Electricity (MMBTU)]+DetailTable21[Modeled Natural Gas (MMBTU)]</f>
        <v>55977.530424490986</v>
      </c>
      <c r="S25"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63504.720052859695</v>
      </c>
      <c r="T25" s="36">
        <f ca="1">IF(DetailTable21[Period]=DetailTable21[Model Year],"",DetailTable21[CUSUMHidden])</f>
        <v>63504.720052859695</v>
      </c>
      <c r="U25"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-8067.4315597985187</v>
      </c>
      <c r="V25"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5921.8288368856865</v>
      </c>
      <c r="W25"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5"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5"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5" s="47" t="str">
        <f ca="1">IF(DetailTable21[Period]&lt;DetailTable21[Model Year],"N/A",IF((AND(DetailTable21[Period]=DetailTable21[Model Year],DetailTable21[Period] =OFFSET(DetailTable21[[#This Row],[Period]],1,0))),"N/A",SUM(DetailTable21[[#This Row],[TOTAL  (MMBTU)]]:OFFSET(DetailTable21[[#This Row],[TOTAL  (MMBTU)]],-11,0))))</f>
        <v>N/A</v>
      </c>
      <c r="AA25"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5"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5"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5"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5"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5"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5" s="35"/>
      <c r="AH25" s="35"/>
      <c r="AI25" s="35"/>
      <c r="AJ25" s="35"/>
      <c r="AK25" s="35"/>
      <c r="AL25" s="35"/>
      <c r="AM25" s="35"/>
      <c r="AN25" s="35"/>
      <c r="AO25" s="35"/>
    </row>
    <row r="26" spans="1:41" x14ac:dyDescent="0.25">
      <c r="A26" s="42">
        <v>39417</v>
      </c>
      <c r="B26" s="35">
        <v>4413514</v>
      </c>
      <c r="C26" s="35">
        <v>45178.609460963999</v>
      </c>
      <c r="D26" s="35">
        <v>228720</v>
      </c>
      <c r="E26" s="35">
        <v>22872</v>
      </c>
      <c r="F26" s="35">
        <v>233990.39999999999</v>
      </c>
      <c r="G26" s="35">
        <v>1605</v>
      </c>
      <c r="H26" s="35">
        <v>0</v>
      </c>
      <c r="I26" s="37">
        <v>2007</v>
      </c>
      <c r="J26" s="35">
        <f>DetailTable21[Electricity (MMBTU)]+DetailTable21[Natural Gas (MMBTU)]</f>
        <v>68050.609460963999</v>
      </c>
      <c r="K26" s="35">
        <f>SUM(SUMIFS(DetailTable21[Production],DetailTable21[Period],DetailTable21[Period]))</f>
        <v>2811391.9</v>
      </c>
      <c r="L26" s="35">
        <v>2007</v>
      </c>
      <c r="M26" s="35">
        <v>2009</v>
      </c>
      <c r="N26" s="35">
        <v>2009</v>
      </c>
      <c r="O26"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6" s="36">
        <f>(0.121551243906 * DetailTable21[Production]) + (18.032961298995 * DetailTable21[CDD]) + 18050.33</f>
        <v>46492.154182062499</v>
      </c>
      <c r="Q26" s="36">
        <f>(0.045037114005 * DetailTable21[Production]) + (7.320957963031 * DetailTable21[HDD]) + 820.55</f>
        <v>23108.939851540305</v>
      </c>
      <c r="R26" s="36">
        <f>DetailTable21[Modeled Electricity (MMBTU)]+DetailTable21[Modeled Natural Gas (MMBTU)]</f>
        <v>69601.0940336028</v>
      </c>
      <c r="S26"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61954.235480220894</v>
      </c>
      <c r="T26" s="36">
        <f ca="1">IF(DetailTable21[Period]=DetailTable21[Model Year],"",DetailTable21[CUSUMHidden])</f>
        <v>61954.235480220894</v>
      </c>
      <c r="U26"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-76.795552631600003</v>
      </c>
      <c r="V26"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6323.4387529145824</v>
      </c>
      <c r="W26"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6"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6"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6" s="47" t="str">
        <f ca="1">IF(DetailTable21[Period]&lt;DetailTable21[Model Year],"N/A",IF((AND(DetailTable21[Period]=DetailTable21[Model Year],DetailTable21[Period] =OFFSET(DetailTable21[[#This Row],[Period]],1,0))),"N/A",SUM(DetailTable21[[#This Row],[TOTAL  (MMBTU)]]:OFFSET(DetailTable21[[#This Row],[TOTAL  (MMBTU)]],-11,0))))</f>
        <v>N/A</v>
      </c>
      <c r="AA26"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6"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6"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6"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6"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6"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6" s="35"/>
      <c r="AH26" s="35"/>
      <c r="AI26" s="35"/>
      <c r="AJ26" s="35"/>
      <c r="AK26" s="35"/>
      <c r="AL26" s="35"/>
      <c r="AM26" s="35"/>
      <c r="AN26" s="35"/>
      <c r="AO26" s="35"/>
    </row>
    <row r="27" spans="1:41" x14ac:dyDescent="0.25">
      <c r="A27" s="42">
        <v>39448</v>
      </c>
      <c r="B27" s="35">
        <v>4261687</v>
      </c>
      <c r="C27" s="35">
        <v>43624.443610661998</v>
      </c>
      <c r="D27" s="35">
        <v>227990</v>
      </c>
      <c r="E27" s="35">
        <v>22799</v>
      </c>
      <c r="F27" s="35">
        <v>206376</v>
      </c>
      <c r="G27" s="35">
        <v>1722</v>
      </c>
      <c r="H27" s="35">
        <v>0</v>
      </c>
      <c r="I27" s="37">
        <v>2008</v>
      </c>
      <c r="J27" s="35">
        <f>DetailTable21[Electricity (MMBTU)]+DetailTable21[Natural Gas (MMBTU)]</f>
        <v>66423.443610661998</v>
      </c>
      <c r="K27" s="35">
        <f>SUM(SUMIFS(DetailTable21[Production],DetailTable21[Period],DetailTable21[Period]))</f>
        <v>2587183</v>
      </c>
      <c r="L27" s="35">
        <v>2007</v>
      </c>
      <c r="M27" s="35">
        <v>2009</v>
      </c>
      <c r="N27" s="35">
        <v>2009</v>
      </c>
      <c r="O27"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7" s="36">
        <f>(0.121551243906 * DetailTable21[Production]) + (18.032961298995 * DetailTable21[CDD]) + 18050.33</f>
        <v>43135.589512344653</v>
      </c>
      <c r="Q27" s="36">
        <f>(0.045037114005 * DetailTable21[Production]) + (7.320957963031 * DetailTable21[HDD]) + 820.55</f>
        <v>22721.81905223526</v>
      </c>
      <c r="R27" s="36">
        <f>DetailTable21[Modeled Electricity (MMBTU)]+DetailTable21[Modeled Natural Gas (MMBTU)]</f>
        <v>65857.408564579906</v>
      </c>
      <c r="S27"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62520.270526302986</v>
      </c>
      <c r="T27" s="36">
        <f ca="1">IF(DetailTable21[Period]=DetailTable21[Model Year],"",DetailTable21[CUSUMHidden])</f>
        <v>62520.270526302986</v>
      </c>
      <c r="U27"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-1879.1943720474446</v>
      </c>
      <c r="V27"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6009.3179536095377</v>
      </c>
      <c r="W27"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7"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7"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7" s="47" t="str">
        <f ca="1">IF(DetailTable21[Period]&lt;DetailTable21[Model Year],"N/A",IF((AND(DetailTable21[Period]=DetailTable21[Model Year],DetailTable21[Period] =OFFSET(DetailTable21[[#This Row],[Period]],1,0))),"N/A",SUM(DetailTable21[[#This Row],[TOTAL  (MMBTU)]]:OFFSET(DetailTable21[[#This Row],[TOTAL  (MMBTU)]],-11,0))))</f>
        <v>N/A</v>
      </c>
      <c r="AA27"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7"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7"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7"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7"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7"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7" s="35"/>
      <c r="AH27" s="35"/>
      <c r="AI27" s="35"/>
      <c r="AJ27" s="35"/>
      <c r="AK27" s="35"/>
      <c r="AL27" s="35"/>
      <c r="AM27" s="35"/>
      <c r="AN27" s="35"/>
      <c r="AO27" s="35"/>
    </row>
    <row r="28" spans="1:41" x14ac:dyDescent="0.25">
      <c r="A28" s="42">
        <v>39479</v>
      </c>
      <c r="B28" s="35">
        <v>3917292</v>
      </c>
      <c r="C28" s="35">
        <v>40099.069678391999</v>
      </c>
      <c r="D28" s="35">
        <v>185290</v>
      </c>
      <c r="E28" s="35">
        <v>18529</v>
      </c>
      <c r="F28" s="35">
        <v>191967</v>
      </c>
      <c r="G28" s="35">
        <v>1218</v>
      </c>
      <c r="H28" s="35">
        <v>0</v>
      </c>
      <c r="I28" s="37">
        <v>2008</v>
      </c>
      <c r="J28" s="35">
        <f>DetailTable21[Electricity (MMBTU)]+DetailTable21[Natural Gas (MMBTU)]</f>
        <v>58628.069678391999</v>
      </c>
      <c r="K28" s="35">
        <f>SUM(SUMIFS(DetailTable21[Production],DetailTable21[Period],DetailTable21[Period]))</f>
        <v>2587183</v>
      </c>
      <c r="L28" s="35">
        <v>2007</v>
      </c>
      <c r="M28" s="35">
        <v>2009</v>
      </c>
      <c r="N28" s="35">
        <v>2009</v>
      </c>
      <c r="O28"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8" s="36">
        <f>(0.121551243906 * DetailTable21[Production]) + (18.032961298995 * DetailTable21[CDD]) + 18050.33</f>
        <v>41384.157638903103</v>
      </c>
      <c r="Q28" s="36">
        <f>(0.045037114005 * DetailTable21[Production]) + (7.320957963031 * DetailTable21[HDD]) + 820.55</f>
        <v>18383.11646316959</v>
      </c>
      <c r="R28" s="36">
        <f>DetailTable21[Modeled Electricity (MMBTU)]+DetailTable21[Modeled Natural Gas (MMBTU)]</f>
        <v>59767.274102072697</v>
      </c>
      <c r="S28"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61381.066102622288</v>
      </c>
      <c r="T28" s="36">
        <f ca="1">IF(DetailTable21[Period]=DetailTable21[Model Year],"",DetailTable21[CUSUMHidden])</f>
        <v>61381.066102622288</v>
      </c>
      <c r="U28"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-105.25231321899628</v>
      </c>
      <c r="V28"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5940.6153645438681</v>
      </c>
      <c r="W28"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8"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8"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8" s="47" t="str">
        <f ca="1">IF(DetailTable21[Period]&lt;DetailTable21[Model Year],"N/A",IF((AND(DetailTable21[Period]=DetailTable21[Model Year],DetailTable21[Period] =OFFSET(DetailTable21[[#This Row],[Period]],1,0))),"N/A",SUM(DetailTable21[[#This Row],[TOTAL  (MMBTU)]]:OFFSET(DetailTable21[[#This Row],[TOTAL  (MMBTU)]],-11,0))))</f>
        <v>N/A</v>
      </c>
      <c r="AA28"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8"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8"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8"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8"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8"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8" s="35"/>
      <c r="AH28" s="35"/>
      <c r="AI28" s="35"/>
      <c r="AJ28" s="35"/>
      <c r="AK28" s="35"/>
      <c r="AL28" s="35"/>
      <c r="AM28" s="35"/>
      <c r="AN28" s="35"/>
      <c r="AO28" s="35"/>
    </row>
    <row r="29" spans="1:41" x14ac:dyDescent="0.25">
      <c r="A29" s="42">
        <v>39508</v>
      </c>
      <c r="B29" s="35">
        <v>4119699</v>
      </c>
      <c r="C29" s="35">
        <v>42170.993955774</v>
      </c>
      <c r="D29" s="35">
        <v>172880</v>
      </c>
      <c r="E29" s="35">
        <v>17288</v>
      </c>
      <c r="F29" s="35">
        <v>187780</v>
      </c>
      <c r="G29" s="35">
        <v>1022</v>
      </c>
      <c r="H29" s="35">
        <v>0</v>
      </c>
      <c r="I29" s="37">
        <v>2008</v>
      </c>
      <c r="J29" s="35">
        <f>DetailTable21[Electricity (MMBTU)]+DetailTable21[Natural Gas (MMBTU)]</f>
        <v>59458.993955774</v>
      </c>
      <c r="K29" s="35">
        <f>SUM(SUMIFS(DetailTable21[Production],DetailTable21[Period],DetailTable21[Period]))</f>
        <v>2587183</v>
      </c>
      <c r="L29" s="35">
        <v>2007</v>
      </c>
      <c r="M29" s="35">
        <v>2009</v>
      </c>
      <c r="N29" s="35">
        <v>2009</v>
      </c>
      <c r="O29"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29" s="36">
        <f>(0.121551243906 * DetailTable21[Production]) + (18.032961298995 * DetailTable21[CDD]) + 18050.33</f>
        <v>40875.222580668677</v>
      </c>
      <c r="Q29" s="36">
        <f>(0.045037114005 * DetailTable21[Production]) + (7.320957963031 * DetailTable21[HDD]) + 820.55</f>
        <v>16759.63830607658</v>
      </c>
      <c r="R29" s="36">
        <f>DetailTable21[Modeled Electricity (MMBTU)]+DetailTable21[Modeled Natural Gas (MMBTU)]</f>
        <v>57634.860886745257</v>
      </c>
      <c r="S29"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63205.199171651031</v>
      </c>
      <c r="T29" s="36">
        <f ca="1">IF(DetailTable21[Period]=DetailTable21[Model Year],"",DetailTable21[CUSUMHidden])</f>
        <v>63205.199171651031</v>
      </c>
      <c r="U29"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-2686.1116488354237</v>
      </c>
      <c r="V29"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5558.1372074508581</v>
      </c>
      <c r="W29"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29"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29"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29" s="47" t="str">
        <f ca="1">IF(DetailTable21[Period]&lt;DetailTable21[Model Year],"N/A",IF((AND(DetailTable21[Period]=DetailTable21[Model Year],DetailTable21[Period] =OFFSET(DetailTable21[[#This Row],[Period]],1,0))),"N/A",SUM(DetailTable21[[#This Row],[TOTAL  (MMBTU)]]:OFFSET(DetailTable21[[#This Row],[TOTAL  (MMBTU)]],-11,0))))</f>
        <v>N/A</v>
      </c>
      <c r="AA29"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29"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29"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29"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29"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29"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29" s="35"/>
      <c r="AH29" s="35"/>
      <c r="AI29" s="35"/>
      <c r="AJ29" s="35"/>
      <c r="AK29" s="35"/>
      <c r="AL29" s="35"/>
      <c r="AM29" s="35"/>
      <c r="AN29" s="35"/>
      <c r="AO29" s="35"/>
    </row>
    <row r="30" spans="1:41" x14ac:dyDescent="0.25">
      <c r="A30" s="42">
        <v>39539</v>
      </c>
      <c r="B30" s="35">
        <v>3872411</v>
      </c>
      <c r="C30" s="35">
        <v>39639.648643085995</v>
      </c>
      <c r="D30" s="35">
        <v>132410</v>
      </c>
      <c r="E30" s="35">
        <v>13241</v>
      </c>
      <c r="F30" s="35">
        <v>187297</v>
      </c>
      <c r="G30" s="35">
        <v>551</v>
      </c>
      <c r="H30" s="35">
        <v>0</v>
      </c>
      <c r="I30" s="37">
        <v>2008</v>
      </c>
      <c r="J30" s="35">
        <f>DetailTable21[Electricity (MMBTU)]+DetailTable21[Natural Gas (MMBTU)]</f>
        <v>52880.648643085995</v>
      </c>
      <c r="K30" s="35">
        <f>SUM(SUMIFS(DetailTable21[Production],DetailTable21[Period],DetailTable21[Period]))</f>
        <v>2587183</v>
      </c>
      <c r="L30" s="35">
        <v>2007</v>
      </c>
      <c r="M30" s="35">
        <v>2009</v>
      </c>
      <c r="N30" s="35">
        <v>2009</v>
      </c>
      <c r="O30"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30" s="36">
        <f>(0.121551243906 * DetailTable21[Production]) + (18.032961298995 * DetailTable21[CDD]) + 18050.33</f>
        <v>40816.513329862079</v>
      </c>
      <c r="Q30" s="36">
        <f>(0.045037114005 * DetailTable21[Production]) + (7.320957963031 * DetailTable21[HDD]) + 820.55</f>
        <v>13289.714179424565</v>
      </c>
      <c r="R30" s="36">
        <f>DetailTable21[Modeled Electricity (MMBTU)]+DetailTable21[Modeled Natural Gas (MMBTU)]</f>
        <v>54106.227509286648</v>
      </c>
      <c r="S30"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61979.620305450379</v>
      </c>
      <c r="T30" s="36">
        <f ca="1">IF(DetailTable21[Period]=DetailTable21[Model Year],"",DetailTable21[CUSUMHidden])</f>
        <v>61979.620305450379</v>
      </c>
      <c r="U30"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-213.47558695401676</v>
      </c>
      <c r="V30"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6135.2130807988433</v>
      </c>
      <c r="W30"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30"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0"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0" s="47" t="str">
        <f ca="1">IF(DetailTable21[Period]&lt;DetailTable21[Model Year],"N/A",IF((AND(DetailTable21[Period]=DetailTable21[Model Year],DetailTable21[Period] =OFFSET(DetailTable21[[#This Row],[Period]],1,0))),"N/A",SUM(DetailTable21[[#This Row],[TOTAL  (MMBTU)]]:OFFSET(DetailTable21[[#This Row],[TOTAL  (MMBTU)]],-11,0))))</f>
        <v>N/A</v>
      </c>
      <c r="AA30"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0"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0"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0"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0"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0"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0" s="35"/>
      <c r="AH30" s="35"/>
      <c r="AI30" s="35"/>
      <c r="AJ30" s="35"/>
      <c r="AK30" s="35"/>
      <c r="AL30" s="35"/>
      <c r="AM30" s="35"/>
      <c r="AN30" s="35"/>
      <c r="AO30" s="35"/>
    </row>
    <row r="31" spans="1:41" x14ac:dyDescent="0.25">
      <c r="A31" s="42">
        <v>39569</v>
      </c>
      <c r="B31" s="35">
        <v>4046746</v>
      </c>
      <c r="C31" s="35">
        <v>41424.215969796001</v>
      </c>
      <c r="D31" s="35">
        <v>95930</v>
      </c>
      <c r="E31" s="35">
        <v>9593</v>
      </c>
      <c r="F31" s="35">
        <v>188155</v>
      </c>
      <c r="G31" s="35">
        <v>202</v>
      </c>
      <c r="H31" s="35">
        <v>14</v>
      </c>
      <c r="I31" s="37">
        <v>2008</v>
      </c>
      <c r="J31" s="35">
        <f>DetailTable21[Electricity (MMBTU)]+DetailTable21[Natural Gas (MMBTU)]</f>
        <v>51017.215969796001</v>
      </c>
      <c r="K31" s="35">
        <f>SUM(SUMIFS(DetailTable21[Production],DetailTable21[Period],DetailTable21[Period]))</f>
        <v>2587183</v>
      </c>
      <c r="L31" s="35">
        <v>2007</v>
      </c>
      <c r="M31" s="35">
        <v>2009</v>
      </c>
      <c r="N31" s="35">
        <v>2009</v>
      </c>
      <c r="O31"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31" s="36">
        <f>(0.121551243906 * DetailTable21[Production]) + (18.032961298995 * DetailTable21[CDD]) + 18050.33</f>
        <v>41173.265755319364</v>
      </c>
      <c r="Q31" s="36">
        <f>(0.045037114005 * DetailTable21[Production]) + (7.320957963031 * DetailTable21[HDD]) + 820.55</f>
        <v>10773.341694143035</v>
      </c>
      <c r="R31" s="36">
        <f>DetailTable21[Modeled Electricity (MMBTU)]+DetailTable21[Modeled Natural Gas (MMBTU)]</f>
        <v>51946.607449462397</v>
      </c>
      <c r="S31"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61050.228825783983</v>
      </c>
      <c r="T31" s="36">
        <f ca="1">IF(DetailTable21[Period]=DetailTable21[Model Year],"",DetailTable21[CUSUMHidden])</f>
        <v>61050.228825783983</v>
      </c>
      <c r="U31"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-1641.2904882067378</v>
      </c>
      <c r="V31"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7266.840595517313</v>
      </c>
      <c r="W31"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31"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1"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1" s="47" t="str">
        <f ca="1">IF(DetailTable21[Period]&lt;DetailTable21[Model Year],"N/A",IF((AND(DetailTable21[Period]=DetailTable21[Model Year],DetailTable21[Period] =OFFSET(DetailTable21[[#This Row],[Period]],1,0))),"N/A",SUM(DetailTable21[[#This Row],[TOTAL  (MMBTU)]]:OFFSET(DetailTable21[[#This Row],[TOTAL  (MMBTU)]],-11,0))))</f>
        <v>N/A</v>
      </c>
      <c r="AA31"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1"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1"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1"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1"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1"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1" s="35"/>
      <c r="AH31" s="35"/>
      <c r="AI31" s="35"/>
      <c r="AJ31" s="35"/>
      <c r="AK31" s="35"/>
      <c r="AL31" s="35"/>
      <c r="AM31" s="35"/>
      <c r="AN31" s="35"/>
      <c r="AO31" s="35"/>
    </row>
    <row r="32" spans="1:41" x14ac:dyDescent="0.25">
      <c r="A32" s="42">
        <v>39600</v>
      </c>
      <c r="B32" s="35">
        <v>4276366</v>
      </c>
      <c r="C32" s="35">
        <v>43774.704107915997</v>
      </c>
      <c r="D32" s="35">
        <v>114110</v>
      </c>
      <c r="E32" s="35">
        <v>11411</v>
      </c>
      <c r="F32" s="35">
        <v>237147</v>
      </c>
      <c r="G32" s="35">
        <v>84</v>
      </c>
      <c r="H32" s="35">
        <v>153</v>
      </c>
      <c r="I32" s="37">
        <v>2008</v>
      </c>
      <c r="J32" s="35">
        <f>DetailTable21[Electricity (MMBTU)]+DetailTable21[Natural Gas (MMBTU)]</f>
        <v>55185.704107915997</v>
      </c>
      <c r="K32" s="35">
        <f>SUM(SUMIFS(DetailTable21[Production],DetailTable21[Period],DetailTable21[Period]))</f>
        <v>2587183</v>
      </c>
      <c r="L32" s="35">
        <v>2007</v>
      </c>
      <c r="M32" s="35">
        <v>2009</v>
      </c>
      <c r="N32" s="35">
        <v>2009</v>
      </c>
      <c r="O32"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32" s="36">
        <f>(0.121551243906 * DetailTable21[Production]) + (18.032961298995 * DetailTable21[CDD]) + 18050.33</f>
        <v>49634.885917322419</v>
      </c>
      <c r="Q32" s="36">
        <f>(0.045037114005 * DetailTable21[Production]) + (7.320957963031 * DetailTable21[HDD]) + 820.55</f>
        <v>12115.926943838338</v>
      </c>
      <c r="R32" s="36">
        <f>DetailTable21[Modeled Electricity (MMBTU)]+DetailTable21[Modeled Natural Gas (MMBTU)]</f>
        <v>61750.812861160754</v>
      </c>
      <c r="S32"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54485.120072539226</v>
      </c>
      <c r="T32" s="36">
        <f ca="1">IF(DetailTable21[Period]=DetailTable21[Model Year],"",DetailTable21[CUSUMHidden])</f>
        <v>54485.120072539226</v>
      </c>
      <c r="U32"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4469.8415356763217</v>
      </c>
      <c r="V32"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6791.425845212616</v>
      </c>
      <c r="W32"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32"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2"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2" s="47" t="str">
        <f ca="1">IF(DetailTable21[Period]&lt;DetailTable21[Model Year],"N/A",IF((AND(DetailTable21[Period]=DetailTable21[Model Year],DetailTable21[Period] =OFFSET(DetailTable21[[#This Row],[Period]],1,0))),"N/A",SUM(DetailTable21[[#This Row],[TOTAL  (MMBTU)]]:OFFSET(DetailTable21[[#This Row],[TOTAL  (MMBTU)]],-11,0))))</f>
        <v>N/A</v>
      </c>
      <c r="AA32"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2"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2"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2"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2"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2"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2" s="35"/>
      <c r="AH32" s="35"/>
      <c r="AI32" s="35"/>
      <c r="AJ32" s="35"/>
      <c r="AK32" s="35"/>
      <c r="AL32" s="35"/>
      <c r="AM32" s="35"/>
      <c r="AN32" s="35"/>
      <c r="AO32" s="35"/>
    </row>
    <row r="33" spans="1:41" x14ac:dyDescent="0.25">
      <c r="A33" s="42">
        <v>39630</v>
      </c>
      <c r="B33" s="35">
        <v>4731704</v>
      </c>
      <c r="C33" s="35">
        <v>48435.737849903999</v>
      </c>
      <c r="D33" s="35">
        <v>101330</v>
      </c>
      <c r="E33" s="35">
        <v>10133</v>
      </c>
      <c r="F33" s="35">
        <v>236993</v>
      </c>
      <c r="G33" s="35">
        <v>19</v>
      </c>
      <c r="H33" s="35">
        <v>93</v>
      </c>
      <c r="I33" s="37">
        <v>2008</v>
      </c>
      <c r="J33" s="35">
        <f>DetailTable21[Electricity (MMBTU)]+DetailTable21[Natural Gas (MMBTU)]</f>
        <v>58568.737849903999</v>
      </c>
      <c r="K33" s="35">
        <f>SUM(SUMIFS(DetailTable21[Production],DetailTable21[Period],DetailTable21[Period]))</f>
        <v>2587183</v>
      </c>
      <c r="L33" s="35">
        <v>2007</v>
      </c>
      <c r="M33" s="35">
        <v>2009</v>
      </c>
      <c r="N33" s="35">
        <v>2009</v>
      </c>
      <c r="O33"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33" s="36">
        <f>(0.121551243906 * DetailTable21[Production]) + (18.032961298995 * DetailTable21[CDD]) + 18050.33</f>
        <v>48534.1893478212</v>
      </c>
      <c r="Q33" s="36">
        <f>(0.045037114005 * DetailTable21[Production]) + (7.320957963031 * DetailTable21[HDD]) + 820.55</f>
        <v>11633.128960684553</v>
      </c>
      <c r="R33" s="36">
        <f>DetailTable21[Modeled Electricity (MMBTU)]+DetailTable21[Modeled Natural Gas (MMBTU)]</f>
        <v>60167.318308505754</v>
      </c>
      <c r="S33"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52886.539613937472</v>
      </c>
      <c r="T33" s="36">
        <f ca="1">IF(DetailTable21[Period]=DetailTable21[Model Year],"",DetailTable21[CUSUMHidden])</f>
        <v>52886.539613937472</v>
      </c>
      <c r="U33"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-1291.8887758128985</v>
      </c>
      <c r="V33"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7586.6278620588309</v>
      </c>
      <c r="W33"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33"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3"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3" s="47" t="str">
        <f ca="1">IF(DetailTable21[Period]&lt;DetailTable21[Model Year],"N/A",IF((AND(DetailTable21[Period]=DetailTable21[Model Year],DetailTable21[Period] =OFFSET(DetailTable21[[#This Row],[Period]],1,0))),"N/A",SUM(DetailTable21[[#This Row],[TOTAL  (MMBTU)]]:OFFSET(DetailTable21[[#This Row],[TOTAL  (MMBTU)]],-11,0))))</f>
        <v>N/A</v>
      </c>
      <c r="AA33"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3"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3"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3"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3"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3"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3" s="35"/>
      <c r="AH33" s="35"/>
      <c r="AI33" s="35"/>
      <c r="AJ33" s="35"/>
      <c r="AK33" s="35"/>
      <c r="AL33" s="35"/>
      <c r="AM33" s="35"/>
      <c r="AN33" s="35"/>
      <c r="AO33" s="35"/>
    </row>
    <row r="34" spans="1:41" x14ac:dyDescent="0.25">
      <c r="A34" s="42">
        <v>39661</v>
      </c>
      <c r="B34" s="35">
        <v>4825936</v>
      </c>
      <c r="C34" s="35">
        <v>49400.336744736</v>
      </c>
      <c r="D34" s="35">
        <v>114760</v>
      </c>
      <c r="E34" s="35">
        <v>11476</v>
      </c>
      <c r="F34" s="35">
        <v>241257</v>
      </c>
      <c r="G34" s="35">
        <v>32</v>
      </c>
      <c r="H34" s="35">
        <v>134</v>
      </c>
      <c r="I34" s="37">
        <v>2008</v>
      </c>
      <c r="J34" s="35">
        <f>DetailTable21[Electricity (MMBTU)]+DetailTable21[Natural Gas (MMBTU)]</f>
        <v>60876.336744736</v>
      </c>
      <c r="K34" s="35">
        <f>SUM(SUMIFS(DetailTable21[Production],DetailTable21[Period],DetailTable21[Period]))</f>
        <v>2587183</v>
      </c>
      <c r="L34" s="35">
        <v>2007</v>
      </c>
      <c r="M34" s="35">
        <v>2009</v>
      </c>
      <c r="N34" s="35">
        <v>2009</v>
      </c>
      <c r="O34"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34" s="36">
        <f>(0.121551243906 * DetailTable21[Production]) + (18.032961298995 * DetailTable21[CDD]) + 18050.33</f>
        <v>49791.835265095171</v>
      </c>
      <c r="Q34" s="36">
        <f>(0.045037114005 * DetailTable21[Production]) + (7.320957963031 * DetailTable21[HDD]) + 820.55</f>
        <v>11920.339668321276</v>
      </c>
      <c r="R34" s="36">
        <f>DetailTable21[Modeled Electricity (MMBTU)]+DetailTable21[Modeled Natural Gas (MMBTU)]</f>
        <v>61712.174933416449</v>
      </c>
      <c r="S34"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52050.701425257022</v>
      </c>
      <c r="T34" s="36">
        <f ca="1">IF(DetailTable21[Period]=DetailTable21[Model Year],"",DetailTable21[CUSUMHidden])</f>
        <v>52050.701425257022</v>
      </c>
      <c r="U34"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-998.84175337092893</v>
      </c>
      <c r="V34"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6530.8385696955538</v>
      </c>
      <c r="W34"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34"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4"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4" s="47" t="str">
        <f ca="1">IF(DetailTable21[Period]&lt;DetailTable21[Model Year],"N/A",IF((AND(DetailTable21[Period]=DetailTable21[Model Year],DetailTable21[Period] =OFFSET(DetailTable21[[#This Row],[Period]],1,0))),"N/A",SUM(DetailTable21[[#This Row],[TOTAL  (MMBTU)]]:OFFSET(DetailTable21[[#This Row],[TOTAL  (MMBTU)]],-11,0))))</f>
        <v>N/A</v>
      </c>
      <c r="AA34"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4"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4"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4"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4"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4"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4" s="35"/>
      <c r="AH34" s="35"/>
      <c r="AI34" s="35"/>
      <c r="AJ34" s="35"/>
      <c r="AK34" s="35"/>
      <c r="AL34" s="35"/>
      <c r="AM34" s="35"/>
      <c r="AN34" s="35"/>
      <c r="AO34" s="35"/>
    </row>
    <row r="35" spans="1:41" x14ac:dyDescent="0.25">
      <c r="A35" s="42">
        <v>39692</v>
      </c>
      <c r="B35" s="35">
        <v>4680616</v>
      </c>
      <c r="C35" s="35">
        <v>47912.779318415996</v>
      </c>
      <c r="D35" s="35">
        <v>118690</v>
      </c>
      <c r="E35" s="35">
        <v>11869</v>
      </c>
      <c r="F35" s="35">
        <v>231176</v>
      </c>
      <c r="G35" s="35">
        <v>77</v>
      </c>
      <c r="H35" s="35">
        <v>39</v>
      </c>
      <c r="I35" s="37">
        <v>2008</v>
      </c>
      <c r="J35" s="35">
        <f>DetailTable21[Electricity (MMBTU)]+DetailTable21[Natural Gas (MMBTU)]</f>
        <v>59781.779318415996</v>
      </c>
      <c r="K35" s="35">
        <f>SUM(SUMIFS(DetailTable21[Production],DetailTable21[Period],DetailTable21[Period]))</f>
        <v>2587183</v>
      </c>
      <c r="L35" s="35">
        <v>2007</v>
      </c>
      <c r="M35" s="35">
        <v>2009</v>
      </c>
      <c r="N35" s="35">
        <v>2009</v>
      </c>
      <c r="O35"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35" s="36">
        <f>(0.121551243906 * DetailTable21[Production]) + (18.032961298995 * DetailTable21[CDD]) + 18050.33</f>
        <v>46853.345851874263</v>
      </c>
      <c r="Q35" s="36">
        <f>(0.045037114005 * DetailTable21[Production]) + (7.320957963031 * DetailTable21[HDD]) + 820.55</f>
        <v>11795.763630373265</v>
      </c>
      <c r="R35" s="36">
        <f>DetailTable21[Modeled Electricity (MMBTU)]+DetailTable21[Modeled Natural Gas (MMBTU)]</f>
        <v>58649.109482247528</v>
      </c>
      <c r="S35"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53183.371261425491</v>
      </c>
      <c r="T35" s="36">
        <f ca="1">IF(DetailTable21[Period]=DetailTable21[Model Year],"",DetailTable21[CUSUMHidden])</f>
        <v>53183.371261425491</v>
      </c>
      <c r="U35"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-2449.773740271834</v>
      </c>
      <c r="V35"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6013.2625317475431</v>
      </c>
      <c r="W35"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35"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5"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5" s="47" t="str">
        <f ca="1">IF(DetailTable21[Period]&lt;DetailTable21[Model Year],"N/A",IF((AND(DetailTable21[Period]=DetailTable21[Model Year],DetailTable21[Period] =OFFSET(DetailTable21[[#This Row],[Period]],1,0))),"N/A",SUM(DetailTable21[[#This Row],[TOTAL  (MMBTU)]]:OFFSET(DetailTable21[[#This Row],[TOTAL  (MMBTU)]],-11,0))))</f>
        <v>N/A</v>
      </c>
      <c r="AA35"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5"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5"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5"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5"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5"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5" s="35"/>
      <c r="AH35" s="35"/>
      <c r="AI35" s="35"/>
      <c r="AJ35" s="35"/>
      <c r="AK35" s="35"/>
      <c r="AL35" s="35"/>
      <c r="AM35" s="35"/>
      <c r="AN35" s="35"/>
      <c r="AO35" s="35"/>
    </row>
    <row r="36" spans="1:41" x14ac:dyDescent="0.25">
      <c r="A36" s="42">
        <v>39722</v>
      </c>
      <c r="B36" s="35">
        <v>4998578</v>
      </c>
      <c r="C36" s="35">
        <v>51167.573802227998</v>
      </c>
      <c r="D36" s="35">
        <v>159500</v>
      </c>
      <c r="E36" s="35">
        <v>15950</v>
      </c>
      <c r="F36" s="35">
        <v>258807</v>
      </c>
      <c r="G36" s="35">
        <v>685</v>
      </c>
      <c r="H36" s="35">
        <v>0</v>
      </c>
      <c r="I36" s="37">
        <v>2008</v>
      </c>
      <c r="J36" s="35">
        <f>DetailTable21[Electricity (MMBTU)]+DetailTable21[Natural Gas (MMBTU)]</f>
        <v>67117.573802227998</v>
      </c>
      <c r="K36" s="35">
        <f>SUM(SUMIFS(DetailTable21[Production],DetailTable21[Period],DetailTable21[Period]))</f>
        <v>2587183</v>
      </c>
      <c r="L36" s="35">
        <v>2007</v>
      </c>
      <c r="M36" s="35">
        <v>2009</v>
      </c>
      <c r="N36" s="35">
        <v>2009</v>
      </c>
      <c r="O36"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36" s="36">
        <f>(0.121551243906 * DetailTable21[Production]) + (18.032961298995 * DetailTable21[CDD]) + 18050.33</f>
        <v>49508.642781580143</v>
      </c>
      <c r="Q36" s="36">
        <f>(0.045037114005 * DetailTable21[Production]) + (7.320957963031 * DetailTable21[HDD]) + 820.55</f>
        <v>17491.32656896827</v>
      </c>
      <c r="R36" s="36">
        <f>DetailTable21[Modeled Electricity (MMBTU)]+DetailTable21[Modeled Natural Gas (MMBTU)]</f>
        <v>66999.969350548417</v>
      </c>
      <c r="S36"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53300.975713105072</v>
      </c>
      <c r="T36" s="36">
        <f ca="1">IF(DetailTable21[Period]=DetailTable21[Model Year],"",DetailTable21[CUSUMHidden])</f>
        <v>53300.975713105072</v>
      </c>
      <c r="U36"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-3049.2712943779552</v>
      </c>
      <c r="V36"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7627.8254703425482</v>
      </c>
      <c r="W36"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36"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6"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6" s="47" t="str">
        <f ca="1">IF(DetailTable21[Period]&lt;DetailTable21[Model Year],"N/A",IF((AND(DetailTable21[Period]=DetailTable21[Model Year],DetailTable21[Period] =OFFSET(DetailTable21[[#This Row],[Period]],1,0))),"N/A",SUM(DetailTable21[[#This Row],[TOTAL  (MMBTU)]]:OFFSET(DetailTable21[[#This Row],[TOTAL  (MMBTU)]],-11,0))))</f>
        <v>N/A</v>
      </c>
      <c r="AA36"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6"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6"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6"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6"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6"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6" s="35"/>
      <c r="AH36" s="35"/>
      <c r="AI36" s="35"/>
      <c r="AJ36" s="35"/>
      <c r="AK36" s="35"/>
      <c r="AL36" s="35"/>
      <c r="AM36" s="35"/>
      <c r="AN36" s="35"/>
      <c r="AO36" s="35"/>
    </row>
    <row r="37" spans="1:41" x14ac:dyDescent="0.25">
      <c r="A37" s="42">
        <v>39753</v>
      </c>
      <c r="B37" s="35">
        <v>4472358</v>
      </c>
      <c r="C37" s="35">
        <v>45780.961712507997</v>
      </c>
      <c r="D37" s="35">
        <v>163660</v>
      </c>
      <c r="E37" s="35">
        <v>16366</v>
      </c>
      <c r="F37" s="35">
        <v>213166</v>
      </c>
      <c r="G37" s="35">
        <v>677</v>
      </c>
      <c r="H37" s="35">
        <v>0</v>
      </c>
      <c r="I37" s="37">
        <v>2008</v>
      </c>
      <c r="J37" s="35">
        <f>DetailTable21[Electricity (MMBTU)]+DetailTable21[Natural Gas (MMBTU)]</f>
        <v>62146.961712507997</v>
      </c>
      <c r="K37" s="35">
        <f>SUM(SUMIFS(DetailTable21[Production],DetailTable21[Period],DetailTable21[Period]))</f>
        <v>2587183</v>
      </c>
      <c r="L37" s="35">
        <v>2007</v>
      </c>
      <c r="M37" s="35">
        <v>2009</v>
      </c>
      <c r="N37" s="35">
        <v>2009</v>
      </c>
      <c r="O37"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37" s="36">
        <f>(0.121551243906 * DetailTable21[Production]) + (18.032961298995 * DetailTable21[CDD]) + 18050.33</f>
        <v>43960.922458466397</v>
      </c>
      <c r="Q37" s="36">
        <f>(0.045037114005 * DetailTable21[Production]) + (7.320957963031 * DetailTable21[HDD]) + 820.55</f>
        <v>15377.219984961815</v>
      </c>
      <c r="R37" s="36">
        <f>DetailTable21[Modeled Electricity (MMBTU)]+DetailTable21[Modeled Natural Gas (MMBTU)]</f>
        <v>59338.142443428209</v>
      </c>
      <c r="S37"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56109.79498218486</v>
      </c>
      <c r="T37" s="36">
        <f ca="1">IF(DetailTable21[Period]=DetailTable21[Model Year],"",DetailTable21[CUSUMHidden])</f>
        <v>56109.79498218486</v>
      </c>
      <c r="U37"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-3210.3795277716999</v>
      </c>
      <c r="V37"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5097.7188863360934</v>
      </c>
      <c r="W37"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37"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7"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7" s="47" t="str">
        <f ca="1">IF(DetailTable21[Period]&lt;DetailTable21[Model Year],"N/A",IF((AND(DetailTable21[Period]=DetailTable21[Model Year],DetailTable21[Period] =OFFSET(DetailTable21[[#This Row],[Period]],1,0))),"N/A",SUM(DetailTable21[[#This Row],[TOTAL  (MMBTU)]]:OFFSET(DetailTable21[[#This Row],[TOTAL  (MMBTU)]],-11,0))))</f>
        <v>N/A</v>
      </c>
      <c r="AA37"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7"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7"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7"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7"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7"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7" s="35"/>
      <c r="AH37" s="35"/>
      <c r="AI37" s="35"/>
      <c r="AJ37" s="35"/>
      <c r="AK37" s="35"/>
      <c r="AL37" s="35"/>
      <c r="AM37" s="35"/>
      <c r="AN37" s="35"/>
      <c r="AO37" s="35"/>
    </row>
    <row r="38" spans="1:41" x14ac:dyDescent="0.25">
      <c r="A38" s="42">
        <v>39783</v>
      </c>
      <c r="B38" s="35">
        <v>4297360</v>
      </c>
      <c r="C38" s="35">
        <v>43989.60763536</v>
      </c>
      <c r="D38" s="35">
        <v>220980</v>
      </c>
      <c r="E38" s="35">
        <v>22098</v>
      </c>
      <c r="F38" s="35">
        <v>207062</v>
      </c>
      <c r="G38" s="35">
        <v>1512</v>
      </c>
      <c r="H38" s="35">
        <v>0</v>
      </c>
      <c r="I38" s="37">
        <v>2008</v>
      </c>
      <c r="J38" s="35">
        <f>DetailTable21[Electricity (MMBTU)]+DetailTable21[Natural Gas (MMBTU)]</f>
        <v>66087.607635360007</v>
      </c>
      <c r="K38" s="35">
        <f>SUM(SUMIFS(DetailTable21[Production],DetailTable21[Period],DetailTable21[Period]))</f>
        <v>2587183</v>
      </c>
      <c r="L38" s="35">
        <v>2007</v>
      </c>
      <c r="M38" s="35">
        <v>2009</v>
      </c>
      <c r="N38" s="35">
        <v>2009</v>
      </c>
      <c r="O38" s="35"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Backcast</v>
      </c>
      <c r="P38" s="36">
        <f>(0.121551243906 * DetailTable21[Production]) + (18.032961298995 * DetailTable21[CDD]) + 18050.33</f>
        <v>43218.973665664176</v>
      </c>
      <c r="Q38" s="36">
        <f>(0.045037114005 * DetailTable21[Production]) + (7.320957963031 * DetailTable21[HDD]) + 820.55</f>
        <v>21215.313340206179</v>
      </c>
      <c r="R38" s="36">
        <f>DetailTable21[Modeled Electricity (MMBTU)]+DetailTable21[Modeled Natural Gas (MMBTU)]</f>
        <v>64434.287005870356</v>
      </c>
      <c r="S38" s="36">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38" s="36">
        <f ca="1">IF(DetailTable21[Period]=DetailTable21[Model Year],"",DetailTable21[CUSUMHidden])</f>
        <v>57763.115611674511</v>
      </c>
      <c r="U38" s="36">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-2160.9742434259242</v>
      </c>
      <c r="V38" s="36">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5203.8122415804573</v>
      </c>
      <c r="W38" s="47" t="str">
        <f ca="1">IF(DetailTable21[Period]&lt;=DetailTable21[Model Year],"N/A",SUM(DetailTable21[[#This Row],[Total Modeled Energy Consumption (MMBTU)]]:OFFSET(DetailTable21[[#This Row],[Total Modeled Energy Consumption (MMBTU)]],-11,0))-SUM(DetailTable21[[#This Row],[TOTAL  (MMBTU)]]:OFFSET(DetailTable21[[#This Row],[TOTAL  (MMBTU)]],-11,0)))</f>
        <v>N/A</v>
      </c>
      <c r="X38" s="49"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8" s="47"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8" s="47" t="str">
        <f ca="1">IF(DetailTable21[Period]&lt;DetailTable21[Model Year],"N/A",IF((AND(DetailTable21[Period]=DetailTable21[Model Year],DetailTable21[Period] =OFFSET(DetailTable21[[#This Row],[Period]],1,0))),"N/A",SUM(DetailTable21[[#This Row],[TOTAL  (MMBTU)]]:OFFSET(DetailTable21[[#This Row],[TOTAL  (MMBTU)]],-11,0))))</f>
        <v>N/A</v>
      </c>
      <c r="AA38" s="47"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8" s="47"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8" s="47"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8"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8"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8" s="47"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8" s="35"/>
      <c r="AH38" s="35"/>
      <c r="AI38" s="35"/>
      <c r="AJ38" s="35"/>
      <c r="AK38" s="35"/>
      <c r="AL38" s="35"/>
      <c r="AM38" s="35"/>
      <c r="AN38" s="35"/>
      <c r="AO38" s="35"/>
    </row>
    <row r="39" spans="1:41" x14ac:dyDescent="0.25">
      <c r="A39" s="41">
        <v>39814</v>
      </c>
      <c r="B39" s="38">
        <v>4222668</v>
      </c>
      <c r="C39" s="38">
        <v>43225.028504567999</v>
      </c>
      <c r="D39" s="38">
        <v>234830</v>
      </c>
      <c r="E39" s="38">
        <v>23483</v>
      </c>
      <c r="F39" s="38">
        <v>211655.4</v>
      </c>
      <c r="G39" s="38">
        <v>1718</v>
      </c>
      <c r="H39" s="38">
        <v>0</v>
      </c>
      <c r="I39" s="39">
        <v>2009</v>
      </c>
      <c r="J39" s="38">
        <f>DetailTable21[Electricity (MMBTU)]+DetailTable21[Natural Gas (MMBTU)]</f>
        <v>66708.028504568007</v>
      </c>
      <c r="K39" s="38">
        <f>SUM(SUMIFS(DetailTable21[Production],DetailTable21[Period],DetailTable21[Period]))</f>
        <v>2623576.9</v>
      </c>
      <c r="L39" s="38">
        <v>2007</v>
      </c>
      <c r="M39" s="38">
        <v>2009</v>
      </c>
      <c r="N39" s="38">
        <v>2009</v>
      </c>
      <c r="O39"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39" s="40">
        <f>(0.121551243906 * DetailTable21[Production]) + (18.032961298995 * DetailTable21[CDD]) + 18050.33</f>
        <v>43777.307149421991</v>
      </c>
      <c r="Q39" s="40">
        <f>(0.045037114005 * DetailTable21[Production]) + (7.320957963031 * DetailTable21[HDD]) + 820.55</f>
        <v>22930.304160061132</v>
      </c>
      <c r="R39" s="40">
        <f>DetailTable21[Modeled Electricity (MMBTU)]+DetailTable21[Modeled Natural Gas (MMBTU)]</f>
        <v>66707.611309483123</v>
      </c>
      <c r="S39"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39" s="40" t="str">
        <f>IF(DetailTable21[Period]=DetailTable21[Model Year],"",DetailTable21[CUSUMHidden])</f>
        <v/>
      </c>
      <c r="U39"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-838.06162887610844</v>
      </c>
      <c r="V39"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5533.8030614354102</v>
      </c>
      <c r="W39"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39"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39"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39" s="46" t="str">
        <f ca="1">IF(DetailTable21[Period]&lt;DetailTable21[Model Year],"N/A",IF((AND(DetailTable21[Period]=DetailTable21[Model Year],DetailTable21[Period] =OFFSET(DetailTable21[[#This Row],[Period]],1,0))),"N/A",SUM(DetailTable21[[#This Row],[TOTAL  (MMBTU)]]:OFFSET(DetailTable21[[#This Row],[TOTAL  (MMBTU)]],-11,0))))</f>
        <v>N/A</v>
      </c>
      <c r="AA39"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39"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39"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39"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39"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39"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39" s="35"/>
      <c r="AH39" s="35"/>
      <c r="AI39" s="35"/>
      <c r="AJ39" s="35"/>
      <c r="AK39" s="35"/>
      <c r="AL39" s="35"/>
      <c r="AM39" s="35"/>
      <c r="AN39" s="35"/>
      <c r="AO39" s="35"/>
    </row>
    <row r="40" spans="1:41" x14ac:dyDescent="0.25">
      <c r="A40" s="41">
        <v>39845</v>
      </c>
      <c r="B40" s="38">
        <v>3940038</v>
      </c>
      <c r="C40" s="38">
        <v>40331.907424188001</v>
      </c>
      <c r="D40" s="38">
        <v>212520</v>
      </c>
      <c r="E40" s="38">
        <v>21252</v>
      </c>
      <c r="F40" s="38">
        <v>213539</v>
      </c>
      <c r="G40" s="38">
        <v>1423</v>
      </c>
      <c r="H40" s="38">
        <v>0</v>
      </c>
      <c r="I40" s="39">
        <v>2009</v>
      </c>
      <c r="J40" s="38">
        <f>DetailTable21[Electricity (MMBTU)]+DetailTable21[Natural Gas (MMBTU)]</f>
        <v>61583.907424188001</v>
      </c>
      <c r="K40" s="38">
        <f>SUM(SUMIFS(DetailTable21[Production],DetailTable21[Period],DetailTable21[Period]))</f>
        <v>2623576.9</v>
      </c>
      <c r="L40" s="38">
        <v>2007</v>
      </c>
      <c r="M40" s="38">
        <v>2009</v>
      </c>
      <c r="N40" s="38">
        <v>2009</v>
      </c>
      <c r="O40"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0" s="40">
        <f>(0.121551243906 * DetailTable21[Production]) + (18.032961298995 * DetailTable21[CDD]) + 18050.33</f>
        <v>44006.261072443333</v>
      </c>
      <c r="Q40" s="40">
        <f>(0.045037114005 * DetailTable21[Production]) + (7.320957963031 * DetailTable21[HDD]) + 820.55</f>
        <v>20855.453468906806</v>
      </c>
      <c r="R40" s="40">
        <f>DetailTable21[Modeled Electricity (MMBTU)]+DetailTable21[Modeled Natural Gas (MMBTU)]</f>
        <v>64861.714541350142</v>
      </c>
      <c r="S40"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0" s="40" t="str">
        <f>IF(DetailTable21[Period]=DetailTable21[Model Year],"",DetailTable21[CUSUMHidden])</f>
        <v/>
      </c>
      <c r="U40"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2284.0133745252315</v>
      </c>
      <c r="V40"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5689.9523702810839</v>
      </c>
      <c r="W40"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0"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0"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0" s="46" t="str">
        <f ca="1">IF(DetailTable21[Period]&lt;DetailTable21[Model Year],"N/A",IF((AND(DetailTable21[Period]=DetailTable21[Model Year],DetailTable21[Period] =OFFSET(DetailTable21[[#This Row],[Period]],1,0))),"N/A",SUM(DetailTable21[[#This Row],[TOTAL  (MMBTU)]]:OFFSET(DetailTable21[[#This Row],[TOTAL  (MMBTU)]],-11,0))))</f>
        <v>N/A</v>
      </c>
      <c r="AA40"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0"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0"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0"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0"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0"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0" s="35"/>
      <c r="AH40" s="35"/>
      <c r="AI40" s="35"/>
      <c r="AJ40" s="35"/>
      <c r="AK40" s="35"/>
      <c r="AL40" s="35"/>
      <c r="AM40" s="35"/>
      <c r="AN40" s="35"/>
      <c r="AO40" s="35"/>
    </row>
    <row r="41" spans="1:41" x14ac:dyDescent="0.25">
      <c r="A41" s="41">
        <v>39873</v>
      </c>
      <c r="B41" s="38">
        <v>4218989</v>
      </c>
      <c r="C41" s="38">
        <v>43187.368693313998</v>
      </c>
      <c r="D41" s="38">
        <v>165500</v>
      </c>
      <c r="E41" s="38">
        <v>16550</v>
      </c>
      <c r="F41" s="38">
        <v>223455.5</v>
      </c>
      <c r="G41" s="38">
        <v>805</v>
      </c>
      <c r="H41" s="38">
        <v>0</v>
      </c>
      <c r="I41" s="39">
        <v>2009</v>
      </c>
      <c r="J41" s="38">
        <f>DetailTable21[Electricity (MMBTU)]+DetailTable21[Natural Gas (MMBTU)]</f>
        <v>59737.368693313998</v>
      </c>
      <c r="K41" s="38">
        <f>SUM(SUMIFS(DetailTable21[Production],DetailTable21[Period],DetailTable21[Period]))</f>
        <v>2623576.9</v>
      </c>
      <c r="L41" s="38">
        <v>2007</v>
      </c>
      <c r="M41" s="38">
        <v>2009</v>
      </c>
      <c r="N41" s="38">
        <v>2009</v>
      </c>
      <c r="O41"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1" s="40">
        <f>(0.121551243906 * DetailTable21[Production]) + (18.032961298995 * DetailTable21[CDD]) + 18050.33</f>
        <v>45211.623982637189</v>
      </c>
      <c r="Q41" s="40">
        <f>(0.045037114005 * DetailTable21[Production]) + (7.320957963031 * DetailTable21[HDD]) + 820.55</f>
        <v>16777.711988784231</v>
      </c>
      <c r="R41" s="40">
        <f>DetailTable21[Modeled Electricity (MMBTU)]+DetailTable21[Modeled Natural Gas (MMBTU)]</f>
        <v>61989.335971421417</v>
      </c>
      <c r="S41"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1" s="40" t="str">
        <f>IF(DetailTable21[Period]=DetailTable21[Model Year],"",DetailTable21[CUSUMHidden])</f>
        <v/>
      </c>
      <c r="U41"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633.91501559309108</v>
      </c>
      <c r="V41"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6314.2108901585088</v>
      </c>
      <c r="W41"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1"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1"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1" s="46" t="str">
        <f ca="1">IF(DetailTable21[Period]&lt;DetailTable21[Model Year],"N/A",IF((AND(DetailTable21[Period]=DetailTable21[Model Year],DetailTable21[Period] =OFFSET(DetailTable21[[#This Row],[Period]],1,0))),"N/A",SUM(DetailTable21[[#This Row],[TOTAL  (MMBTU)]]:OFFSET(DetailTable21[[#This Row],[TOTAL  (MMBTU)]],-11,0))))</f>
        <v>N/A</v>
      </c>
      <c r="AA41"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1"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1"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1"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1"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1"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1" s="35"/>
      <c r="AH41" s="35"/>
      <c r="AI41" s="35"/>
      <c r="AJ41" s="35"/>
      <c r="AK41" s="35"/>
      <c r="AL41" s="35"/>
      <c r="AM41" s="35"/>
      <c r="AN41" s="35"/>
      <c r="AO41" s="35"/>
    </row>
    <row r="42" spans="1:41" x14ac:dyDescent="0.25">
      <c r="A42" s="41">
        <v>39904</v>
      </c>
      <c r="B42" s="38">
        <v>4220890</v>
      </c>
      <c r="C42" s="38">
        <v>43206.828139140001</v>
      </c>
      <c r="D42" s="38">
        <v>126110</v>
      </c>
      <c r="E42" s="38">
        <v>12611</v>
      </c>
      <c r="F42" s="38">
        <v>208021.4</v>
      </c>
      <c r="G42" s="38">
        <v>327</v>
      </c>
      <c r="H42" s="38">
        <v>31</v>
      </c>
      <c r="I42" s="39">
        <v>2009</v>
      </c>
      <c r="J42" s="38">
        <f>DetailTable21[Electricity (MMBTU)]+DetailTable21[Natural Gas (MMBTU)]</f>
        <v>55817.828139140001</v>
      </c>
      <c r="K42" s="38">
        <f>SUM(SUMIFS(DetailTable21[Production],DetailTable21[Period],DetailTable21[Period]))</f>
        <v>2623576.9</v>
      </c>
      <c r="L42" s="38">
        <v>2007</v>
      </c>
      <c r="M42" s="38">
        <v>2009</v>
      </c>
      <c r="N42" s="38">
        <v>2009</v>
      </c>
      <c r="O42"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2" s="40">
        <f>(0.121551243906 * DetailTable21[Production]) + (18.032961298995 * DetailTable21[CDD]) + 18050.33</f>
        <v>43894.611729336437</v>
      </c>
      <c r="Q42" s="40">
        <f>(0.045037114005 * DetailTable21[Production]) + (7.320957963031 * DetailTable21[HDD]) + 820.55</f>
        <v>12583.186761190842</v>
      </c>
      <c r="R42" s="40">
        <f>DetailTable21[Modeled Electricity (MMBTU)]+DetailTable21[Modeled Natural Gas (MMBTU)]</f>
        <v>56477.798490527275</v>
      </c>
      <c r="S42"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2" s="40" t="str">
        <f>IF(DetailTable21[Period]=DetailTable21[Model Year],"",DetailTable21[CUSUMHidden])</f>
        <v/>
      </c>
      <c r="U42"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-702.55668353366491</v>
      </c>
      <c r="V42"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6058.6856625651199</v>
      </c>
      <c r="W42"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2"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2"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2" s="46" t="str">
        <f ca="1">IF(DetailTable21[Period]&lt;DetailTable21[Model Year],"N/A",IF((AND(DetailTable21[Period]=DetailTable21[Model Year],DetailTable21[Period] =OFFSET(DetailTable21[[#This Row],[Period]],1,0))),"N/A",SUM(DetailTable21[[#This Row],[TOTAL  (MMBTU)]]:OFFSET(DetailTable21[[#This Row],[TOTAL  (MMBTU)]],-11,0))))</f>
        <v>N/A</v>
      </c>
      <c r="AA42"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2"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2"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2"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2"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2"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2" s="35"/>
      <c r="AH42" s="35"/>
      <c r="AI42" s="35"/>
      <c r="AJ42" s="35"/>
      <c r="AK42" s="35"/>
      <c r="AL42" s="35"/>
      <c r="AM42" s="35"/>
      <c r="AN42" s="35"/>
      <c r="AO42" s="35"/>
    </row>
    <row r="43" spans="1:41" x14ac:dyDescent="0.25">
      <c r="A43" s="41">
        <v>39934</v>
      </c>
      <c r="B43" s="38">
        <v>4341676</v>
      </c>
      <c r="C43" s="38">
        <v>44443.245089976001</v>
      </c>
      <c r="D43" s="38">
        <v>112810</v>
      </c>
      <c r="E43" s="38">
        <v>11281</v>
      </c>
      <c r="F43" s="38">
        <v>190701.3</v>
      </c>
      <c r="G43" s="38">
        <v>223</v>
      </c>
      <c r="H43" s="38">
        <v>116</v>
      </c>
      <c r="I43" s="39">
        <v>2009</v>
      </c>
      <c r="J43" s="38">
        <f>DetailTable21[Electricity (MMBTU)]+DetailTable21[Natural Gas (MMBTU)]</f>
        <v>55724.245089976001</v>
      </c>
      <c r="K43" s="38">
        <f>SUM(SUMIFS(DetailTable21[Production],DetailTable21[Period],DetailTable21[Period]))</f>
        <v>2623576.9</v>
      </c>
      <c r="L43" s="38">
        <v>2007</v>
      </c>
      <c r="M43" s="38">
        <v>2009</v>
      </c>
      <c r="N43" s="38">
        <v>2009</v>
      </c>
      <c r="O43"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3" s="40">
        <f>(0.121551243906 * DetailTable21[Production]) + (18.032961298995 * DetailTable21[CDD]) + 18050.33</f>
        <v>43322.133740174701</v>
      </c>
      <c r="Q43" s="40">
        <f>(0.045037114005 * DetailTable21[Production]) + (7.320957963031 * DetailTable21[HDD]) + 820.55</f>
        <v>11041.759814757617</v>
      </c>
      <c r="R43" s="40">
        <f>DetailTable21[Modeled Electricity (MMBTU)]+DetailTable21[Modeled Natural Gas (MMBTU)]</f>
        <v>54363.893554932321</v>
      </c>
      <c r="S43"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3" s="40" t="str">
        <f>IF(DetailTable21[Period]=DetailTable21[Model Year],"",DetailTable21[CUSUMHidden])</f>
        <v/>
      </c>
      <c r="U43"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-2511.4516235314004</v>
      </c>
      <c r="V43"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5847.2587161318952</v>
      </c>
      <c r="W43"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3"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3"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3" s="46" t="str">
        <f ca="1">IF(DetailTable21[Period]&lt;DetailTable21[Model Year],"N/A",IF((AND(DetailTable21[Period]=DetailTable21[Model Year],DetailTable21[Period] =OFFSET(DetailTable21[[#This Row],[Period]],1,0))),"N/A",SUM(DetailTable21[[#This Row],[TOTAL  (MMBTU)]]:OFFSET(DetailTable21[[#This Row],[TOTAL  (MMBTU)]],-11,0))))</f>
        <v>N/A</v>
      </c>
      <c r="AA43"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3"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3"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3"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3"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3"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3" s="35"/>
      <c r="AH43" s="35"/>
      <c r="AI43" s="35"/>
      <c r="AJ43" s="35"/>
      <c r="AK43" s="35"/>
      <c r="AL43" s="35"/>
      <c r="AM43" s="35"/>
      <c r="AN43" s="35"/>
      <c r="AO43" s="35"/>
    </row>
    <row r="44" spans="1:41" x14ac:dyDescent="0.25">
      <c r="A44" s="41">
        <v>39965</v>
      </c>
      <c r="B44" s="38">
        <v>4708978</v>
      </c>
      <c r="C44" s="38">
        <v>48203.104832628</v>
      </c>
      <c r="D44" s="38">
        <v>105590</v>
      </c>
      <c r="E44" s="38">
        <v>10559</v>
      </c>
      <c r="F44" s="38">
        <v>206772.4</v>
      </c>
      <c r="G44" s="38">
        <v>13</v>
      </c>
      <c r="H44" s="38">
        <v>316</v>
      </c>
      <c r="I44" s="39">
        <v>2009</v>
      </c>
      <c r="J44" s="38">
        <f>DetailTable21[Electricity (MMBTU)]+DetailTable21[Natural Gas (MMBTU)]</f>
        <v>58762.104832628</v>
      </c>
      <c r="K44" s="38">
        <f>SUM(SUMIFS(DetailTable21[Production],DetailTable21[Period],DetailTable21[Period]))</f>
        <v>2623576.9</v>
      </c>
      <c r="L44" s="38">
        <v>2007</v>
      </c>
      <c r="M44" s="38">
        <v>2009</v>
      </c>
      <c r="N44" s="38">
        <v>2009</v>
      </c>
      <c r="O44"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4" s="40">
        <f>(0.121551243906 * DetailTable21[Production]) + (18.032961298995 * DetailTable21[CDD]) + 18050.33</f>
        <v>48882.188195911418</v>
      </c>
      <c r="Q44" s="40">
        <f>(0.045037114005 * DetailTable21[Production]) + (7.320957963031 * DetailTable21[HDD]) + 820.55</f>
        <v>10228.154605406862</v>
      </c>
      <c r="R44" s="40">
        <f>DetailTable21[Modeled Electricity (MMBTU)]+DetailTable21[Modeled Natural Gas (MMBTU)]</f>
        <v>59110.342801318278</v>
      </c>
      <c r="S44"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4" s="40" t="str">
        <f>IF(DetailTable21[Period]=DetailTable21[Model Year],"",DetailTable21[CUSUMHidden])</f>
        <v/>
      </c>
      <c r="U44"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-711.25691044668201</v>
      </c>
      <c r="V44"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5755.6535067811401</v>
      </c>
      <c r="W44"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4"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4"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4" s="46" t="str">
        <f ca="1">IF(DetailTable21[Period]&lt;DetailTable21[Model Year],"N/A",IF((AND(DetailTable21[Period]=DetailTable21[Model Year],DetailTable21[Period] =OFFSET(DetailTable21[[#This Row],[Period]],1,0))),"N/A",SUM(DetailTable21[[#This Row],[TOTAL  (MMBTU)]]:OFFSET(DetailTable21[[#This Row],[TOTAL  (MMBTU)]],-11,0))))</f>
        <v>N/A</v>
      </c>
      <c r="AA44"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4"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4"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4"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4"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4"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4" s="35"/>
      <c r="AH44" s="35"/>
      <c r="AI44" s="35"/>
      <c r="AJ44" s="35"/>
      <c r="AK44" s="35"/>
      <c r="AL44" s="35"/>
      <c r="AM44" s="35"/>
      <c r="AN44" s="35"/>
      <c r="AO44" s="35"/>
    </row>
    <row r="45" spans="1:41" x14ac:dyDescent="0.25">
      <c r="A45" s="41">
        <v>39995</v>
      </c>
      <c r="B45" s="38">
        <v>5193809</v>
      </c>
      <c r="C45" s="38">
        <v>53166.041486634</v>
      </c>
      <c r="D45" s="38">
        <v>112910</v>
      </c>
      <c r="E45" s="38">
        <v>11291</v>
      </c>
      <c r="F45" s="38">
        <v>236312</v>
      </c>
      <c r="G45" s="38">
        <v>0</v>
      </c>
      <c r="H45" s="38">
        <v>377</v>
      </c>
      <c r="I45" s="39">
        <v>2009</v>
      </c>
      <c r="J45" s="38">
        <f>DetailTable21[Electricity (MMBTU)]+DetailTable21[Natural Gas (MMBTU)]</f>
        <v>64457.041486634</v>
      </c>
      <c r="K45" s="38">
        <f>SUM(SUMIFS(DetailTable21[Production],DetailTable21[Period],DetailTable21[Period]))</f>
        <v>2623576.9</v>
      </c>
      <c r="L45" s="38">
        <v>2007</v>
      </c>
      <c r="M45" s="38">
        <v>2009</v>
      </c>
      <c r="N45" s="38">
        <v>2009</v>
      </c>
      <c r="O45"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5" s="40">
        <f>(0.121551243906 * DetailTable21[Production]) + (18.032961298995 * DetailTable21[CDD]) + 18050.33</f>
        <v>53572.773959635786</v>
      </c>
      <c r="Q45" s="40">
        <f>(0.045037114005 * DetailTable21[Production]) + (7.320957963031 * DetailTable21[HDD]) + 820.55</f>
        <v>11463.360484749559</v>
      </c>
      <c r="R45" s="40">
        <f>DetailTable21[Modeled Electricity (MMBTU)]+DetailTable21[Modeled Natural Gas (MMBTU)]</f>
        <v>65036.134444385345</v>
      </c>
      <c r="S45"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5" s="40" t="str">
        <f>IF(DetailTable21[Period]=DetailTable21[Model Year],"",DetailTable21[CUSUMHidden])</f>
        <v/>
      </c>
      <c r="U45"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-983.60780072831403</v>
      </c>
      <c r="V45"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6258.8593861238369</v>
      </c>
      <c r="W45"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5"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5"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5" s="46" t="str">
        <f ca="1">IF(DetailTable21[Period]&lt;DetailTable21[Model Year],"N/A",IF((AND(DetailTable21[Period]=DetailTable21[Model Year],DetailTable21[Period] =OFFSET(DetailTable21[[#This Row],[Period]],1,0))),"N/A",SUM(DetailTable21[[#This Row],[TOTAL  (MMBTU)]]:OFFSET(DetailTable21[[#This Row],[TOTAL  (MMBTU)]],-11,0))))</f>
        <v>N/A</v>
      </c>
      <c r="AA45"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5"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5"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5"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5"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5"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5" s="35"/>
      <c r="AH45" s="35"/>
      <c r="AI45" s="35"/>
      <c r="AJ45" s="35"/>
      <c r="AK45" s="35"/>
      <c r="AL45" s="35"/>
      <c r="AM45" s="35"/>
      <c r="AN45" s="35"/>
      <c r="AO45" s="35"/>
    </row>
    <row r="46" spans="1:41" x14ac:dyDescent="0.25">
      <c r="A46" s="41">
        <v>40026</v>
      </c>
      <c r="B46" s="38">
        <v>5373164</v>
      </c>
      <c r="C46" s="38">
        <v>55001.995671864002</v>
      </c>
      <c r="D46" s="38">
        <v>113730</v>
      </c>
      <c r="E46" s="38">
        <v>11373</v>
      </c>
      <c r="F46" s="38">
        <v>234273.9</v>
      </c>
      <c r="G46" s="38">
        <v>3</v>
      </c>
      <c r="H46" s="38">
        <v>394</v>
      </c>
      <c r="I46" s="39">
        <v>2009</v>
      </c>
      <c r="J46" s="38">
        <f>DetailTable21[Electricity (MMBTU)]+DetailTable21[Natural Gas (MMBTU)]</f>
        <v>66374.995671864002</v>
      </c>
      <c r="K46" s="38">
        <f>SUM(SUMIFS(DetailTable21[Production],DetailTable21[Period],DetailTable21[Period]))</f>
        <v>2623576.9</v>
      </c>
      <c r="L46" s="38">
        <v>2007</v>
      </c>
      <c r="M46" s="38">
        <v>2009</v>
      </c>
      <c r="N46" s="38">
        <v>2009</v>
      </c>
      <c r="O46"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6" s="40">
        <f>(0.121551243906 * DetailTable21[Production]) + (18.032961298995 * DetailTable21[CDD]) + 18050.33</f>
        <v>53631.600711513885</v>
      </c>
      <c r="Q46" s="40">
        <f>(0.045037114005 * DetailTable21[Production]) + (7.320957963031 * DetailTable21[HDD]) + 820.55</f>
        <v>11393.533216585061</v>
      </c>
      <c r="R46" s="40">
        <f>DetailTable21[Modeled Electricity (MMBTU)]+DetailTable21[Modeled Natural Gas (MMBTU)]</f>
        <v>65025.133928098949</v>
      </c>
      <c r="S46"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6" s="40" t="str">
        <f>IF(DetailTable21[Period]=DetailTable21[Model Year],"",DetailTable21[CUSUMHidden])</f>
        <v/>
      </c>
      <c r="U46"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-2760.7352340802172</v>
      </c>
      <c r="V46"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6107.0321179593393</v>
      </c>
      <c r="W46"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6"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6"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6" s="46" t="str">
        <f ca="1">IF(DetailTable21[Period]&lt;DetailTable21[Model Year],"N/A",IF((AND(DetailTable21[Period]=DetailTable21[Model Year],DetailTable21[Period] =OFFSET(DetailTable21[[#This Row],[Period]],1,0))),"N/A",SUM(DetailTable21[[#This Row],[TOTAL  (MMBTU)]]:OFFSET(DetailTable21[[#This Row],[TOTAL  (MMBTU)]],-11,0))))</f>
        <v>N/A</v>
      </c>
      <c r="AA46"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6"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6"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6"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6"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6"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6" s="35"/>
      <c r="AH46" s="35"/>
      <c r="AI46" s="35"/>
      <c r="AJ46" s="35"/>
      <c r="AK46" s="35"/>
      <c r="AL46" s="35"/>
      <c r="AM46" s="35"/>
      <c r="AN46" s="35"/>
      <c r="AO46" s="35"/>
    </row>
    <row r="47" spans="1:41" x14ac:dyDescent="0.25">
      <c r="A47" s="41">
        <v>40057</v>
      </c>
      <c r="B47" s="38">
        <v>5156702</v>
      </c>
      <c r="C47" s="38">
        <v>52786.198427052004</v>
      </c>
      <c r="D47" s="38">
        <v>118570</v>
      </c>
      <c r="E47" s="38">
        <v>11857</v>
      </c>
      <c r="F47" s="38">
        <v>240883</v>
      </c>
      <c r="G47" s="38">
        <v>159</v>
      </c>
      <c r="H47" s="38">
        <v>371</v>
      </c>
      <c r="I47" s="39">
        <v>2009</v>
      </c>
      <c r="J47" s="38">
        <f>DetailTable21[Electricity (MMBTU)]+DetailTable21[Natural Gas (MMBTU)]</f>
        <v>64643.198427052004</v>
      </c>
      <c r="K47" s="38">
        <f>SUM(SUMIFS(DetailTable21[Production],DetailTable21[Period],DetailTable21[Period]))</f>
        <v>2623576.9</v>
      </c>
      <c r="L47" s="38">
        <v>2007</v>
      </c>
      <c r="M47" s="38">
        <v>2009</v>
      </c>
      <c r="N47" s="38">
        <v>2009</v>
      </c>
      <c r="O47"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7" s="40">
        <f>(0.121551243906 * DetailTable21[Production]) + (18.032961298995 * DetailTable21[CDD]) + 18050.33</f>
        <v>54020.186927736147</v>
      </c>
      <c r="Q47" s="40">
        <f>(0.045037114005 * DetailTable21[Production]) + (7.320957963031 * DetailTable21[HDD]) + 820.55</f>
        <v>12833.257448988343</v>
      </c>
      <c r="R47" s="40">
        <f>DetailTable21[Modeled Electricity (MMBTU)]+DetailTable21[Modeled Natural Gas (MMBTU)]</f>
        <v>66853.444376724496</v>
      </c>
      <c r="S47"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7" s="40" t="str">
        <f>IF(DetailTable21[Period]=DetailTable21[Model Year],"",DetailTable21[CUSUMHidden])</f>
        <v/>
      </c>
      <c r="U47"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-156.35177304595709</v>
      </c>
      <c r="V47"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7062.7563503626207</v>
      </c>
      <c r="W47"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7"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7"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7" s="46" t="str">
        <f ca="1">IF(DetailTable21[Period]&lt;DetailTable21[Model Year],"N/A",IF((AND(DetailTable21[Period]=DetailTable21[Model Year],DetailTable21[Period] =OFFSET(DetailTable21[[#This Row],[Period]],1,0))),"N/A",SUM(DetailTable21[[#This Row],[TOTAL  (MMBTU)]]:OFFSET(DetailTable21[[#This Row],[TOTAL  (MMBTU)]],-11,0))))</f>
        <v>N/A</v>
      </c>
      <c r="AA47"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7"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7"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7"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7"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7"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7" s="35"/>
      <c r="AH47" s="35"/>
      <c r="AI47" s="35"/>
      <c r="AJ47" s="35"/>
      <c r="AK47" s="35"/>
      <c r="AL47" s="35"/>
      <c r="AM47" s="35"/>
      <c r="AN47" s="35"/>
      <c r="AO47" s="35"/>
    </row>
    <row r="48" spans="1:41" x14ac:dyDescent="0.25">
      <c r="A48" s="41">
        <v>40087</v>
      </c>
      <c r="B48" s="38">
        <v>5129761</v>
      </c>
      <c r="C48" s="38">
        <v>52510.418874185998</v>
      </c>
      <c r="D48" s="38">
        <v>153810</v>
      </c>
      <c r="E48" s="38">
        <v>15381</v>
      </c>
      <c r="F48" s="38">
        <v>253572</v>
      </c>
      <c r="G48" s="38">
        <v>374</v>
      </c>
      <c r="H48" s="38">
        <v>82</v>
      </c>
      <c r="I48" s="39">
        <v>2009</v>
      </c>
      <c r="J48" s="38">
        <f>DetailTable21[Electricity (MMBTU)]+DetailTable21[Natural Gas (MMBTU)]</f>
        <v>67891.418874185998</v>
      </c>
      <c r="K48" s="38">
        <f>SUM(SUMIFS(DetailTable21[Production],DetailTable21[Period],DetailTable21[Period]))</f>
        <v>2623576.9</v>
      </c>
      <c r="L48" s="38">
        <v>2007</v>
      </c>
      <c r="M48" s="38">
        <v>2009</v>
      </c>
      <c r="N48" s="38">
        <v>2009</v>
      </c>
      <c r="O48"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8" s="40">
        <f>(0.121551243906 * DetailTable21[Production]) + (18.032961298995 * DetailTable21[CDD]) + 18050.33</f>
        <v>50351.024846249828</v>
      </c>
      <c r="Q48" s="40">
        <f>(0.045037114005 * DetailTable21[Production]) + (7.320957963031 * DetailTable21[HDD]) + 820.55</f>
        <v>14978.739350649452</v>
      </c>
      <c r="R48" s="40">
        <f>DetailTable21[Modeled Electricity (MMBTU)]+DetailTable21[Modeled Natural Gas (MMBTU)]</f>
        <v>65329.764196899283</v>
      </c>
      <c r="S48"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8" s="40" t="str">
        <f>IF(DetailTable21[Period]=DetailTable21[Model Year],"",DetailTable21[CUSUMHidden])</f>
        <v/>
      </c>
      <c r="U48"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-3549.7343016662708</v>
      </c>
      <c r="V48"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5684.2382520237297</v>
      </c>
      <c r="W48"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8"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8"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8" s="46" t="str">
        <f ca="1">IF(DetailTable21[Period]&lt;DetailTable21[Model Year],"N/A",IF((AND(DetailTable21[Period]=DetailTable21[Model Year],DetailTable21[Period] =OFFSET(DetailTable21[[#This Row],[Period]],1,0))),"N/A",SUM(DetailTable21[[#This Row],[TOTAL  (MMBTU)]]:OFFSET(DetailTable21[[#This Row],[TOTAL  (MMBTU)]],-11,0))))</f>
        <v>N/A</v>
      </c>
      <c r="AA48"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8"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8"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8"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8"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8"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8" s="35"/>
      <c r="AH48" s="35"/>
      <c r="AI48" s="35"/>
      <c r="AJ48" s="35"/>
      <c r="AK48" s="35"/>
      <c r="AL48" s="35"/>
      <c r="AM48" s="35"/>
      <c r="AN48" s="35"/>
      <c r="AO48" s="35"/>
    </row>
    <row r="49" spans="1:41" x14ac:dyDescent="0.25">
      <c r="A49" s="41">
        <v>40118</v>
      </c>
      <c r="B49" s="38">
        <v>4585918</v>
      </c>
      <c r="C49" s="38">
        <v>46943.410249068002</v>
      </c>
      <c r="D49" s="38">
        <v>176900</v>
      </c>
      <c r="E49" s="38">
        <v>17690</v>
      </c>
      <c r="F49" s="38">
        <v>210502</v>
      </c>
      <c r="G49" s="38">
        <v>884</v>
      </c>
      <c r="H49" s="38">
        <v>0</v>
      </c>
      <c r="I49" s="39">
        <v>2009</v>
      </c>
      <c r="J49" s="38">
        <f>DetailTable21[Electricity (MMBTU)]+DetailTable21[Natural Gas (MMBTU)]</f>
        <v>64633.410249068002</v>
      </c>
      <c r="K49" s="38">
        <f>SUM(SUMIFS(DetailTable21[Production],DetailTable21[Period],DetailTable21[Period]))</f>
        <v>2623576.9</v>
      </c>
      <c r="L49" s="38">
        <v>2007</v>
      </c>
      <c r="M49" s="38">
        <v>2009</v>
      </c>
      <c r="N49" s="38">
        <v>2009</v>
      </c>
      <c r="O49"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49" s="40">
        <f>(0.121551243906 * DetailTable21[Production]) + (18.032961298995 * DetailTable21[CDD]) + 18050.33</f>
        <v>43637.109944700816</v>
      </c>
      <c r="Q49" s="40">
        <f>(0.045037114005 * DetailTable21[Production]) + (7.320957963031 * DetailTable21[HDD]) + 820.55</f>
        <v>16772.679411599911</v>
      </c>
      <c r="R49" s="40">
        <f>DetailTable21[Modeled Electricity (MMBTU)]+DetailTable21[Modeled Natural Gas (MMBTU)]</f>
        <v>60409.789356300724</v>
      </c>
      <c r="S49"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49" s="40" t="str">
        <f>IF(DetailTable21[Period]=DetailTable21[Model Year],"",DetailTable21[CUSUMHidden])</f>
        <v/>
      </c>
      <c r="U49"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-4696.6405780972855</v>
      </c>
      <c r="V49"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5169.1783129741889</v>
      </c>
      <c r="W49"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49" s="48" t="str">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N/A</v>
      </c>
      <c r="Y49"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49" s="46" t="str">
        <f ca="1">IF(DetailTable21[Period]&lt;DetailTable21[Model Year],"N/A",IF((AND(DetailTable21[Period]=DetailTable21[Model Year],DetailTable21[Period] =OFFSET(DetailTable21[[#This Row],[Period]],1,0))),"N/A",SUM(DetailTable21[[#This Row],[TOTAL  (MMBTU)]]:OFFSET(DetailTable21[[#This Row],[TOTAL  (MMBTU)]],-11,0))))</f>
        <v>N/A</v>
      </c>
      <c r="AA49" s="46" t="str">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N/A</v>
      </c>
      <c r="AB49" s="46" t="str">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N/A</v>
      </c>
      <c r="AC49" s="46" t="str">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N/A</v>
      </c>
      <c r="AD49"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49"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49"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49" s="35"/>
      <c r="AH49" s="35"/>
      <c r="AI49" s="35"/>
      <c r="AJ49" s="35"/>
      <c r="AK49" s="35"/>
      <c r="AL49" s="35"/>
      <c r="AM49" s="35"/>
      <c r="AN49" s="35"/>
      <c r="AO49" s="35"/>
    </row>
    <row r="50" spans="1:41" x14ac:dyDescent="0.25">
      <c r="A50" s="41">
        <v>40148</v>
      </c>
      <c r="B50" s="38">
        <v>4192774</v>
      </c>
      <c r="C50" s="38">
        <v>42919.020785724002</v>
      </c>
      <c r="D50" s="38">
        <v>190570</v>
      </c>
      <c r="E50" s="38">
        <v>19057</v>
      </c>
      <c r="F50" s="38">
        <v>193889</v>
      </c>
      <c r="G50" s="38">
        <v>1499</v>
      </c>
      <c r="H50" s="38">
        <v>0</v>
      </c>
      <c r="I50" s="39">
        <v>2009</v>
      </c>
      <c r="J50" s="38">
        <f>DetailTable21[Electricity (MMBTU)]+DetailTable21[Natural Gas (MMBTU)]</f>
        <v>61976.020785724002</v>
      </c>
      <c r="K50" s="38">
        <f>SUM(SUMIFS(DetailTable21[Production],DetailTable21[Period],DetailTable21[Period]))</f>
        <v>2623576.9</v>
      </c>
      <c r="L50" s="38">
        <v>2007</v>
      </c>
      <c r="M50" s="38">
        <v>2009</v>
      </c>
      <c r="N50" s="38">
        <v>2009</v>
      </c>
      <c r="O50" s="38" t="str">
        <f>IF(DetailTable21[Baseline Year]=DetailTable21[Model Year],IF(DetailTable21[Period]=DetailTable21[Model Year],"Model Year","Forecast"),IF(DetailTable21[Period]=DetailTable21[Model Year],"Model Year",IF(DetailTable21[Last Year]=DetailTable21[Model Year],"Backcast",IF(DetailTable21[Baseline Year]=DetailTable21[Model Year],"Forecast","Chaining"))))</f>
        <v>Model Year</v>
      </c>
      <c r="P50" s="40">
        <f>(0.121551243906 * DetailTable21[Production]) + (18.032961298995 * DetailTable21[CDD]) + 18050.33</f>
        <v>41617.779129690432</v>
      </c>
      <c r="Q50" s="40">
        <f>(0.045037114005 * DetailTable21[Production]) + (7.320957963031 * DetailTable21[HDD]) + 820.55</f>
        <v>20526.866983898912</v>
      </c>
      <c r="R50" s="40">
        <f>DetailTable21[Modeled Electricity (MMBTU)]+DetailTable21[Modeled Natural Gas (MMBTU)]</f>
        <v>62144.646113589348</v>
      </c>
      <c r="S50" s="40">
        <f ca="1">IF(DetailTable21[Period]=DetailTable21[Model Year],IF(ISNUMBER(OFFSET(INDIRECT(ADDRESS(ROW(),COLUMN())),-1,0,1,1))=TRUE,OFFSET(INDIRECT(ADDRESS(ROW(),COLUMN())),-1,0,1,1),0),DetailTable21[TOTAL  (MMBTU)]-DetailTable21[Total Modeled Energy Consumption (MMBTU)]+IF(ISNUMBER(OFFSET(INDIRECT(ADDRESS(ROW(),COLUMN())),-1,0,1,1))=TRUE,OFFSET(INDIRECT(ADDRESS(ROW(),COLUMN())),-1,0,1,1),0))</f>
        <v>57763.115611674511</v>
      </c>
      <c r="T50" s="40" t="str">
        <f>IF(DetailTable21[Period]=DetailTable21[Model Year],"",DetailTable21[CUSUMHidden])</f>
        <v/>
      </c>
      <c r="U50" s="40">
        <f ca="1">IF(DetailTable21[Baseline Year]=DetailTable21[Model Year],DetailTable21[Modeled Electricity (MMBTU)]-DetailTable21[Electricity (MMBTU)],IF(DetailTable21[Period]=DetailTable21[Model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(MMBTU)]))),0),IF(DetailTable21[Last Year]=DetailTable21[Model Year],IFERROR((OFFSET(INDIRECT(ADDRESS(ROW(),COLUMN())),-1,0,1,1)+((OFFSET(INDIRECT(ADDRESS(ROW(),COLUMN(DetailTable21[Electricity (MMBTU)]))),-1,0,1,1)-OFFSET(INDIRECT(ADDRESS(ROW(),COLUMN(DetailTable21[Modeled Electricity (MMBTU)]))),-1,0,1,1))-(DetailTable21[Electricity (MMBTU)]-DetailTable21[Modeled Electricity (MMBTU)]))),0),IF(DetailTable21[Baseline Year]=DetailTable21[Model Year],DetailTable21[Modeled Electricity (MMBTU)]-DetailTable21[Electricity (MMBTU)],IF(DetailTable21[Period]&lt;DetailTable21[Model Year],IFERROR((OFFSET(INDIRECT(ADDRESS(ROW(),COLUMN())),-1,0,1,1)+((OFFSET(INDIRECT(ADDRESS(ROW(),COLUMN(DetailTable21[Electricity (MMBTU)]))),-1,0,1,1)-OFFSET(INDIRECT(ADDRESS(ROW(),COLUMN(DetailTable21[Modeled Electricity (MMBTU)]))),-1,0,1,1))-(DetailTable21[Electricity (MMBTU)]-DetailTable21[Modeled Electricity (MMBTU)]))),0),DetailTable21[Modeled Electricity (MMBTU)] - DetailTable21[Electricity (MMBTU)])))))</f>
        <v>-2691.5819297636699</v>
      </c>
      <c r="V50" s="40">
        <f ca="1">IF(DetailTable21[Baseline Year]=DetailTable21[Model Year],DetailTable21[Modeled Natural Gas (MMBTU)]-DetailTable21[Natural Gas (MMBTU)],IF(DetailTable21[Period]=DetailTable21[Model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(MMBTU)]))),0),IF(DetailTable21[Last Year]=DetailTable21[Model Year],IFERROR((OFFSET(INDIRECT(ADDRESS(ROW(),COLUMN())),-1,0,1,1)+((OFFSET(INDIRECT(ADDRESS(ROW(),COLUMN(DetailTable21[Natural Gas (MMBTU)]))),-1,0,1,1)-OFFSET(INDIRECT(ADDRESS(ROW(),COLUMN(DetailTable21[Modeled Natural Gas (MMBTU)]))),-1,0,1,1))-(DetailTable21[Natural Gas (MMBTU)]-DetailTable21[Modeled Natural Gas (MMBTU)]))),0),IF(DetailTable21[Baseline Year]=DetailTable21[Model Year],DetailTable21[Modeled Natural Gas (MMBTU)]-DetailTable21[Natural Gas (MMBTU)],IF(DetailTable21[Period]&lt;DetailTable21[Model Year],IFERROR((OFFSET(INDIRECT(ADDRESS(ROW(),COLUMN())),-1,0,1,1)+((OFFSET(INDIRECT(ADDRESS(ROW(),COLUMN(DetailTable21[Natural Gas (MMBTU)]))),-1,0,1,1)-OFFSET(INDIRECT(ADDRESS(ROW(),COLUMN(DetailTable21[Modeled Natural Gas (MMBTU)]))),-1,0,1,1))-(DetailTable21[Natural Gas (MMBTU)]-DetailTable21[Modeled Natural Gas (MMBTU)]))),0),DetailTable21[Modeled Natural Gas (MMBTU)] - DetailTable21[Natural Gas (MMBTU)])))))</f>
        <v>7556.3658852731896</v>
      </c>
      <c r="W50" s="46" t="str">
        <f ca="1">IF(DetailTable21[Period]&lt;=DetailTable21[Model Year],"N/A",SUM(DetailTable21[[#This Row],[Total Modeled Energy Consumption (MMBTU)]]:OFFSET(DetailTable21[[#This Row],[Total Modeled Energy Consumption (MMBTU)]],-11,0))-SUM(DetailTable21[[#This Row],[TOTAL  (MMBTU)]]:OFFSET(DetailTable21[[#This Row],[TOTAL  (MMBTU)]],-11,0)))</f>
        <v>N/A</v>
      </c>
      <c r="X50" s="48">
        <f ca="1">IF(DetailTable21[Period]&lt;DetailTable21[Model Year],"N/A",IF((AND(DetailTable21[Period]=DetailTable21[Model Year],DetailTable21[Period] =OFFSET(DetailTable21[[#This Row],[Period]],1,0))),"N/A",IF((DetailTable21[Adjustment Method]="Forecast"),SUM(DetailTable21[[#This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(MMBTU)]],-11,0))*SUMIF(DetailTable21[Period],"2007",DetailTable21[Total Modeled Energy Consumption (MMBTU)])/SUMIF(DetailTable21[Period],"2007",DetailTable21[TOTAL  (MMBTU)]))))</f>
        <v>0.92497710287796941</v>
      </c>
      <c r="Y50" s="46" t="str">
        <f ca="1">IF(DetailTable21[Period]&lt;=DetailTable21[Model Year],"N/A",IF((DetailTable21[Adjustment Method]="Forecast"),SUM(DetailTable21[[#This Row],[Total Modeled Energy Consumption (MMBTU)]]:OFFSET(DetailTable21[[#This Row],[Total Modeled Energy Consumption (MMBTU)]],-11,0))-SUM(DetailTable21[[#This Row],[TOTAL  (MMBTU)]]:OFFSET(DetailTable21[[#This Row],[TOTAL  (MMBTU)]],-11,0)),SUM(DetailTable21[[#This Row],[Total Modeled Energy Consumption (MMBTU)]]:OFFSET(DetailTable21[[#This Row],[Total Modeled Energy Consumption (MMBTU)]],-11,0))-SUM(DetailTable21[[#This Row],[TOTAL  (MMBTU)]]:OFFSET(DetailTable21[[#This Row],[TOTAL  (MMBTU)]],-11,0))+SUMIF(DetailTable21[Period],"2007",DetailTable21[TOTAL  (MMBTU)])-SUMIF(DetailTable21[Period],"2007",DetailTable21[Total Modeled Energy Consumption (MMBTU)])))</f>
        <v>N/A</v>
      </c>
      <c r="Z50" s="46">
        <f ca="1">IF(DetailTable21[Period]&lt;DetailTable21[Model Year],"N/A",IF((AND(DetailTable21[Period]=DetailTable21[Model Year],DetailTable21[Period] =OFFSET(DetailTable21[[#This Row],[Period]],1,0))),"N/A",SUM(DetailTable21[[#This Row],[TOTAL  (MMBTU)]]:OFFSET(DetailTable21[[#This Row],[TOTAL  (MMBTU)]],-11,0))))</f>
        <v>748309.56817834207</v>
      </c>
      <c r="AA50" s="46">
        <f ca="1">IF(DetailTable21[Period]&lt;DetailTable21[Model Year],"N/A",IF((AND(DetailTable21[Period]=DetailTable21[Model Year],DetailTable21[Period] =OFFSET(DetailTable21[[#This Row],[Period]],1,0))),"N/A",IF((DetailTable21[Adjustment Method]="Forecast"),(1-0.05)*SUM(DetailTable21[[#This Row],[Total Modeled Energy Consumption (MMBTU)]]:OFFSET(DetailTable21[[#This Row],[Total Modeled Energy Consumption (MMBTU)]],-11,0)),(1-0.05)*SUM(DetailTable21[[#This Row],[Total Modeled Energy Consumption (MMBTU)]]:OFFSET(DetailTable21[[#This Row],[Total Modeled Energy Consumption (MMBTU)]],-11,0))*SUMIF(DetailTable21[Period],"2007",DetailTable21[TOTAL  (MMBTU)])/SUMIF(DetailTable21[Period],"2007",DetailTable21[Total Modeled Energy Consumption (MMBTU)]))))</f>
        <v>768553.17559489037</v>
      </c>
      <c r="AB50" s="46">
        <f ca="1">IF(DetailTable21[Period]&lt;DetailTable21[Model Year],"N/A",IF((AND(DetailTable21[Period]=DetailTable21[Model Year],DetailTable21[Period] =OFFSET(DetailTable21[[#This Row],[Period]],1,0))),"N/A",IF((DetailTable21[Adjustment Method]="Forecast"),(1-0.1)*SUM(DetailTable21[[#This Row],[Total Modeled Energy Consumption (MMBTU)]]:OFFSET(DetailTable21[[#This Row],[Total Modeled Energy Consumption (MMBTU)]],-11,0)),(1-0.1)*SUM(DetailTable21[[#This Row],[Total Modeled Energy Consumption (MMBTU)]]:OFFSET(DetailTable21[[#This Row],[Total Modeled Energy Consumption (MMBTU)]],-11,0))*SUMIF(DetailTable21[Period],"2007",DetailTable21[TOTAL  (MMBTU)])/SUMIF(DetailTable21[Period],"2007",DetailTable21[Total Modeled Energy Consumption (MMBTU)]))))</f>
        <v>728103.00845831714</v>
      </c>
      <c r="AC50" s="46">
        <f ca="1">IF(DetailTable21[Period]&lt;DetailTable21[Model Year],"N/A",IF((AND(DetailTable21[Period]=DetailTable21[Model Year],DetailTable21[Period] =OFFSET(DetailTable21[[#This Row],[Period]],1,0))),"N/A",IF((DetailTable21[Adjustment Method]="Forecast"),(1-0.15)*SUM(DetailTable21[[#This Row],[Total Modeled Energy Consumption (MMBTU)]]:OFFSET(DetailTable21[[#This Row],[Total Modeled Energy Consumption (MMBTU)]],-11,0)),(1-0.15)*SUM(DetailTable21[[#This Row],[Total Modeled Energy Consumption (MMBTU)]]:OFFSET(DetailTable21[[#This Row],[Total Modeled Energy Consumption (MMBTU)]],-11,0))*SUMIF(DetailTable21[Period],"2007",DetailTable21[TOTAL  (MMBTU)])/SUMIF(DetailTable21[Period],"2007",DetailTable21[Total Modeled Energy Consumption (MMBTU)]))))</f>
        <v>687652.84132174402</v>
      </c>
      <c r="AD50"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5% improvement target],SUM(DetailTable21[[#This Row],[Total Modeled Energy Consumption (MMBTU)]]:OFFSET(DetailTable21[[#This Row],[Total Modeled Energy Consumption (MMBTU)]],-11,0))-DetailTable21[For SEP Only: Trailing Twelve Month Actual Energy Consumption to meet 5% improvement target]+SUMIF(DetailTable21[Period],"2007",DetailTable21[TOTAL  (MMBTU)])/SUMIF(DetailTable21[Period],"2007",DetailTable21[Total Modeled Energy Consumption (MMBTU)])))</f>
        <v>N/A</v>
      </c>
      <c r="AE50"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10% improvement target],SUM(DetailTable21[[#This Row],[Total Modeled Energy Consumption (MMBTU)]]:OFFSET(DetailTable21[[#This Row],[Total Modeled Energy Consumption (MMBTU)]],-11,0))-DetailTable21[For SEP Only: Trailing Twelve Month Actual Energy Consumption to meet 10% improvement target]+SUMIF(DetailTable21[Period],"2007",DetailTable21[TOTAL  (MMBTU)])/SUMIF(DetailTable21[Period],"2007",DetailTable21[Total Modeled Energy Consumption (MMBTU)])))</f>
        <v>N/A</v>
      </c>
      <c r="AF50" s="46" t="str">
        <f ca="1">IF(DetailTable21[Period]&lt;=DetailTable21[Model Year],"N/A",IF((DetailTable21[Adjustment Method]="Forecast"),SUM(DetailTable21[[#This Row],[Total Modeled Energy Consumption (MMBTU)]]:OFFSET(DetailTable21[[#This Row],[Total Modeled Energy Consumption (MMBTU)]],-11,0))-DetailTable21[For SEP Only: Trailing Twelve Month Actual Energy Consumption to meet 15% improvement target],SUM(DetailTable21[[#This Row],[Total Modeled Energy Consumption (MMBTU)]]:OFFSET(DetailTable21[[#This Row],[Total Modeled Energy Consumption (MMBTU)]],-11,0))-DetailTable21[For SEP Only: Trailing Twelve Month Actual Energy Consumption to meet 15% improvement target]+SUMIF(DetailTable21[Period],"2007",DetailTable21[TOTAL  (MMBTU)])/SUMIF(DetailTable21[Period],"2007",DetailTable21[Total Modeled Energy Consumption (MMBTU)])))</f>
        <v>N/A</v>
      </c>
      <c r="AG50" s="35"/>
      <c r="AH50" s="35"/>
      <c r="AI50" s="35"/>
      <c r="AJ50" s="35"/>
      <c r="AK50" s="35"/>
      <c r="AL50" s="35"/>
      <c r="AM50" s="35"/>
      <c r="AN50" s="35"/>
      <c r="AO50" s="35"/>
    </row>
    <row r="51" spans="1:41" x14ac:dyDescent="0.25">
      <c r="B51" s="35"/>
      <c r="C51" s="35"/>
      <c r="D51" s="35"/>
      <c r="E51" s="35"/>
      <c r="F51" s="35"/>
      <c r="G51" s="35"/>
      <c r="H51" s="35"/>
      <c r="I51" s="37"/>
      <c r="J51" s="35"/>
      <c r="K51" s="35"/>
      <c r="L51" s="35"/>
      <c r="M51" s="35"/>
      <c r="N51" s="35"/>
      <c r="O51" s="35"/>
      <c r="P51" s="35"/>
      <c r="Q51" s="35"/>
      <c r="R51" s="35"/>
      <c r="S51" s="35"/>
      <c r="T51" s="35"/>
      <c r="U51" s="35"/>
      <c r="V51" s="35"/>
      <c r="W51" s="35"/>
      <c r="X51" s="35"/>
      <c r="Y51" s="35"/>
      <c r="Z51" s="35"/>
      <c r="AA51" s="35"/>
      <c r="AB51" s="35"/>
      <c r="AC51" s="35"/>
      <c r="AD51" s="35"/>
      <c r="AE51" s="35"/>
    </row>
    <row r="52" spans="1:41" x14ac:dyDescent="0.25">
      <c r="B52" s="35"/>
      <c r="C52" s="35"/>
      <c r="D52" s="35"/>
      <c r="E52" s="35"/>
      <c r="F52" s="35"/>
      <c r="G52" s="35"/>
      <c r="H52" s="35"/>
      <c r="I52" s="37"/>
      <c r="J52" s="35"/>
      <c r="K52" s="35"/>
      <c r="L52" s="35"/>
      <c r="M52" s="35"/>
      <c r="N52" s="35"/>
      <c r="O52" s="35"/>
      <c r="P52" s="35"/>
      <c r="Q52" s="35"/>
      <c r="R52" s="35"/>
      <c r="S52" s="35"/>
      <c r="T52" s="35"/>
      <c r="U52" s="35"/>
      <c r="V52" s="35"/>
      <c r="W52" s="35"/>
      <c r="X52" s="35"/>
      <c r="Y52" s="35"/>
      <c r="Z52" s="35"/>
      <c r="AA52" s="35"/>
      <c r="AB52" s="35"/>
      <c r="AC52" s="35"/>
      <c r="AD52" s="35"/>
      <c r="AE52" s="35"/>
    </row>
    <row r="53" spans="1:41" x14ac:dyDescent="0.25">
      <c r="B53" s="35"/>
      <c r="C53" s="35"/>
      <c r="D53" s="35"/>
      <c r="E53" s="35"/>
      <c r="F53" s="35"/>
      <c r="G53" s="35"/>
      <c r="H53" s="35"/>
      <c r="I53" s="37"/>
      <c r="J53" s="35"/>
      <c r="K53" s="35"/>
      <c r="L53" s="35"/>
      <c r="M53" s="35"/>
      <c r="N53" s="35"/>
      <c r="O53" s="35"/>
      <c r="P53" s="35"/>
      <c r="Q53" s="35"/>
      <c r="R53" s="35"/>
      <c r="S53" s="35"/>
      <c r="T53" s="35"/>
      <c r="U53" s="35"/>
      <c r="V53" s="35"/>
      <c r="W53" s="35"/>
      <c r="X53" s="35"/>
      <c r="Y53" s="35"/>
      <c r="Z53" s="35"/>
      <c r="AA53" s="35"/>
      <c r="AB53" s="35"/>
      <c r="AC53" s="35"/>
      <c r="AD53" s="35"/>
      <c r="AE53" s="35"/>
    </row>
    <row r="54" spans="1:41" x14ac:dyDescent="0.25">
      <c r="B54" s="35"/>
      <c r="C54" s="35"/>
      <c r="D54" s="35"/>
      <c r="E54" s="35"/>
      <c r="F54" s="35"/>
      <c r="G54" s="35"/>
      <c r="H54" s="35"/>
      <c r="I54" s="37"/>
      <c r="J54" s="35"/>
      <c r="K54" s="35"/>
      <c r="L54" s="35"/>
      <c r="M54" s="35"/>
      <c r="N54" s="35"/>
      <c r="O54" s="35"/>
      <c r="P54" s="35"/>
      <c r="Q54" s="35"/>
      <c r="R54" s="35"/>
      <c r="S54" s="35"/>
      <c r="T54" s="35"/>
      <c r="U54" s="35"/>
      <c r="V54" s="35"/>
      <c r="W54" s="35"/>
      <c r="X54" s="35"/>
      <c r="Y54" s="35"/>
      <c r="Z54" s="35"/>
      <c r="AA54" s="35"/>
      <c r="AB54" s="35"/>
      <c r="AC54" s="35"/>
      <c r="AD54" s="35"/>
      <c r="AE54" s="35"/>
    </row>
    <row r="55" spans="1:41" x14ac:dyDescent="0.25">
      <c r="B55" s="35"/>
      <c r="C55" s="35"/>
      <c r="D55" s="35"/>
      <c r="E55" s="35"/>
      <c r="F55" s="35"/>
      <c r="G55" s="35"/>
      <c r="H55" s="35"/>
      <c r="I55" s="37"/>
      <c r="J55" s="35"/>
      <c r="K55" s="35"/>
      <c r="L55" s="35"/>
      <c r="M55" s="35"/>
      <c r="N55" s="35"/>
      <c r="O55" s="35"/>
      <c r="P55" s="35"/>
      <c r="Q55" s="35"/>
      <c r="R55" s="35"/>
      <c r="S55" s="35"/>
      <c r="T55" s="35"/>
      <c r="U55" s="35"/>
      <c r="V55" s="35"/>
      <c r="W55" s="35"/>
      <c r="X55" s="35"/>
      <c r="Y55" s="35"/>
      <c r="Z55" s="35"/>
      <c r="AA55" s="35"/>
      <c r="AB55" s="35"/>
      <c r="AC55" s="35"/>
      <c r="AD55" s="35"/>
      <c r="AE55" s="35"/>
    </row>
    <row r="56" spans="1:41" x14ac:dyDescent="0.25">
      <c r="B56" s="35"/>
      <c r="C56" s="35"/>
      <c r="D56" s="35"/>
      <c r="E56" s="35"/>
      <c r="F56" s="35"/>
      <c r="G56" s="35"/>
      <c r="H56" s="35"/>
      <c r="I56" s="37"/>
      <c r="J56" s="35"/>
      <c r="K56" s="35"/>
      <c r="L56" s="35"/>
      <c r="M56" s="35"/>
      <c r="N56" s="35"/>
      <c r="O56" s="35"/>
      <c r="P56" s="35"/>
      <c r="Q56" s="35"/>
      <c r="R56" s="35"/>
      <c r="S56" s="35"/>
      <c r="T56" s="35"/>
      <c r="U56" s="35"/>
      <c r="V56" s="35"/>
      <c r="W56" s="35"/>
      <c r="X56" s="35"/>
      <c r="Y56" s="35"/>
      <c r="Z56" s="35"/>
      <c r="AA56" s="35"/>
      <c r="AB56" s="35"/>
      <c r="AC56" s="35"/>
      <c r="AD56" s="35"/>
      <c r="AE56" s="35"/>
    </row>
    <row r="57" spans="1:41" x14ac:dyDescent="0.25">
      <c r="B57" s="35"/>
      <c r="C57" s="35"/>
      <c r="D57" s="35"/>
      <c r="E57" s="35"/>
      <c r="F57" s="35"/>
      <c r="G57" s="35"/>
      <c r="H57" s="35"/>
      <c r="I57" s="37"/>
      <c r="J57" s="35"/>
      <c r="K57" s="35"/>
      <c r="L57" s="35"/>
      <c r="M57" s="35"/>
      <c r="N57" s="35"/>
      <c r="O57" s="35"/>
      <c r="P57" s="35"/>
      <c r="Q57" s="35"/>
      <c r="R57" s="35"/>
      <c r="S57" s="35"/>
      <c r="T57" s="35"/>
      <c r="U57" s="35"/>
      <c r="V57" s="35"/>
      <c r="W57" s="35"/>
      <c r="X57" s="35"/>
      <c r="Y57" s="35"/>
      <c r="Z57" s="35"/>
      <c r="AA57" s="35"/>
      <c r="AB57" s="35"/>
      <c r="AC57" s="35"/>
      <c r="AD57" s="35"/>
      <c r="AE57" s="35"/>
    </row>
    <row r="58" spans="1:41" x14ac:dyDescent="0.25">
      <c r="B58" s="35"/>
      <c r="C58" s="35"/>
      <c r="D58" s="35"/>
      <c r="E58" s="35"/>
      <c r="F58" s="35"/>
      <c r="G58" s="35"/>
      <c r="H58" s="35"/>
      <c r="I58" s="37"/>
      <c r="J58" s="35"/>
      <c r="K58" s="35"/>
      <c r="L58" s="35"/>
      <c r="M58" s="35"/>
      <c r="N58" s="35"/>
      <c r="O58" s="35"/>
      <c r="P58" s="35"/>
      <c r="Q58" s="35"/>
      <c r="R58" s="35"/>
      <c r="S58" s="35"/>
      <c r="T58" s="35"/>
      <c r="U58" s="35"/>
      <c r="V58" s="35"/>
      <c r="W58" s="35"/>
      <c r="X58" s="35"/>
      <c r="Y58" s="35"/>
      <c r="Z58" s="35"/>
      <c r="AA58" s="35"/>
      <c r="AB58" s="35"/>
      <c r="AC58" s="35"/>
      <c r="AD58" s="35"/>
      <c r="AE58" s="35"/>
    </row>
    <row r="59" spans="1:41" x14ac:dyDescent="0.25">
      <c r="B59" s="35"/>
      <c r="C59" s="35"/>
      <c r="D59" s="35"/>
      <c r="E59" s="35"/>
      <c r="F59" s="35"/>
      <c r="G59" s="35"/>
      <c r="H59" s="35"/>
      <c r="I59" s="37"/>
      <c r="J59" s="35"/>
      <c r="K59" s="35"/>
      <c r="L59" s="35"/>
      <c r="M59" s="35"/>
      <c r="N59" s="35"/>
      <c r="O59" s="35"/>
      <c r="P59" s="35"/>
      <c r="Q59" s="35"/>
      <c r="R59" s="35"/>
      <c r="S59" s="35"/>
      <c r="T59" s="35"/>
      <c r="U59" s="35"/>
      <c r="V59" s="35"/>
      <c r="W59" s="35"/>
      <c r="X59" s="35"/>
      <c r="Y59" s="35"/>
      <c r="Z59" s="35"/>
      <c r="AA59" s="35"/>
      <c r="AB59" s="35"/>
      <c r="AC59" s="35"/>
      <c r="AD59" s="35"/>
      <c r="AE59" s="35"/>
    </row>
    <row r="60" spans="1:41" x14ac:dyDescent="0.25">
      <c r="B60" s="35"/>
      <c r="C60" s="35"/>
      <c r="D60" s="35"/>
      <c r="E60" s="35"/>
      <c r="F60" s="35"/>
      <c r="G60" s="35"/>
      <c r="H60" s="35"/>
      <c r="I60" s="37"/>
      <c r="J60" s="35"/>
      <c r="K60" s="35"/>
      <c r="L60" s="35"/>
      <c r="M60" s="35"/>
      <c r="N60" s="35"/>
      <c r="O60" s="35"/>
      <c r="P60" s="35"/>
      <c r="Q60" s="35"/>
      <c r="R60" s="35"/>
      <c r="S60" s="35"/>
      <c r="T60" s="35"/>
      <c r="U60" s="35"/>
      <c r="V60" s="35"/>
      <c r="W60" s="35"/>
      <c r="X60" s="35"/>
      <c r="Y60" s="35"/>
      <c r="Z60" s="35"/>
      <c r="AA60" s="35"/>
      <c r="AB60" s="35"/>
      <c r="AC60" s="35"/>
      <c r="AD60" s="35"/>
      <c r="AE60" s="35"/>
    </row>
    <row r="61" spans="1:41" x14ac:dyDescent="0.25">
      <c r="B61" s="35"/>
      <c r="C61" s="35"/>
      <c r="D61" s="35"/>
      <c r="E61" s="35"/>
      <c r="F61" s="35"/>
      <c r="G61" s="35"/>
      <c r="H61" s="35"/>
      <c r="I61" s="37"/>
      <c r="J61" s="35"/>
      <c r="K61" s="35"/>
      <c r="L61" s="35"/>
      <c r="M61" s="35"/>
      <c r="N61" s="35"/>
      <c r="O61" s="35"/>
      <c r="P61" s="35"/>
      <c r="Q61" s="35"/>
      <c r="R61" s="35"/>
      <c r="S61" s="35"/>
      <c r="T61" s="35"/>
      <c r="U61" s="35"/>
      <c r="V61" s="35"/>
      <c r="W61" s="35"/>
      <c r="X61" s="35"/>
      <c r="Y61" s="35"/>
      <c r="Z61" s="35"/>
      <c r="AA61" s="35"/>
      <c r="AB61" s="35"/>
      <c r="AC61" s="35"/>
      <c r="AD61" s="35"/>
      <c r="AE61" s="35"/>
    </row>
    <row r="62" spans="1:41" x14ac:dyDescent="0.25">
      <c r="B62" s="35"/>
      <c r="C62" s="35"/>
      <c r="D62" s="35"/>
      <c r="E62" s="35"/>
      <c r="F62" s="35"/>
      <c r="G62" s="35"/>
      <c r="H62" s="35"/>
      <c r="I62" s="37"/>
      <c r="J62" s="35"/>
      <c r="K62" s="35"/>
      <c r="L62" s="35"/>
      <c r="M62" s="35"/>
      <c r="N62" s="35"/>
      <c r="O62" s="35"/>
      <c r="P62" s="35"/>
      <c r="Q62" s="35"/>
      <c r="R62" s="35"/>
      <c r="S62" s="35"/>
      <c r="T62" s="35"/>
      <c r="U62" s="35"/>
      <c r="V62" s="35"/>
      <c r="W62" s="35"/>
      <c r="X62" s="35"/>
      <c r="Y62" s="35"/>
      <c r="Z62" s="35"/>
      <c r="AA62" s="35"/>
      <c r="AB62" s="35"/>
      <c r="AC62" s="35"/>
      <c r="AD62" s="35"/>
      <c r="AE62" s="35"/>
    </row>
    <row r="63" spans="1:41" x14ac:dyDescent="0.25">
      <c r="B63" s="35"/>
      <c r="C63" s="35"/>
      <c r="D63" s="35"/>
      <c r="E63" s="35"/>
      <c r="F63" s="35"/>
      <c r="G63" s="35"/>
      <c r="H63" s="35"/>
      <c r="I63" s="37"/>
      <c r="J63" s="35"/>
      <c r="K63" s="35"/>
      <c r="L63" s="35"/>
      <c r="M63" s="35"/>
      <c r="N63" s="35"/>
      <c r="O63" s="35"/>
      <c r="P63" s="35"/>
      <c r="Q63" s="35"/>
      <c r="R63" s="35"/>
      <c r="S63" s="35"/>
      <c r="T63" s="35"/>
      <c r="U63" s="35"/>
      <c r="V63" s="35"/>
      <c r="W63" s="35"/>
      <c r="X63" s="35"/>
      <c r="Y63" s="35"/>
      <c r="Z63" s="35"/>
      <c r="AA63" s="35"/>
      <c r="AB63" s="35"/>
      <c r="AC63" s="35"/>
      <c r="AD63" s="35"/>
      <c r="AE63" s="35"/>
    </row>
    <row r="64" spans="1:41" x14ac:dyDescent="0.25">
      <c r="B64" s="35"/>
      <c r="C64" s="35"/>
      <c r="D64" s="35"/>
      <c r="E64" s="35"/>
      <c r="F64" s="35"/>
      <c r="G64" s="35"/>
      <c r="H64" s="35"/>
      <c r="I64" s="37"/>
      <c r="J64" s="35"/>
      <c r="K64" s="35"/>
      <c r="L64" s="35"/>
      <c r="M64" s="35"/>
      <c r="N64" s="35"/>
      <c r="O64" s="35"/>
      <c r="P64" s="35"/>
      <c r="Q64" s="35"/>
      <c r="R64" s="35"/>
      <c r="S64" s="35"/>
      <c r="T64" s="35"/>
      <c r="U64" s="35"/>
      <c r="V64" s="35"/>
      <c r="W64" s="35"/>
      <c r="X64" s="35"/>
      <c r="Y64" s="35"/>
      <c r="Z64" s="35"/>
      <c r="AA64" s="35"/>
      <c r="AB64" s="35"/>
      <c r="AC64" s="35"/>
      <c r="AD64" s="35"/>
      <c r="AE64" s="35"/>
    </row>
    <row r="65" spans="2:31" x14ac:dyDescent="0.25">
      <c r="B65" s="35"/>
      <c r="C65" s="35"/>
      <c r="D65" s="35"/>
      <c r="E65" s="35"/>
      <c r="F65" s="35"/>
      <c r="G65" s="35"/>
      <c r="H65" s="35"/>
      <c r="I65" s="37"/>
      <c r="J65" s="35"/>
      <c r="K65" s="35"/>
      <c r="L65" s="35"/>
      <c r="M65" s="35"/>
      <c r="N65" s="35"/>
      <c r="O65" s="35"/>
      <c r="P65" s="35"/>
      <c r="Q65" s="35"/>
      <c r="R65" s="35"/>
      <c r="S65" s="35"/>
      <c r="T65" s="35"/>
      <c r="U65" s="35"/>
      <c r="V65" s="35"/>
      <c r="W65" s="35"/>
      <c r="X65" s="35"/>
      <c r="Y65" s="35"/>
      <c r="Z65" s="35"/>
      <c r="AA65" s="35"/>
      <c r="AB65" s="35"/>
      <c r="AC65" s="35"/>
      <c r="AD65" s="35"/>
      <c r="AE65" s="35"/>
    </row>
    <row r="66" spans="2:31" x14ac:dyDescent="0.25">
      <c r="B66" s="35"/>
      <c r="C66" s="35"/>
      <c r="D66" s="35"/>
      <c r="E66" s="35"/>
      <c r="F66" s="35"/>
      <c r="G66" s="35"/>
      <c r="H66" s="35"/>
      <c r="I66" s="37"/>
      <c r="J66" s="35"/>
      <c r="K66" s="35"/>
      <c r="L66" s="35"/>
      <c r="M66" s="35"/>
      <c r="N66" s="35"/>
      <c r="O66" s="35"/>
      <c r="P66" s="35"/>
      <c r="Q66" s="35"/>
      <c r="R66" s="35"/>
      <c r="S66" s="35"/>
      <c r="T66" s="35"/>
      <c r="U66" s="35"/>
      <c r="V66" s="35"/>
      <c r="W66" s="35"/>
      <c r="X66" s="35"/>
      <c r="Y66" s="35"/>
      <c r="Z66" s="35"/>
      <c r="AA66" s="35"/>
      <c r="AB66" s="35"/>
      <c r="AC66" s="35"/>
      <c r="AD66" s="35"/>
      <c r="AE66" s="35"/>
    </row>
    <row r="67" spans="2:31" x14ac:dyDescent="0.25">
      <c r="B67" s="35"/>
      <c r="C67" s="35"/>
      <c r="D67" s="35"/>
      <c r="E67" s="35"/>
      <c r="F67" s="35"/>
      <c r="G67" s="35"/>
      <c r="H67" s="35"/>
      <c r="I67" s="37"/>
      <c r="J67" s="35"/>
      <c r="K67" s="35"/>
      <c r="L67" s="35"/>
      <c r="M67" s="35"/>
      <c r="N67" s="35"/>
      <c r="O67" s="35"/>
      <c r="P67" s="35"/>
      <c r="Q67" s="35"/>
      <c r="R67" s="35"/>
      <c r="S67" s="35"/>
      <c r="T67" s="35"/>
      <c r="U67" s="35"/>
      <c r="V67" s="35"/>
      <c r="W67" s="35"/>
      <c r="X67" s="35"/>
      <c r="Y67" s="35"/>
      <c r="Z67" s="35"/>
      <c r="AA67" s="35"/>
      <c r="AB67" s="35"/>
      <c r="AC67" s="35"/>
      <c r="AD67" s="35"/>
      <c r="AE67" s="35"/>
    </row>
    <row r="68" spans="2:31" x14ac:dyDescent="0.25">
      <c r="B68" s="35"/>
      <c r="C68" s="35"/>
      <c r="D68" s="35"/>
      <c r="E68" s="35"/>
      <c r="F68" s="35"/>
      <c r="G68" s="35"/>
      <c r="H68" s="35"/>
      <c r="I68" s="37"/>
      <c r="J68" s="35"/>
      <c r="K68" s="35"/>
      <c r="L68" s="35"/>
      <c r="M68" s="35"/>
      <c r="N68" s="35"/>
      <c r="O68" s="35"/>
      <c r="P68" s="35"/>
      <c r="Q68" s="35"/>
      <c r="R68" s="35"/>
      <c r="S68" s="35"/>
      <c r="T68" s="35"/>
      <c r="U68" s="35"/>
      <c r="V68" s="35"/>
      <c r="W68" s="35"/>
      <c r="X68" s="35"/>
      <c r="Y68" s="35"/>
      <c r="Z68" s="35"/>
      <c r="AA68" s="35"/>
      <c r="AB68" s="35"/>
      <c r="AC68" s="35"/>
      <c r="AD68" s="35"/>
      <c r="AE68" s="35"/>
    </row>
    <row r="69" spans="2:31" x14ac:dyDescent="0.25">
      <c r="B69" s="35"/>
      <c r="C69" s="35"/>
      <c r="D69" s="35"/>
      <c r="E69" s="35"/>
      <c r="F69" s="35"/>
      <c r="G69" s="35"/>
      <c r="H69" s="35"/>
      <c r="I69" s="37"/>
      <c r="J69" s="35"/>
      <c r="K69" s="35"/>
      <c r="L69" s="35"/>
      <c r="M69" s="35"/>
      <c r="N69" s="35"/>
      <c r="O69" s="35"/>
      <c r="P69" s="35"/>
      <c r="Q69" s="35"/>
      <c r="R69" s="35"/>
      <c r="S69" s="35"/>
      <c r="T69" s="35"/>
      <c r="U69" s="35"/>
      <c r="V69" s="35"/>
      <c r="W69" s="35"/>
      <c r="X69" s="35"/>
      <c r="Y69" s="35"/>
      <c r="Z69" s="35"/>
      <c r="AA69" s="35"/>
      <c r="AB69" s="35"/>
      <c r="AC69" s="35"/>
      <c r="AD69" s="35"/>
      <c r="AE69" s="35"/>
    </row>
    <row r="70" spans="2:31" x14ac:dyDescent="0.25">
      <c r="B70" s="35"/>
      <c r="C70" s="35"/>
      <c r="D70" s="35"/>
      <c r="E70" s="35"/>
      <c r="F70" s="35"/>
      <c r="G70" s="35"/>
      <c r="H70" s="35"/>
      <c r="I70" s="37"/>
      <c r="J70" s="35"/>
      <c r="K70" s="35"/>
      <c r="L70" s="35"/>
      <c r="M70" s="35"/>
      <c r="N70" s="35"/>
      <c r="O70" s="35"/>
      <c r="P70" s="35"/>
      <c r="Q70" s="35"/>
      <c r="R70" s="35"/>
      <c r="S70" s="35"/>
      <c r="T70" s="35"/>
      <c r="U70" s="35"/>
      <c r="V70" s="35"/>
      <c r="W70" s="35"/>
      <c r="X70" s="35"/>
      <c r="Y70" s="35"/>
      <c r="Z70" s="35"/>
      <c r="AA70" s="35"/>
      <c r="AB70" s="35"/>
      <c r="AC70" s="35"/>
      <c r="AD70" s="35"/>
      <c r="AE70" s="35"/>
    </row>
    <row r="71" spans="2:31" x14ac:dyDescent="0.25">
      <c r="B71" s="35"/>
      <c r="C71" s="35"/>
      <c r="D71" s="35"/>
      <c r="E71" s="35"/>
      <c r="F71" s="35"/>
      <c r="G71" s="35"/>
      <c r="H71" s="35"/>
      <c r="I71" s="37"/>
      <c r="J71" s="35"/>
      <c r="K71" s="35"/>
      <c r="L71" s="35"/>
      <c r="M71" s="35"/>
      <c r="N71" s="35"/>
      <c r="O71" s="35"/>
      <c r="P71" s="35"/>
      <c r="Q71" s="35"/>
      <c r="R71" s="35"/>
      <c r="S71" s="35"/>
      <c r="T71" s="35"/>
      <c r="U71" s="35"/>
      <c r="V71" s="35"/>
      <c r="W71" s="35"/>
      <c r="X71" s="35"/>
      <c r="Y71" s="35"/>
      <c r="Z71" s="35"/>
      <c r="AA71" s="35"/>
      <c r="AB71" s="35"/>
      <c r="AC71" s="35"/>
      <c r="AD71" s="35"/>
      <c r="AE71" s="35"/>
    </row>
    <row r="72" spans="2:31" x14ac:dyDescent="0.25">
      <c r="B72" s="35"/>
      <c r="C72" s="35"/>
      <c r="D72" s="35"/>
      <c r="E72" s="35"/>
      <c r="F72" s="35"/>
      <c r="G72" s="35"/>
      <c r="H72" s="35"/>
      <c r="I72" s="37"/>
      <c r="J72" s="35"/>
      <c r="K72" s="35"/>
      <c r="L72" s="35"/>
      <c r="M72" s="35"/>
      <c r="N72" s="35"/>
      <c r="O72" s="35"/>
      <c r="P72" s="35"/>
      <c r="Q72" s="35"/>
      <c r="R72" s="35"/>
      <c r="S72" s="35"/>
      <c r="T72" s="35"/>
      <c r="U72" s="35"/>
      <c r="V72" s="35"/>
      <c r="W72" s="35"/>
      <c r="X72" s="35"/>
      <c r="Y72" s="35"/>
      <c r="Z72" s="35"/>
      <c r="AA72" s="35"/>
      <c r="AB72" s="35"/>
      <c r="AC72" s="35"/>
      <c r="AD72" s="35"/>
      <c r="AE72" s="35"/>
    </row>
    <row r="73" spans="2:31" x14ac:dyDescent="0.25">
      <c r="B73" s="35"/>
      <c r="C73" s="35"/>
      <c r="D73" s="35"/>
      <c r="E73" s="35"/>
      <c r="F73" s="35"/>
      <c r="G73" s="35"/>
      <c r="H73" s="35"/>
      <c r="I73" s="37"/>
      <c r="J73" s="35"/>
      <c r="K73" s="35"/>
      <c r="L73" s="35"/>
      <c r="M73" s="35"/>
      <c r="N73" s="35"/>
      <c r="O73" s="35"/>
      <c r="P73" s="35"/>
      <c r="Q73" s="35"/>
      <c r="R73" s="35"/>
      <c r="S73" s="35"/>
      <c r="T73" s="35"/>
      <c r="U73" s="35"/>
      <c r="V73" s="35"/>
      <c r="W73" s="35"/>
      <c r="X73" s="35"/>
      <c r="Y73" s="35"/>
      <c r="Z73" s="35"/>
      <c r="AA73" s="35"/>
      <c r="AB73" s="35"/>
      <c r="AC73" s="35"/>
      <c r="AD73" s="35"/>
      <c r="AE73" s="35"/>
    </row>
    <row r="74" spans="2:31" x14ac:dyDescent="0.25">
      <c r="B74" s="35"/>
      <c r="C74" s="35"/>
      <c r="D74" s="35"/>
      <c r="E74" s="35"/>
      <c r="F74" s="35"/>
      <c r="G74" s="35"/>
      <c r="H74" s="35"/>
      <c r="I74" s="37"/>
      <c r="J74" s="35"/>
      <c r="K74" s="35"/>
      <c r="L74" s="35"/>
      <c r="M74" s="35"/>
      <c r="N74" s="35"/>
      <c r="O74" s="35"/>
      <c r="P74" s="35"/>
      <c r="Q74" s="35"/>
      <c r="R74" s="35"/>
      <c r="S74" s="35"/>
      <c r="T74" s="35"/>
      <c r="U74" s="35"/>
      <c r="V74" s="35"/>
      <c r="W74" s="35"/>
      <c r="X74" s="35"/>
      <c r="Y74" s="35"/>
      <c r="Z74" s="35"/>
      <c r="AA74" s="35"/>
      <c r="AB74" s="35"/>
      <c r="AC74" s="35"/>
      <c r="AD74" s="35"/>
      <c r="AE74" s="35"/>
    </row>
    <row r="75" spans="2:31" x14ac:dyDescent="0.25">
      <c r="B75" s="35"/>
      <c r="C75" s="35"/>
      <c r="D75" s="35"/>
      <c r="E75" s="35"/>
      <c r="F75" s="35"/>
      <c r="G75" s="35"/>
      <c r="H75" s="35"/>
      <c r="I75" s="37"/>
      <c r="J75" s="35"/>
      <c r="K75" s="35"/>
      <c r="L75" s="35"/>
      <c r="M75" s="35"/>
      <c r="N75" s="35"/>
      <c r="O75" s="35"/>
      <c r="P75" s="35"/>
      <c r="Q75" s="35"/>
      <c r="R75" s="35"/>
      <c r="S75" s="35"/>
      <c r="T75" s="35"/>
      <c r="U75" s="35"/>
      <c r="V75" s="35"/>
      <c r="W75" s="35"/>
      <c r="X75" s="35"/>
      <c r="Y75" s="35"/>
      <c r="Z75" s="35"/>
      <c r="AA75" s="35"/>
      <c r="AB75" s="35"/>
      <c r="AC75" s="35"/>
      <c r="AD75" s="35"/>
      <c r="AE75" s="35"/>
    </row>
    <row r="76" spans="2:31" x14ac:dyDescent="0.25">
      <c r="B76" s="35"/>
      <c r="C76" s="35"/>
      <c r="D76" s="35"/>
      <c r="E76" s="35"/>
      <c r="F76" s="35"/>
      <c r="G76" s="35"/>
      <c r="H76" s="35"/>
      <c r="I76" s="37"/>
      <c r="J76" s="35"/>
      <c r="K76" s="35"/>
      <c r="L76" s="35"/>
      <c r="M76" s="35"/>
      <c r="N76" s="35"/>
      <c r="O76" s="35"/>
      <c r="P76" s="35"/>
      <c r="Q76" s="35"/>
      <c r="R76" s="35"/>
      <c r="S76" s="35"/>
      <c r="T76" s="35"/>
      <c r="U76" s="35"/>
      <c r="V76" s="35"/>
      <c r="W76" s="35"/>
      <c r="X76" s="35"/>
      <c r="Y76" s="35"/>
      <c r="Z76" s="35"/>
      <c r="AA76" s="35"/>
      <c r="AB76" s="35"/>
      <c r="AC76" s="35"/>
      <c r="AD76" s="35"/>
      <c r="AE76" s="35"/>
    </row>
    <row r="77" spans="2:31" x14ac:dyDescent="0.25">
      <c r="B77" s="35"/>
      <c r="C77" s="35"/>
      <c r="D77" s="35"/>
      <c r="E77" s="35"/>
      <c r="F77" s="35"/>
      <c r="G77" s="35"/>
      <c r="H77" s="35"/>
      <c r="I77" s="37"/>
      <c r="J77" s="35"/>
      <c r="K77" s="35"/>
      <c r="L77" s="35"/>
      <c r="M77" s="35"/>
      <c r="N77" s="35"/>
      <c r="O77" s="35"/>
      <c r="P77" s="35"/>
      <c r="Q77" s="35"/>
      <c r="R77" s="35"/>
      <c r="S77" s="35"/>
      <c r="T77" s="35"/>
      <c r="U77" s="35"/>
      <c r="V77" s="35"/>
      <c r="W77" s="35"/>
      <c r="X77" s="35"/>
      <c r="Y77" s="35"/>
      <c r="Z77" s="35"/>
      <c r="AA77" s="35"/>
      <c r="AB77" s="35"/>
      <c r="AC77" s="35"/>
      <c r="AD77" s="35"/>
      <c r="AE77" s="35"/>
    </row>
    <row r="78" spans="2:31" x14ac:dyDescent="0.25">
      <c r="B78" s="35"/>
      <c r="C78" s="35"/>
      <c r="D78" s="35"/>
      <c r="E78" s="35"/>
      <c r="F78" s="35"/>
      <c r="G78" s="35"/>
      <c r="H78" s="35"/>
      <c r="I78" s="37"/>
      <c r="J78" s="35"/>
      <c r="K78" s="35"/>
      <c r="L78" s="35"/>
      <c r="M78" s="35"/>
      <c r="N78" s="35"/>
      <c r="O78" s="35"/>
      <c r="P78" s="35"/>
      <c r="Q78" s="35"/>
      <c r="R78" s="35"/>
      <c r="S78" s="35"/>
      <c r="T78" s="35"/>
      <c r="U78" s="35"/>
      <c r="V78" s="35"/>
      <c r="W78" s="35"/>
      <c r="X78" s="35"/>
      <c r="Y78" s="35"/>
      <c r="Z78" s="35"/>
      <c r="AA78" s="35"/>
      <c r="AB78" s="35"/>
      <c r="AC78" s="35"/>
      <c r="AD78" s="35"/>
      <c r="AE78" s="35"/>
    </row>
    <row r="79" spans="2:31" x14ac:dyDescent="0.25">
      <c r="B79" s="35"/>
      <c r="C79" s="35"/>
      <c r="D79" s="35"/>
      <c r="E79" s="35"/>
      <c r="F79" s="35"/>
      <c r="G79" s="35"/>
      <c r="H79" s="35"/>
      <c r="I79" s="37"/>
      <c r="J79" s="35"/>
      <c r="K79" s="35"/>
      <c r="L79" s="35"/>
      <c r="M79" s="35"/>
      <c r="N79" s="35"/>
      <c r="O79" s="35"/>
      <c r="P79" s="35"/>
      <c r="Q79" s="35"/>
      <c r="R79" s="35"/>
      <c r="S79" s="35"/>
      <c r="T79" s="35"/>
      <c r="U79" s="35"/>
      <c r="V79" s="35"/>
      <c r="W79" s="35"/>
      <c r="X79" s="35"/>
      <c r="Y79" s="35"/>
      <c r="Z79" s="35"/>
      <c r="AA79" s="35"/>
      <c r="AB79" s="35"/>
      <c r="AC79" s="35"/>
      <c r="AD79" s="35"/>
      <c r="AE79" s="35"/>
    </row>
    <row r="80" spans="2:31" x14ac:dyDescent="0.25">
      <c r="B80" s="35"/>
      <c r="C80" s="35"/>
      <c r="D80" s="35"/>
      <c r="E80" s="35"/>
      <c r="F80" s="35"/>
      <c r="G80" s="35"/>
      <c r="H80" s="35"/>
      <c r="I80" s="37"/>
      <c r="J80" s="35"/>
      <c r="K80" s="35"/>
      <c r="L80" s="35"/>
      <c r="M80" s="35"/>
      <c r="N80" s="35"/>
      <c r="O80" s="35"/>
      <c r="P80" s="35"/>
      <c r="Q80" s="35"/>
      <c r="R80" s="35"/>
      <c r="S80" s="35"/>
      <c r="T80" s="35"/>
      <c r="U80" s="35"/>
      <c r="V80" s="35"/>
      <c r="W80" s="35"/>
      <c r="X80" s="35"/>
      <c r="Y80" s="35"/>
      <c r="Z80" s="35"/>
      <c r="AA80" s="35"/>
      <c r="AB80" s="35"/>
      <c r="AC80" s="35"/>
      <c r="AD80" s="35"/>
      <c r="AE80" s="35"/>
    </row>
    <row r="81" spans="2:31" x14ac:dyDescent="0.25">
      <c r="B81" s="35"/>
      <c r="C81" s="35"/>
      <c r="D81" s="35"/>
      <c r="E81" s="35"/>
      <c r="F81" s="35"/>
      <c r="G81" s="35"/>
      <c r="H81" s="35"/>
      <c r="I81" s="37"/>
      <c r="J81" s="35"/>
      <c r="K81" s="35"/>
      <c r="L81" s="35"/>
      <c r="M81" s="35"/>
      <c r="N81" s="35"/>
      <c r="O81" s="35"/>
      <c r="P81" s="35"/>
      <c r="Q81" s="35"/>
      <c r="R81" s="35"/>
      <c r="S81" s="35"/>
      <c r="T81" s="35"/>
      <c r="U81" s="35"/>
      <c r="V81" s="35"/>
      <c r="W81" s="35"/>
      <c r="X81" s="35"/>
      <c r="Y81" s="35"/>
      <c r="Z81" s="35"/>
      <c r="AA81" s="35"/>
      <c r="AB81" s="35"/>
      <c r="AC81" s="35"/>
      <c r="AD81" s="35"/>
      <c r="AE81" s="35"/>
    </row>
    <row r="82" spans="2:31" x14ac:dyDescent="0.25">
      <c r="B82" s="35"/>
      <c r="C82" s="35"/>
      <c r="D82" s="35"/>
      <c r="E82" s="35"/>
      <c r="F82" s="35"/>
      <c r="G82" s="35"/>
      <c r="H82" s="35"/>
      <c r="I82" s="37"/>
      <c r="J82" s="35"/>
      <c r="K82" s="35"/>
      <c r="L82" s="35"/>
      <c r="M82" s="35"/>
      <c r="N82" s="35"/>
      <c r="O82" s="35"/>
      <c r="P82" s="35"/>
      <c r="Q82" s="35"/>
      <c r="R82" s="35"/>
      <c r="S82" s="35"/>
      <c r="T82" s="35"/>
      <c r="U82" s="35"/>
      <c r="V82" s="35"/>
      <c r="W82" s="35"/>
      <c r="X82" s="35"/>
      <c r="Y82" s="35"/>
      <c r="Z82" s="35"/>
      <c r="AA82" s="35"/>
      <c r="AB82" s="35"/>
      <c r="AC82" s="35"/>
      <c r="AD82" s="35"/>
      <c r="AE82" s="35"/>
    </row>
    <row r="83" spans="2:31" x14ac:dyDescent="0.25">
      <c r="B83" s="35"/>
      <c r="C83" s="35"/>
      <c r="D83" s="35"/>
      <c r="E83" s="35"/>
      <c r="F83" s="35"/>
      <c r="G83" s="35"/>
      <c r="H83" s="35"/>
      <c r="I83" s="37"/>
      <c r="J83" s="35"/>
      <c r="K83" s="35"/>
      <c r="L83" s="35"/>
      <c r="M83" s="35"/>
      <c r="N83" s="35"/>
      <c r="O83" s="35"/>
      <c r="P83" s="35"/>
      <c r="Q83" s="35"/>
      <c r="R83" s="35"/>
      <c r="S83" s="35"/>
      <c r="T83" s="35"/>
      <c r="U83" s="35"/>
      <c r="V83" s="35"/>
      <c r="W83" s="35"/>
      <c r="X83" s="35"/>
      <c r="Y83" s="35"/>
      <c r="Z83" s="35"/>
      <c r="AA83" s="35"/>
      <c r="AB83" s="35"/>
      <c r="AC83" s="35"/>
      <c r="AD83" s="35"/>
      <c r="AE83" s="35"/>
    </row>
    <row r="84" spans="2:31" x14ac:dyDescent="0.25">
      <c r="B84" s="35"/>
      <c r="C84" s="35"/>
      <c r="D84" s="35"/>
      <c r="E84" s="35"/>
      <c r="F84" s="35"/>
      <c r="G84" s="35"/>
      <c r="H84" s="35"/>
      <c r="I84" s="37"/>
      <c r="J84" s="35"/>
      <c r="K84" s="35"/>
      <c r="L84" s="35"/>
      <c r="M84" s="35"/>
      <c r="N84" s="35"/>
      <c r="O84" s="35"/>
      <c r="P84" s="35"/>
      <c r="Q84" s="35"/>
      <c r="R84" s="35"/>
      <c r="S84" s="35"/>
      <c r="T84" s="35"/>
      <c r="U84" s="35"/>
      <c r="V84" s="35"/>
      <c r="W84" s="35"/>
      <c r="X84" s="35"/>
      <c r="Y84" s="35"/>
      <c r="Z84" s="35"/>
      <c r="AA84" s="35"/>
      <c r="AB84" s="35"/>
      <c r="AC84" s="35"/>
      <c r="AD84" s="35"/>
      <c r="AE84" s="35"/>
    </row>
    <row r="85" spans="2:31" x14ac:dyDescent="0.25">
      <c r="B85" s="35"/>
      <c r="C85" s="35"/>
      <c r="D85" s="35"/>
      <c r="E85" s="35"/>
      <c r="F85" s="35"/>
      <c r="G85" s="35"/>
      <c r="H85" s="35"/>
      <c r="I85" s="37"/>
      <c r="J85" s="35"/>
      <c r="K85" s="35"/>
      <c r="L85" s="35"/>
      <c r="M85" s="35"/>
      <c r="N85" s="35"/>
      <c r="O85" s="35"/>
      <c r="P85" s="35"/>
      <c r="Q85" s="35"/>
      <c r="R85" s="35"/>
      <c r="S85" s="35"/>
      <c r="T85" s="35"/>
      <c r="U85" s="35"/>
      <c r="V85" s="35"/>
      <c r="W85" s="35"/>
      <c r="X85" s="35"/>
      <c r="Y85" s="35"/>
      <c r="Z85" s="35"/>
      <c r="AA85" s="35"/>
      <c r="AB85" s="35"/>
      <c r="AC85" s="35"/>
      <c r="AD85" s="35"/>
      <c r="AE85" s="35"/>
    </row>
    <row r="86" spans="2:31" x14ac:dyDescent="0.25">
      <c r="B86" s="35"/>
      <c r="C86" s="35"/>
      <c r="D86" s="35"/>
      <c r="E86" s="35"/>
      <c r="F86" s="35"/>
      <c r="G86" s="35"/>
      <c r="H86" s="35"/>
      <c r="I86" s="37"/>
      <c r="J86" s="35"/>
      <c r="K86" s="35"/>
      <c r="L86" s="35"/>
      <c r="M86" s="35"/>
      <c r="N86" s="35"/>
      <c r="O86" s="35"/>
      <c r="P86" s="35"/>
      <c r="Q86" s="35"/>
      <c r="R86" s="35"/>
      <c r="S86" s="35"/>
      <c r="T86" s="35"/>
      <c r="U86" s="35"/>
      <c r="V86" s="35"/>
      <c r="W86" s="35"/>
      <c r="X86" s="35"/>
      <c r="Y86" s="35"/>
      <c r="Z86" s="35"/>
      <c r="AA86" s="35"/>
      <c r="AB86" s="35"/>
      <c r="AC86" s="35"/>
      <c r="AD86" s="35"/>
      <c r="AE86" s="35"/>
    </row>
  </sheetData>
  <mergeCells count="2">
    <mergeCell ref="A3:I3"/>
    <mergeCell ref="A5:G5"/>
  </mergeCells>
  <pageMargins left="0.7" right="0.7" top="0.75" bottom="0.75" header="0.3" footer="0.3"/>
  <customProperties>
    <customPr name="HasEnPITables" r:id="rId1"/>
    <customPr name="SheetGUID" r:id="rId2"/>
  </customProperties>
  <drawing r:id="rId3"/>
  <tableParts count="2">
    <tablePart r:id="rId4"/>
    <tablePart r:id="rId5"/>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EBD04-2748-4B39-BB9D-951B895002B7}">
  <dimension ref="A1:N8"/>
  <sheetViews>
    <sheetView workbookViewId="0"/>
  </sheetViews>
  <sheetFormatPr defaultRowHeight="15" x14ac:dyDescent="0.25"/>
  <cols>
    <col min="1" max="4" width="11" customWidth="1"/>
    <col min="6" max="9" width="11" customWidth="1"/>
    <col min="11" max="14" width="11" customWidth="1"/>
  </cols>
  <sheetData>
    <row r="1" spans="1:14" x14ac:dyDescent="0.25">
      <c r="A1" s="107" t="s">
        <v>9</v>
      </c>
      <c r="B1" s="107" t="s">
        <v>82</v>
      </c>
      <c r="C1" s="107" t="s">
        <v>140</v>
      </c>
      <c r="D1" s="107" t="s">
        <v>141</v>
      </c>
      <c r="F1" s="107" t="s">
        <v>9</v>
      </c>
      <c r="G1" s="107" t="s">
        <v>82</v>
      </c>
      <c r="H1" s="107" t="s">
        <v>140</v>
      </c>
      <c r="I1" s="107" t="s">
        <v>141</v>
      </c>
      <c r="K1" s="107" t="s">
        <v>9</v>
      </c>
      <c r="L1" s="107" t="s">
        <v>82</v>
      </c>
      <c r="M1" s="107" t="s">
        <v>140</v>
      </c>
      <c r="N1" s="107" t="s">
        <v>141</v>
      </c>
    </row>
    <row r="2" spans="1:14" x14ac:dyDescent="0.25">
      <c r="A2" t="s">
        <v>129</v>
      </c>
      <c r="B2" t="s">
        <v>103</v>
      </c>
      <c r="C2" t="b">
        <v>0</v>
      </c>
      <c r="D2" t="b">
        <v>0</v>
      </c>
      <c r="F2" t="s">
        <v>150</v>
      </c>
      <c r="G2" t="s">
        <v>151</v>
      </c>
      <c r="H2" t="b">
        <v>0</v>
      </c>
      <c r="I2" t="b">
        <v>1</v>
      </c>
      <c r="K2" t="s">
        <v>176</v>
      </c>
      <c r="L2" t="s">
        <v>174</v>
      </c>
      <c r="M2" t="b">
        <v>0</v>
      </c>
      <c r="N2" t="b">
        <v>0</v>
      </c>
    </row>
    <row r="3" spans="1:14" x14ac:dyDescent="0.25">
      <c r="A3" t="s">
        <v>130</v>
      </c>
      <c r="B3" t="s">
        <v>104</v>
      </c>
      <c r="C3" t="b">
        <v>0</v>
      </c>
      <c r="D3" t="b">
        <v>0</v>
      </c>
      <c r="F3" t="s">
        <v>152</v>
      </c>
      <c r="G3" t="s">
        <v>153</v>
      </c>
      <c r="H3" t="b">
        <v>1</v>
      </c>
      <c r="I3" t="b">
        <v>0</v>
      </c>
      <c r="K3" t="s">
        <v>177</v>
      </c>
      <c r="L3" t="s">
        <v>175</v>
      </c>
      <c r="M3" t="b">
        <v>0</v>
      </c>
      <c r="N3" t="b">
        <v>0</v>
      </c>
    </row>
    <row r="4" spans="1:14" x14ac:dyDescent="0.25">
      <c r="A4" t="s">
        <v>131</v>
      </c>
      <c r="B4" t="s">
        <v>132</v>
      </c>
      <c r="C4" t="b">
        <v>0</v>
      </c>
      <c r="D4" t="b">
        <v>1</v>
      </c>
      <c r="F4" t="s">
        <v>137</v>
      </c>
      <c r="G4">
        <v>2</v>
      </c>
      <c r="K4" t="s">
        <v>178</v>
      </c>
      <c r="L4" t="s">
        <v>179</v>
      </c>
      <c r="M4" t="b">
        <v>0</v>
      </c>
      <c r="N4" t="b">
        <v>1</v>
      </c>
    </row>
    <row r="5" spans="1:14" x14ac:dyDescent="0.25">
      <c r="A5" t="s">
        <v>133</v>
      </c>
      <c r="B5" t="s">
        <v>134</v>
      </c>
      <c r="C5" t="b">
        <v>1</v>
      </c>
      <c r="D5" t="b">
        <v>0</v>
      </c>
      <c r="F5" t="s">
        <v>138</v>
      </c>
      <c r="G5" t="s">
        <v>139</v>
      </c>
      <c r="K5" t="s">
        <v>180</v>
      </c>
      <c r="L5" t="s">
        <v>181</v>
      </c>
      <c r="M5" t="b">
        <v>1</v>
      </c>
      <c r="N5" t="b">
        <v>0</v>
      </c>
    </row>
    <row r="6" spans="1:14" x14ac:dyDescent="0.25">
      <c r="A6" t="s">
        <v>135</v>
      </c>
      <c r="B6" t="s">
        <v>136</v>
      </c>
      <c r="C6" t="b">
        <v>1</v>
      </c>
      <c r="D6" t="b">
        <v>0</v>
      </c>
      <c r="K6" t="s">
        <v>182</v>
      </c>
      <c r="L6" t="s">
        <v>183</v>
      </c>
      <c r="M6" t="b">
        <v>1</v>
      </c>
      <c r="N6" t="b">
        <v>0</v>
      </c>
    </row>
    <row r="7" spans="1:14" x14ac:dyDescent="0.25">
      <c r="A7" t="s">
        <v>137</v>
      </c>
      <c r="B7">
        <v>1</v>
      </c>
      <c r="K7" t="s">
        <v>137</v>
      </c>
      <c r="L7">
        <v>3</v>
      </c>
    </row>
    <row r="8" spans="1:14" x14ac:dyDescent="0.25">
      <c r="A8" t="s">
        <v>138</v>
      </c>
      <c r="B8" t="s">
        <v>139</v>
      </c>
      <c r="K8" t="s">
        <v>138</v>
      </c>
      <c r="L8" t="s">
        <v>139</v>
      </c>
    </row>
  </sheetData>
  <pageMargins left="0.7" right="0.7" top="0.75" bottom="0.75" header="0.3" footer="0.3"/>
  <tableParts count="3">
    <tablePart r:id="rId1"/>
    <tablePart r:id="rId2"/>
    <tablePart r:id="rId3"/>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267B3D-81A6-4C96-BBF7-1D1359F3CD2F}">
  <sheetPr>
    <tabColor rgb="FF008000"/>
  </sheetPr>
  <dimension ref="A1:N34"/>
  <sheetViews>
    <sheetView tabSelected="1" workbookViewId="0">
      <selection activeCell="G11" sqref="G11"/>
    </sheetView>
  </sheetViews>
  <sheetFormatPr defaultRowHeight="15" x14ac:dyDescent="0.25"/>
  <cols>
    <col min="1" max="1" width="55.42578125" bestFit="1" customWidth="1"/>
    <col min="2" max="3" width="9.5703125" bestFit="1" customWidth="1"/>
    <col min="4" max="4" width="11.28515625" bestFit="1" customWidth="1"/>
  </cols>
  <sheetData>
    <row r="1" spans="1:8" ht="19.5" x14ac:dyDescent="0.3">
      <c r="A1" s="117" t="s">
        <v>83</v>
      </c>
      <c r="B1" s="117"/>
      <c r="C1" s="117"/>
      <c r="D1" s="117"/>
      <c r="E1" s="117"/>
      <c r="F1" s="117"/>
      <c r="G1" s="117"/>
      <c r="H1" s="117"/>
    </row>
    <row r="2" spans="1:8" ht="60" customHeight="1" x14ac:dyDescent="0.25">
      <c r="A2" s="118" t="s">
        <v>84</v>
      </c>
      <c r="B2" s="118"/>
      <c r="C2" s="118"/>
      <c r="D2" s="118"/>
      <c r="E2" s="118"/>
      <c r="F2" s="118"/>
      <c r="G2" s="118"/>
      <c r="H2" s="118"/>
    </row>
    <row r="4" spans="1:8" x14ac:dyDescent="0.25">
      <c r="A4" s="43" t="s">
        <v>88</v>
      </c>
      <c r="B4" s="43" t="s">
        <v>85</v>
      </c>
      <c r="C4" s="43" t="s">
        <v>86</v>
      </c>
      <c r="D4" s="43" t="s">
        <v>87</v>
      </c>
    </row>
    <row r="5" spans="1:8" x14ac:dyDescent="0.25">
      <c r="A5" s="62" t="s">
        <v>89</v>
      </c>
      <c r="B5" s="63">
        <f>SUMIF(DetailTable21[Period],AnnualTable23[#Headers],DetailTable21[Electricity (MMBTU)])</f>
        <v>596809.11574053485</v>
      </c>
      <c r="C5" s="63">
        <f>SUMIF(DetailTable21[Period],AnnualTable23[#Headers],DetailTable21[Electricity (MMBTU)])</f>
        <v>537420.07302877796</v>
      </c>
      <c r="D5" s="63">
        <f>SUMIF(DetailTable21[Period],AnnualTable23[#Headers],DetailTable21[Electricity (MMBTU)])</f>
        <v>565924.56817834207</v>
      </c>
    </row>
    <row r="6" spans="1:8" x14ac:dyDescent="0.25">
      <c r="A6" s="62" t="s">
        <v>90</v>
      </c>
      <c r="B6" s="63">
        <f>SUMIF(DetailTable21[Period],AnnualTable23[#Headers],DetailTable21[Natural Gas (MMBTU)])</f>
        <v>228995.8</v>
      </c>
      <c r="C6" s="63">
        <f>SUMIF(DetailTable21[Period],AnnualTable23[#Headers],DetailTable21[Natural Gas (MMBTU)])</f>
        <v>180753</v>
      </c>
      <c r="D6" s="63">
        <f>SUMIF(DetailTable21[Period],AnnualTable23[#Headers],DetailTable21[Natural Gas (MMBTU)])</f>
        <v>182385</v>
      </c>
    </row>
    <row r="7" spans="1:8" x14ac:dyDescent="0.25">
      <c r="A7" s="62" t="s">
        <v>47</v>
      </c>
      <c r="B7" s="63">
        <f>SUMIF(DetailTable21[Period],AnnualTable23[#Headers],DetailTable21[TOTAL  (MMBTU)])</f>
        <v>825804.9157405349</v>
      </c>
      <c r="C7" s="63">
        <f>SUMIF(DetailTable21[Period],AnnualTable23[#Headers],DetailTable21[TOTAL  (MMBTU)])</f>
        <v>718173.07302877784</v>
      </c>
      <c r="D7" s="63">
        <f>SUMIF(DetailTable21[Period],AnnualTable23[#Headers],DetailTable21[TOTAL  (MMBTU)])</f>
        <v>748309.56817834207</v>
      </c>
    </row>
    <row r="8" spans="1:8" x14ac:dyDescent="0.25">
      <c r="A8" s="64" t="s">
        <v>88</v>
      </c>
      <c r="B8" s="65" t="s">
        <v>88</v>
      </c>
      <c r="C8" s="65" t="s">
        <v>88</v>
      </c>
      <c r="D8" s="65" t="s">
        <v>88</v>
      </c>
    </row>
    <row r="9" spans="1:8" x14ac:dyDescent="0.25">
      <c r="A9" s="62" t="s">
        <v>51</v>
      </c>
      <c r="B9" s="67" t="s">
        <v>173</v>
      </c>
      <c r="C9" s="67" t="s">
        <v>173</v>
      </c>
      <c r="D9" s="67" t="s">
        <v>49</v>
      </c>
    </row>
    <row r="10" spans="1:8" x14ac:dyDescent="0.25">
      <c r="A10" s="62" t="s">
        <v>52</v>
      </c>
      <c r="B10" s="66">
        <f>SUMIF(DetailTable21[Period],AnnualTable23[#Headers],DetailTable21[Modeled Electricity (MMBTU)])</f>
        <v>567150.26062746136</v>
      </c>
      <c r="C10" s="66">
        <f>SUMIF(DetailTable21[Period],AnnualTable23[#Headers],DetailTable21[Modeled Electricity (MMBTU)])</f>
        <v>538887.54410492163</v>
      </c>
      <c r="D10" s="66">
        <f>SUMIF(DetailTable21[Period],AnnualTable23[#Headers],DetailTable21[Modeled Electricity (MMBTU)])</f>
        <v>565924.60138945212</v>
      </c>
    </row>
    <row r="11" spans="1:8" x14ac:dyDescent="0.25">
      <c r="A11" s="62" t="s">
        <v>92</v>
      </c>
      <c r="B11" s="66">
        <f ca="1">IFERROR(IFERROR(OFFSET(INDIRECT(ADDRESS(ROW(), COLUMN())),0,-1,1,1),0)+((INDEX(AnnualTable23[],MATCH("Actual Electricity (MMBTU)",AnnualTable23[[ ]],0),COLUMN()-1)-INDEX(AnnualTable23[],MATCH("Modeled Electricity (MMBTU)", AnnualTable23[[ ]],0),COLUMN()-1))-(INDEX(AnnualTable23[],MATCH("Actual Electricity (MMBTU)",AnnualTable23[[ ]],0),)-INDEX(AnnualTable23[],MATCH("Modeled Electricity (MMBTU)",AnnualTable23[[ ]],0),))),0)</f>
        <v>0</v>
      </c>
      <c r="C11" s="66">
        <f ca="1">IFERROR(IFERROR(OFFSET(INDIRECT(ADDRESS(ROW(), COLUMN())),0,-1,1,1),0)+((INDEX(AnnualTable23[],MATCH("Actual Electricity (MMBTU)",AnnualTable23[[ ]],0),COLUMN()-1)-INDEX(AnnualTable23[],MATCH("Modeled Electricity (MMBTU)", AnnualTable23[[ ]],0),COLUMN()-1))-(INDEX(AnnualTable23[],MATCH("Actual Electricity (MMBTU)",AnnualTable23[[ ]],0),)-INDEX(AnnualTable23[],MATCH("Modeled Electricity (MMBTU)",AnnualTable23[[ ]],0),))),0)</f>
        <v>31126.326189217158</v>
      </c>
      <c r="D11" s="66">
        <f ca="1">IFERROR(IFERROR(OFFSET(INDIRECT(ADDRESS(ROW(), COLUMN())),0,-1,1,1),0)+((INDEX(AnnualTable23[],MATCH("Actual Electricity (MMBTU)",AnnualTable23[[ ]],0),COLUMN()-1)-INDEX(AnnualTable23[],MATCH("Modeled Electricity (MMBTU)", AnnualTable23[[ ]],0),COLUMN()-1))-(INDEX(AnnualTable23[],MATCH("Actual Electricity (MMBTU)",AnnualTable23[[ ]],0),)-INDEX(AnnualTable23[],MATCH("Modeled Electricity (MMBTU)",AnnualTable23[[ ]],0),))),0)</f>
        <v>29658.888324183528</v>
      </c>
      <c r="F11" s="126"/>
      <c r="G11" s="126"/>
      <c r="H11" s="126"/>
    </row>
    <row r="12" spans="1:8" x14ac:dyDescent="0.25">
      <c r="A12" s="62" t="s">
        <v>53</v>
      </c>
      <c r="B12" s="66">
        <f>SUMIF(DetailTable21[Period],AnnualTable23[#Headers],DetailTable21[Modeled Natural Gas (MMBTU)])</f>
        <v>196700.41963285263</v>
      </c>
      <c r="C12" s="66">
        <f>SUMIF(DetailTable21[Period],AnnualTable23[#Headers],DetailTable21[Modeled Natural Gas (MMBTU)])</f>
        <v>183476.64879240276</v>
      </c>
      <c r="D12" s="66">
        <f>SUMIF(DetailTable21[Period],AnnualTable23[#Headers],DetailTable21[Modeled Natural Gas (MMBTU)])</f>
        <v>182385.00769557871</v>
      </c>
      <c r="G12" s="126"/>
    </row>
    <row r="13" spans="1:8" x14ac:dyDescent="0.25">
      <c r="A13" s="62" t="s">
        <v>93</v>
      </c>
      <c r="B13" s="66">
        <f ca="1">IFERROR(IFERROR(OFFSET(INDIRECT(ADDRESS(ROW(), COLUMN())),0,-1,1,1),0)+((INDEX(AnnualTable23[],MATCH("Actual Natural Gas (MMBTU)",AnnualTable23[[ ]],0),COLUMN()-1)-INDEX(AnnualTable23[],MATCH("Modeled Natural Gas (MMBTU)", AnnualTable23[[ ]],0),COLUMN()-1))-(INDEX(AnnualTable23[],MATCH("Actual Natural Gas (MMBTU)",AnnualTable23[[ ]],0),)-INDEX(AnnualTable23[],MATCH("Modeled Natural Gas (MMBTU)",AnnualTable23[[ ]],0),))),0)</f>
        <v>0</v>
      </c>
      <c r="C13" s="66">
        <f ca="1">IFERROR(IFERROR(OFFSET(INDIRECT(ADDRESS(ROW(), COLUMN())),0,-1,1,1),0)+((INDEX(AnnualTable23[],MATCH("Actual Natural Gas (MMBTU)",AnnualTable23[[ ]],0),COLUMN()-1)-INDEX(AnnualTable23[],MATCH("Modeled Natural Gas (MMBTU)", AnnualTable23[[ ]],0),COLUMN()-1))-(INDEX(AnnualTable23[],MATCH("Actual Natural Gas (MMBTU)",AnnualTable23[[ ]],0),)-INDEX(AnnualTable23[],MATCH("Modeled Natural Gas (MMBTU)",AnnualTable23[[ ]],0),))),0)</f>
        <v>35019.029159550118</v>
      </c>
      <c r="D13" s="66">
        <f ca="1">IFERROR(IFERROR(OFFSET(INDIRECT(ADDRESS(ROW(), COLUMN())),0,-1,1,1),0)+((INDEX(AnnualTable23[],MATCH("Actual Natural Gas (MMBTU)",AnnualTable23[[ ]],0),COLUMN()-1)-INDEX(AnnualTable23[],MATCH("Modeled Natural Gas (MMBTU)", AnnualTable23[[ ]],0),COLUMN()-1))-(INDEX(AnnualTable23[],MATCH("Actual Natural Gas (MMBTU)",AnnualTable23[[ ]],0),)-INDEX(AnnualTable23[],MATCH("Modeled Natural Gas (MMBTU)",AnnualTable23[[ ]],0),))),0)</f>
        <v>32295.388062726066</v>
      </c>
    </row>
    <row r="14" spans="1:8" x14ac:dyDescent="0.25">
      <c r="A14" s="62" t="s">
        <v>54</v>
      </c>
      <c r="B14" s="66">
        <f>SUMIF(DetailTable21[Period],AnnualTable23[#Headers],DetailTable21[Total Modeled Energy Consumption (MMBTU)])</f>
        <v>763850.68026031391</v>
      </c>
      <c r="C14" s="66">
        <f>SUMIF(DetailTable21[Period],AnnualTable23[#Headers],DetailTable21[Total Modeled Energy Consumption (MMBTU)])</f>
        <v>722364.19289732445</v>
      </c>
      <c r="D14" s="66">
        <f>SUMIF(DetailTable21[Period],AnnualTable23[#Headers],DetailTable21[Total Modeled Energy Consumption (MMBTU)])</f>
        <v>748309.60908503062</v>
      </c>
    </row>
    <row r="15" spans="1:8" hidden="1" x14ac:dyDescent="0.25">
      <c r="A15" s="68" t="s">
        <v>94</v>
      </c>
      <c r="B15" s="69">
        <f>IFERROR((1/INDEX(AnnualTable23[],MATCH("TOTAL  (MMBTU)",AnnualTable23[[ ]],0),))*((INDEX(AnnualTable23[],MATCH("Total Modeled Energy Consumption (MMBTU)",AnnualTable23[[ ]],0),)/1)),1)</f>
        <v>0.92497715344227038</v>
      </c>
      <c r="C15" s="69">
        <f>IFERROR((1/INDEX(AnnualTable23[],MATCH("TOTAL  (MMBTU)",AnnualTable23[[ ]],0),))*((INDEX(AnnualTable23[],MATCH("Total Modeled Energy Consumption (MMBTU)",AnnualTable23[[ ]],0),)/1)),1)</f>
        <v>1.0058358075872591</v>
      </c>
      <c r="D15" s="69">
        <f xml:space="preserve"> 1</f>
        <v>1</v>
      </c>
    </row>
    <row r="16" spans="1:8" x14ac:dyDescent="0.25">
      <c r="A16" s="70" t="s">
        <v>95</v>
      </c>
      <c r="B16" s="71">
        <v>0</v>
      </c>
      <c r="C16" s="71">
        <f t="shared" ref="A16:D16" ca="1" si="0">((1 - OFFSET(INDIRECT(ADDRESS(ROW(), COLUMN())),-1,-1,1,1) )-(1 - OFFSET(INDIRECT(ADDRESS(ROW(), COLUMN())),-1,0,1,1))) + OFFSET(INDIRECT(ADDRESS(ROW(), COLUMN())),0,-1,1,1)</f>
        <v>8.0858654144988718E-2</v>
      </c>
      <c r="D16" s="71">
        <f t="shared" ca="1" si="0"/>
        <v>7.5022846557729617E-2</v>
      </c>
    </row>
    <row r="17" spans="1:14" x14ac:dyDescent="0.25">
      <c r="A17" s="70" t="s">
        <v>96</v>
      </c>
      <c r="B17" s="71">
        <v>0</v>
      </c>
      <c r="C17" s="71">
        <f t="shared" ref="A17:D17" ca="1" si="1">((1 - OFFSET(INDIRECT(ADDRESS(ROW(), COLUMN())),-2,-1,1,1) )-(1 - OFFSET(INDIRECT(ADDRESS(ROW(), COLUMN())),-2,0,1,1)))</f>
        <v>8.0858654144988718E-2</v>
      </c>
      <c r="D17" s="71">
        <f t="shared" ca="1" si="1"/>
        <v>-5.8358075872591009E-3</v>
      </c>
    </row>
    <row r="18" spans="1:14" x14ac:dyDescent="0.25">
      <c r="A18" s="62" t="s">
        <v>97</v>
      </c>
      <c r="B18" s="66">
        <v>0</v>
      </c>
      <c r="C18" s="66">
        <f ca="1">OFFSET(INDIRECT(ADDRESS(ROW(), COLUMN())),0,-1,1,1) + ((INDEX(AnnualTable23[],MATCH("TOTAL  (MMBTU)",AnnualTable23[[ ]],0),COLUMN()-1)-INDEX(AnnualTable23[],MATCH("Total Modeled Energy Consumption (MMBTU)",AnnualTable23[[ ]],0),COLUMN()-1))-(INDEX(AnnualTable23[],MATCH("TOTAL  (MMBTU)",AnnualTable23[[ ]],0),)-INDEX(AnnualTable23[],MATCH("Total Modeled Energy Consumption (MMBTU)",AnnualTable23[[ ]],0),)))</f>
        <v>66145.355348767596</v>
      </c>
      <c r="D18" s="66">
        <f ca="1">OFFSET(INDIRECT(ADDRESS(ROW(), COLUMN())),0,-1,1,1) + ((INDEX(AnnualTable23[],MATCH("TOTAL  (MMBTU)",AnnualTable23[[ ]],0),COLUMN()-1)-INDEX(AnnualTable23[],MATCH("Total Modeled Energy Consumption (MMBTU)",AnnualTable23[[ ]],0),COLUMN()-1))-(INDEX(AnnualTable23[],MATCH("TOTAL  (MMBTU)",AnnualTable23[[ ]],0),)-INDEX(AnnualTable23[],MATCH("Total Modeled Energy Consumption (MMBTU)",AnnualTable23[[ ]],0),)))</f>
        <v>61954.276386909536</v>
      </c>
    </row>
    <row r="19" spans="1:14" x14ac:dyDescent="0.25">
      <c r="A19" s="62" t="s">
        <v>98</v>
      </c>
      <c r="B19" s="66">
        <v>0</v>
      </c>
      <c r="C19" s="66">
        <f t="shared" ref="A19:D19" ca="1" si="2">OFFSET(INDIRECT(ADDRESS(ROW(), COLUMN())),0,-1,1,1) + OFFSET(INDIRECT(ADDRESS(ROW(), COLUMN())),-1,0,1,1)</f>
        <v>66145.355348767596</v>
      </c>
      <c r="D19" s="66">
        <f t="shared" ca="1" si="2"/>
        <v>128099.63173567713</v>
      </c>
    </row>
    <row r="20" spans="1:14" x14ac:dyDescent="0.25">
      <c r="A20" s="62" t="s">
        <v>99</v>
      </c>
      <c r="B20" s="66">
        <v>0</v>
      </c>
      <c r="C20" s="66">
        <f t="shared" ref="A20:D20" ca="1" si="3">OFFSET(INDIRECT(ADDRESS(ROW(), COLUMN())),-2,0,1,1) - OFFSET(INDIRECT(ADDRESS(ROW(), COLUMN())),-2,-1,1,1)</f>
        <v>66145.355348767596</v>
      </c>
      <c r="D20" s="66">
        <f t="shared" ca="1" si="3"/>
        <v>-4191.0789618580602</v>
      </c>
    </row>
    <row r="21" spans="1:14" x14ac:dyDescent="0.25">
      <c r="A21" s="62" t="s">
        <v>100</v>
      </c>
      <c r="B21" s="66">
        <v>0</v>
      </c>
      <c r="C21" s="66">
        <f ca="1">(INDEX(AnnualTable23[],MATCH("TOTAL  (MMBTU)",AnnualTable23[[ ]],0),) + OFFSET(INDIRECT(ADDRESS(ROW(),COLUMN())),-3,0,1,1)) - (INDEX(AnnualTable23[],MATCH("TOTAL  (MMBTU)",AnnualTable23[[ ]],0),2))</f>
        <v>-41486.487362989457</v>
      </c>
      <c r="D21" s="66">
        <f ca="1">(INDEX(AnnualTable23[],MATCH("TOTAL  (MMBTU)",AnnualTable23[[ ]],0),) + OFFSET(INDIRECT(ADDRESS(ROW(),COLUMN())),-3,0,1,1)) - (INDEX(AnnualTable23[],MATCH("TOTAL  (MMBTU)",AnnualTable23[[ ]],0),2))</f>
        <v>-15541.071175283287</v>
      </c>
    </row>
    <row r="23" spans="1:14" ht="268.35000000000002" customHeight="1" x14ac:dyDescent="0.25"/>
    <row r="25" spans="1:14" hidden="1" x14ac:dyDescent="0.25">
      <c r="A25" s="119" t="s">
        <v>101</v>
      </c>
      <c r="B25" s="112"/>
      <c r="C25" s="112"/>
      <c r="D25" s="112"/>
      <c r="E25" s="112"/>
      <c r="F25" s="112"/>
      <c r="G25" s="112"/>
      <c r="H25" s="112"/>
      <c r="I25" s="112"/>
      <c r="J25" s="112"/>
      <c r="K25" s="112"/>
      <c r="L25" s="112"/>
    </row>
    <row r="27" spans="1:14" x14ac:dyDescent="0.25">
      <c r="A27" t="s">
        <v>102</v>
      </c>
      <c r="B27" t="s">
        <v>14</v>
      </c>
      <c r="C27" t="s">
        <v>15</v>
      </c>
      <c r="D27" t="s">
        <v>19</v>
      </c>
      <c r="E27" t="s">
        <v>20</v>
      </c>
      <c r="F27" t="s">
        <v>21</v>
      </c>
      <c r="G27" t="s">
        <v>22</v>
      </c>
      <c r="H27" t="s">
        <v>26</v>
      </c>
    </row>
    <row r="29" spans="1:14" x14ac:dyDescent="0.25">
      <c r="A29" s="73" t="s">
        <v>174</v>
      </c>
      <c r="B29" s="73" t="b">
        <v>1</v>
      </c>
      <c r="C29" s="73" t="s">
        <v>5</v>
      </c>
      <c r="D29" s="73">
        <v>1.03041612545082E-2</v>
      </c>
      <c r="E29" s="73">
        <v>0.85263323967620697</v>
      </c>
      <c r="F29" s="73">
        <v>0.81988507071536398</v>
      </c>
      <c r="G29" s="73">
        <v>1.81049743088748E-4</v>
      </c>
      <c r="H29" s="73" t="s">
        <v>157</v>
      </c>
      <c r="I29" s="73"/>
      <c r="J29" s="73"/>
      <c r="K29" s="73"/>
      <c r="L29" s="73"/>
      <c r="M29" s="73"/>
      <c r="N29" s="73"/>
    </row>
    <row r="30" spans="1:14" x14ac:dyDescent="0.25">
      <c r="A30" s="73"/>
      <c r="B30" s="73"/>
      <c r="C30" s="73" t="s">
        <v>7</v>
      </c>
      <c r="D30" s="73">
        <v>2.1866564464511299E-3</v>
      </c>
      <c r="E30" s="73"/>
      <c r="F30" s="73"/>
      <c r="G30" s="73"/>
      <c r="H30" s="73"/>
      <c r="I30" s="73"/>
      <c r="J30" s="73"/>
      <c r="K30" s="73"/>
      <c r="L30" s="73"/>
      <c r="M30" s="73"/>
      <c r="N30" s="73"/>
    </row>
    <row r="31" spans="1:14" x14ac:dyDescent="0.25">
      <c r="A31" s="73"/>
      <c r="B31" s="73"/>
      <c r="C31" s="73"/>
      <c r="D31" s="73"/>
      <c r="E31" s="73"/>
      <c r="F31" s="73"/>
      <c r="G31" s="73"/>
      <c r="H31" s="73"/>
      <c r="I31" s="73"/>
      <c r="J31" s="73"/>
      <c r="K31" s="73"/>
      <c r="L31" s="73"/>
      <c r="M31" s="73"/>
      <c r="N31" s="73"/>
    </row>
    <row r="32" spans="1:14" x14ac:dyDescent="0.25">
      <c r="A32" s="73" t="s">
        <v>175</v>
      </c>
      <c r="B32" s="73" t="b">
        <v>1</v>
      </c>
      <c r="C32" s="73" t="s">
        <v>5</v>
      </c>
      <c r="D32" s="73">
        <v>5.6693411148797902E-3</v>
      </c>
      <c r="E32" s="73">
        <v>0.97731442763274001</v>
      </c>
      <c r="F32" s="73">
        <v>0.97227318932890505</v>
      </c>
      <c r="G32" s="74">
        <v>3.98909000522328E-8</v>
      </c>
      <c r="H32" s="73" t="s">
        <v>166</v>
      </c>
      <c r="I32" s="73"/>
      <c r="J32" s="73"/>
      <c r="K32" s="73"/>
      <c r="L32" s="73"/>
      <c r="M32" s="73"/>
      <c r="N32" s="73"/>
    </row>
    <row r="33" spans="1:14" x14ac:dyDescent="0.25">
      <c r="A33" s="73"/>
      <c r="B33" s="73"/>
      <c r="C33" s="73" t="s">
        <v>6</v>
      </c>
      <c r="D33" s="74">
        <v>1.29631115214964E-8</v>
      </c>
      <c r="E33" s="73"/>
      <c r="F33" s="73"/>
      <c r="G33" s="73"/>
      <c r="H33" s="73"/>
      <c r="I33" s="73"/>
      <c r="J33" s="73"/>
      <c r="K33" s="73"/>
      <c r="L33" s="73"/>
      <c r="M33" s="73"/>
      <c r="N33" s="73"/>
    </row>
    <row r="34" spans="1:14" x14ac:dyDescent="0.25">
      <c r="A34" s="73"/>
      <c r="B34" s="73"/>
      <c r="C34" s="73"/>
      <c r="D34" s="73"/>
      <c r="E34" s="73"/>
      <c r="F34" s="73"/>
      <c r="G34" s="73"/>
      <c r="H34" s="73"/>
      <c r="I34" s="73"/>
      <c r="J34" s="73"/>
      <c r="K34" s="73"/>
      <c r="L34" s="73"/>
      <c r="M34" s="73"/>
      <c r="N34" s="73"/>
    </row>
  </sheetData>
  <mergeCells count="3">
    <mergeCell ref="A1:H1"/>
    <mergeCell ref="A2:H2"/>
    <mergeCell ref="A25:L25"/>
  </mergeCells>
  <pageMargins left="0.7" right="0.7" top="0.75" bottom="0.75" header="0.3" footer="0.3"/>
  <customProperties>
    <customPr name="HasEnPITables" r:id="rId1"/>
    <customPr name="IsValidRollupSource" r:id="rId2"/>
    <customPr name="SheetGUID" r:id="rId3"/>
  </customProperties>
  <drawing r:id="rId4"/>
  <tableParts count="2">
    <tablePart r:id="rId5"/>
    <tablePart r:id="rId6"/>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405417-64CC-4872-9AAA-A85DFCD07076}">
  <sheetPr>
    <tabColor rgb="FF008000"/>
  </sheetPr>
  <dimension ref="A1:N30"/>
  <sheetViews>
    <sheetView workbookViewId="0">
      <selection activeCell="E12" sqref="E12:F12"/>
    </sheetView>
  </sheetViews>
  <sheetFormatPr defaultRowHeight="15" x14ac:dyDescent="0.25"/>
  <cols>
    <col min="1" max="1" width="51.5703125" bestFit="1" customWidth="1"/>
    <col min="2" max="2" width="9.7109375" bestFit="1" customWidth="1"/>
    <col min="3" max="3" width="11.42578125" bestFit="1" customWidth="1"/>
    <col min="5" max="5" width="30.5703125" bestFit="1" customWidth="1"/>
    <col min="6" max="6" width="6.5703125" bestFit="1" customWidth="1"/>
    <col min="7" max="7" width="0" hidden="1" customWidth="1"/>
    <col min="8" max="8" width="9.28515625" bestFit="1" customWidth="1"/>
  </cols>
  <sheetData>
    <row r="1" spans="1:8" ht="19.5" x14ac:dyDescent="0.3">
      <c r="A1" s="117" t="s">
        <v>105</v>
      </c>
      <c r="B1" s="117"/>
      <c r="C1" s="117"/>
      <c r="D1" s="117"/>
      <c r="E1" s="117"/>
      <c r="F1" s="117"/>
      <c r="G1" s="117"/>
      <c r="H1" s="117"/>
    </row>
    <row r="2" spans="1:8" ht="69.95" customHeight="1" x14ac:dyDescent="0.25">
      <c r="A2" s="118" t="s">
        <v>106</v>
      </c>
      <c r="B2" s="118"/>
      <c r="C2" s="118"/>
      <c r="D2" s="118"/>
      <c r="E2" s="118"/>
      <c r="F2" s="118"/>
      <c r="G2" s="118"/>
      <c r="H2" s="118"/>
    </row>
    <row r="4" spans="1:8" x14ac:dyDescent="0.25">
      <c r="A4" s="75"/>
      <c r="B4" s="75" t="s">
        <v>107</v>
      </c>
      <c r="C4" s="75" t="s">
        <v>108</v>
      </c>
    </row>
    <row r="5" spans="1:8" x14ac:dyDescent="0.25">
      <c r="A5" s="43" t="s">
        <v>88</v>
      </c>
      <c r="B5" s="43" t="s">
        <v>85</v>
      </c>
      <c r="C5" s="43" t="s">
        <v>87</v>
      </c>
      <c r="E5" s="108" t="s">
        <v>119</v>
      </c>
      <c r="F5" s="108" t="s">
        <v>120</v>
      </c>
    </row>
    <row r="6" spans="1:8" x14ac:dyDescent="0.25">
      <c r="A6" s="78" t="s">
        <v>109</v>
      </c>
      <c r="B6" s="79">
        <f>SUMIF(DetailTable21[Period],AnnualTable25[#Headers],DetailTable21[Electricity (MMBTU)])</f>
        <v>596809.11574053485</v>
      </c>
      <c r="C6" s="79">
        <f>SUMIF(DetailTable21[Period],AnnualTable25[#Headers],DetailTable21[Electricity (MMBTU)])</f>
        <v>565924.56817834207</v>
      </c>
      <c r="E6" s="76" t="s">
        <v>121</v>
      </c>
      <c r="F6" s="77"/>
    </row>
    <row r="7" spans="1:8" ht="30" x14ac:dyDescent="0.25">
      <c r="A7" s="78" t="s">
        <v>110</v>
      </c>
      <c r="B7" s="79">
        <f>SUMIF(DetailTable21[Period],AnnualTable25[#Headers],DetailTable21[Natural Gas (MMBTU)])</f>
        <v>228995.8</v>
      </c>
      <c r="C7" s="79">
        <f>SUMIF(DetailTable21[Period],AnnualTable25[#Headers],DetailTable21[Natural Gas (MMBTU)])</f>
        <v>182385</v>
      </c>
      <c r="E7" s="76" t="s">
        <v>122</v>
      </c>
      <c r="F7" s="77"/>
    </row>
    <row r="8" spans="1:8" x14ac:dyDescent="0.25">
      <c r="A8" s="78" t="s">
        <v>111</v>
      </c>
      <c r="B8" s="79">
        <f>SUMIF(DetailTable21[Period],AnnualTable25[#Headers],DetailTable21[TOTAL  (MMBTU)])</f>
        <v>825804.9157405349</v>
      </c>
      <c r="C8" s="79">
        <f>SUMIF(DetailTable21[Period],AnnualTable25[#Headers],DetailTable21[TOTAL  (MMBTU)])</f>
        <v>748309.56817834207</v>
      </c>
      <c r="E8" s="76" t="s">
        <v>123</v>
      </c>
      <c r="F8" s="77"/>
    </row>
    <row r="9" spans="1:8" x14ac:dyDescent="0.25">
      <c r="A9" s="80" t="s">
        <v>88</v>
      </c>
      <c r="B9" s="81" t="s">
        <v>88</v>
      </c>
      <c r="C9" s="81" t="s">
        <v>88</v>
      </c>
      <c r="E9" s="76" t="s">
        <v>124</v>
      </c>
      <c r="F9" s="77"/>
    </row>
    <row r="10" spans="1:8" x14ac:dyDescent="0.25">
      <c r="A10" s="78" t="s">
        <v>112</v>
      </c>
      <c r="B10" s="82" t="s">
        <v>173</v>
      </c>
      <c r="C10" s="82" t="s">
        <v>49</v>
      </c>
      <c r="E10" s="76" t="s">
        <v>125</v>
      </c>
      <c r="F10" s="77"/>
    </row>
    <row r="11" spans="1:8" x14ac:dyDescent="0.25">
      <c r="A11" s="78" t="s">
        <v>113</v>
      </c>
      <c r="B11" s="83">
        <f>SUMIF(DetailTable21[Period],AnnualTable25[#Headers],DetailTable21[Modeled Electricity (MMBTU)])</f>
        <v>567150.26062746136</v>
      </c>
      <c r="C11" s="83">
        <f>SUMIF(DetailTable21[Period],AnnualTable25[#Headers],DetailTable21[Modeled Electricity (MMBTU)])</f>
        <v>565924.60138945212</v>
      </c>
      <c r="E11" s="76" t="s">
        <v>126</v>
      </c>
      <c r="F11" s="77"/>
    </row>
    <row r="12" spans="1:8" ht="30" x14ac:dyDescent="0.25">
      <c r="A12" s="78" t="s">
        <v>114</v>
      </c>
      <c r="B12" s="83">
        <f ca="1">IFERROR(IFERROR(OFFSET(INDIRECT(ADDRESS(ROW(), COLUMN())),0,-1,1,1),0)+((INDEX(AnnualTable25[],MATCH("Actual Primary Electricity (MMBTU)",AnnualTable25[[ ]],0),COLUMN()-1)-INDEX(AnnualTable25[],MATCH("Modeled Primary Electricity (MMBTU)", AnnualTable25[[ ]],0),COLUMN()-1))-(INDEX(AnnualTable25[],MATCH("Actual Primary Electricity (MMBTU)",AnnualTable25[[ ]],0),)-INDEX(AnnualTable25[],MATCH("Modeled Primary Electricity (MMBTU)",AnnualTable25[[ ]],0),))),0)</f>
        <v>0</v>
      </c>
      <c r="C12" s="83">
        <f ca="1">IFERROR(IFERROR(OFFSET(INDIRECT(ADDRESS(ROW(), COLUMN())),0,-1,1,1),0)+((INDEX(AnnualTable25[],MATCH("Actual Primary Electricity (MMBTU)",AnnualTable25[[ ]],0),COLUMN()-1)-INDEX(AnnualTable25[],MATCH("Modeled Primary Electricity (MMBTU)", AnnualTable25[[ ]],0),COLUMN()-1))-(INDEX(AnnualTable25[],MATCH("Actual Primary Electricity (MMBTU)",AnnualTable25[[ ]],0),)-INDEX(AnnualTable25[],MATCH("Modeled Primary Electricity (MMBTU)",AnnualTable25[[ ]],0),))),0)</f>
        <v>29658.888324183528</v>
      </c>
      <c r="E12" s="76" t="s">
        <v>127</v>
      </c>
      <c r="F12" s="77"/>
    </row>
    <row r="13" spans="1:8" x14ac:dyDescent="0.25">
      <c r="A13" s="78" t="s">
        <v>115</v>
      </c>
      <c r="B13" s="83">
        <f>SUMIF(DetailTable21[Period],AnnualTable25[#Headers],DetailTable21[Modeled Natural Gas (MMBTU)])</f>
        <v>196700.41963285263</v>
      </c>
      <c r="C13" s="83">
        <f>SUMIF(DetailTable21[Period],AnnualTable25[#Headers],DetailTable21[Modeled Natural Gas (MMBTU)])</f>
        <v>182385.00769557871</v>
      </c>
    </row>
    <row r="14" spans="1:8" x14ac:dyDescent="0.25">
      <c r="A14" s="78" t="s">
        <v>116</v>
      </c>
      <c r="B14" s="83">
        <f ca="1">IFERROR(IFERROR(OFFSET(INDIRECT(ADDRESS(ROW(), COLUMN())),0,-1,1,1),0)+((INDEX(AnnualTable25[],MATCH("Actual Primary Natural Gas (MMBTU)",AnnualTable25[[ ]],0),COLUMN()-1)-INDEX(AnnualTable25[],MATCH("Modeled Primary Natural Gas (MMBTU)", AnnualTable25[[ ]],0),COLUMN()-1))-(INDEX(AnnualTable25[],MATCH("Actual Primary Natural Gas (MMBTU)",AnnualTable25[[ ]],0),)-INDEX(AnnualTable25[],MATCH("Modeled Primary Natural Gas (MMBTU)",AnnualTable25[[ ]],0),))),0)</f>
        <v>0</v>
      </c>
      <c r="C14" s="83">
        <f ca="1">IFERROR(IFERROR(OFFSET(INDIRECT(ADDRESS(ROW(), COLUMN())),0,-1,1,1),0)+((INDEX(AnnualTable25[],MATCH("Actual Primary Natural Gas (MMBTU)",AnnualTable25[[ ]],0),COLUMN()-1)-INDEX(AnnualTable25[],MATCH("Modeled Primary Natural Gas (MMBTU)", AnnualTable25[[ ]],0),COLUMN()-1))-(INDEX(AnnualTable25[],MATCH("Actual Primary Natural Gas (MMBTU)",AnnualTable25[[ ]],0),)-INDEX(AnnualTable25[],MATCH("Modeled Primary Natural Gas (MMBTU)",AnnualTable25[[ ]],0),))),0)</f>
        <v>32295.388062726066</v>
      </c>
    </row>
    <row r="15" spans="1:8" x14ac:dyDescent="0.25">
      <c r="A15" s="78" t="s">
        <v>117</v>
      </c>
      <c r="B15" s="83">
        <f>SUMIF(DetailTable21[Period],AnnualTable25[#Headers],DetailTable21[Total Modeled Energy Consumption (MMBTU)])</f>
        <v>763850.68026031391</v>
      </c>
      <c r="C15" s="83">
        <f>SUMIF(DetailTable21[Period],AnnualTable25[#Headers],DetailTable21[Total Modeled Energy Consumption (MMBTU)])</f>
        <v>748309.60908503062</v>
      </c>
    </row>
    <row r="16" spans="1:8" x14ac:dyDescent="0.25">
      <c r="A16" s="84" t="s">
        <v>94</v>
      </c>
      <c r="B16" s="85">
        <f>IFERROR((1/INDEX(AnnualTable25[],MATCH("TOTAL  Actual Primary Energy (MMBTU)",AnnualTable25[[ ]],0),))*((INDEX(AnnualTable25[],MATCH("Total Modeled Primary Energy Consumption",AnnualTable25[[ ]],0),)/1)),1)</f>
        <v>0.92497715344227038</v>
      </c>
      <c r="C16" s="85">
        <f xml:space="preserve"> 1</f>
        <v>1</v>
      </c>
    </row>
    <row r="17" spans="1:14" x14ac:dyDescent="0.25">
      <c r="A17" s="86" t="s">
        <v>118</v>
      </c>
      <c r="B17" s="87">
        <v>0</v>
      </c>
      <c r="C17" s="87">
        <f t="shared" ref="C17" ca="1" si="0">((1 - OFFSET(INDIRECT(ADDRESS(ROW(), COLUMN())),-1,-1,1,1) )-(1 - OFFSET(INDIRECT(ADDRESS(ROW(), COLUMN())),-1,0,1,1))) + OFFSET(INDIRECT(ADDRESS(ROW(), COLUMN())),0,-1,1,1)</f>
        <v>7.5022846557729617E-2</v>
      </c>
    </row>
    <row r="19" spans="1:14" ht="268.35000000000002" customHeight="1" x14ac:dyDescent="0.25"/>
    <row r="21" spans="1:14" hidden="1" x14ac:dyDescent="0.25">
      <c r="A21" s="119" t="s">
        <v>101</v>
      </c>
      <c r="B21" s="112"/>
      <c r="C21" s="112"/>
      <c r="D21" s="112"/>
      <c r="E21" s="112"/>
      <c r="F21" s="112"/>
      <c r="G21" s="112"/>
      <c r="H21" s="112"/>
      <c r="I21" s="112"/>
      <c r="J21" s="112"/>
      <c r="K21" s="112"/>
      <c r="L21" s="112"/>
    </row>
    <row r="23" spans="1:14" ht="60" x14ac:dyDescent="0.25">
      <c r="A23" s="108" t="s">
        <v>102</v>
      </c>
      <c r="B23" s="108" t="s">
        <v>14</v>
      </c>
      <c r="C23" s="108" t="s">
        <v>128</v>
      </c>
      <c r="D23" s="108" t="s">
        <v>16</v>
      </c>
      <c r="E23" s="108" t="s">
        <v>19</v>
      </c>
      <c r="F23" s="108" t="s">
        <v>20</v>
      </c>
      <c r="G23" s="108" t="s">
        <v>21</v>
      </c>
      <c r="H23" s="108" t="s">
        <v>22</v>
      </c>
      <c r="I23" s="108" t="s">
        <v>26</v>
      </c>
    </row>
    <row r="24" spans="1:14" x14ac:dyDescent="0.25">
      <c r="A24" s="108"/>
      <c r="B24" s="108"/>
      <c r="C24" s="108"/>
      <c r="D24" s="108"/>
      <c r="E24" s="108"/>
      <c r="F24" s="108"/>
      <c r="G24" s="108"/>
      <c r="H24" s="108"/>
      <c r="I24" s="108"/>
    </row>
    <row r="25" spans="1:14" x14ac:dyDescent="0.25">
      <c r="A25" s="88" t="s">
        <v>174</v>
      </c>
      <c r="B25" s="88" t="b">
        <v>1</v>
      </c>
      <c r="C25" s="88" t="s">
        <v>5</v>
      </c>
      <c r="D25" s="88" t="s">
        <v>28</v>
      </c>
      <c r="E25" s="88">
        <v>1.03041612545082E-2</v>
      </c>
      <c r="F25" s="88">
        <v>0.85263323967620697</v>
      </c>
      <c r="G25" s="88">
        <v>0.81988507071536398</v>
      </c>
      <c r="H25" s="88">
        <v>1.81049743088748E-4</v>
      </c>
      <c r="I25" s="88" t="s">
        <v>157</v>
      </c>
      <c r="J25" s="88"/>
      <c r="K25" s="88"/>
      <c r="L25" s="88"/>
      <c r="M25" s="88"/>
      <c r="N25" s="88"/>
    </row>
    <row r="26" spans="1:14" x14ac:dyDescent="0.25">
      <c r="A26" s="88"/>
      <c r="B26" s="88"/>
      <c r="C26" s="88" t="s">
        <v>7</v>
      </c>
      <c r="D26" s="88" t="s">
        <v>28</v>
      </c>
      <c r="E26" s="88">
        <v>2.1866564464511299E-3</v>
      </c>
      <c r="F26" s="88"/>
      <c r="G26" s="88"/>
      <c r="H26" s="88"/>
      <c r="I26" s="88"/>
      <c r="J26" s="88"/>
      <c r="K26" s="88"/>
      <c r="L26" s="88"/>
      <c r="M26" s="88"/>
      <c r="N26" s="88"/>
    </row>
    <row r="27" spans="1:14" x14ac:dyDescent="0.25">
      <c r="A27" s="88"/>
      <c r="B27" s="88"/>
      <c r="C27" s="88"/>
      <c r="D27" s="88"/>
      <c r="E27" s="88"/>
      <c r="F27" s="88"/>
      <c r="G27" s="88"/>
      <c r="H27" s="88"/>
      <c r="I27" s="88"/>
      <c r="J27" s="88"/>
      <c r="K27" s="88"/>
      <c r="L27" s="88"/>
      <c r="M27" s="88"/>
      <c r="N27" s="88"/>
    </row>
    <row r="28" spans="1:14" x14ac:dyDescent="0.25">
      <c r="A28" s="88" t="s">
        <v>175</v>
      </c>
      <c r="B28" s="88" t="b">
        <v>1</v>
      </c>
      <c r="C28" s="88" t="s">
        <v>5</v>
      </c>
      <c r="D28" s="88" t="s">
        <v>28</v>
      </c>
      <c r="E28" s="88">
        <v>5.6693411148797902E-3</v>
      </c>
      <c r="F28" s="88">
        <v>0.97731442763274001</v>
      </c>
      <c r="G28" s="88">
        <v>0.97227318932890505</v>
      </c>
      <c r="H28" s="88">
        <v>3.98909000522328E-8</v>
      </c>
      <c r="I28" s="88" t="s">
        <v>166</v>
      </c>
      <c r="J28" s="88"/>
      <c r="K28" s="88"/>
      <c r="L28" s="88"/>
      <c r="M28" s="88"/>
      <c r="N28" s="88"/>
    </row>
    <row r="29" spans="1:14" x14ac:dyDescent="0.25">
      <c r="A29" s="88"/>
      <c r="B29" s="88"/>
      <c r="C29" s="88" t="s">
        <v>6</v>
      </c>
      <c r="D29" s="88" t="s">
        <v>28</v>
      </c>
      <c r="E29" s="88">
        <v>1.29631115214964E-8</v>
      </c>
      <c r="F29" s="88"/>
      <c r="G29" s="88"/>
      <c r="H29" s="88"/>
      <c r="I29" s="88"/>
      <c r="J29" s="88"/>
      <c r="K29" s="88"/>
      <c r="L29" s="88"/>
      <c r="M29" s="88"/>
      <c r="N29" s="88"/>
    </row>
    <row r="30" spans="1:14" x14ac:dyDescent="0.25">
      <c r="A30" s="88"/>
      <c r="B30" s="88"/>
      <c r="C30" s="88"/>
      <c r="D30" s="88"/>
      <c r="E30" s="88"/>
      <c r="F30" s="88"/>
      <c r="G30" s="88"/>
      <c r="H30" s="88"/>
      <c r="I30" s="88"/>
      <c r="J30" s="88"/>
      <c r="K30" s="88"/>
      <c r="L30" s="88"/>
      <c r="M30" s="88"/>
      <c r="N30" s="88"/>
    </row>
  </sheetData>
  <mergeCells count="3">
    <mergeCell ref="A1:H1"/>
    <mergeCell ref="A2:H2"/>
    <mergeCell ref="A21:L21"/>
  </mergeCells>
  <pageMargins left="0.5" right="0.5" top="1" bottom="1" header="0.3" footer="0.3"/>
  <pageSetup paperSize="9" orientation="landscape" r:id="rId1"/>
  <rowBreaks count="2" manualBreakCount="2">
    <brk id="18" max="16383" man="1"/>
    <brk id="22" max="16383" man="1"/>
  </rowBreaks>
  <customProperties>
    <customPr name="HasEnPITables" r:id="rId2"/>
    <customPr name="SheetGUID" r:id="rId3"/>
  </customProperties>
  <drawing r:id="rId4"/>
  <tableParts count="3">
    <tablePart r:id="rId5"/>
    <tablePart r:id="rId6"/>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BC1726-2B5A-4C35-85ED-5E82A14A2E51}">
  <sheetPr>
    <tabColor rgb="FF11CC50"/>
  </sheetPr>
  <dimension ref="A1:N32"/>
  <sheetViews>
    <sheetView topLeftCell="A3" workbookViewId="0">
      <selection activeCell="N10" sqref="N10"/>
    </sheetView>
  </sheetViews>
  <sheetFormatPr defaultRowHeight="15" x14ac:dyDescent="0.25"/>
  <cols>
    <col min="1" max="1" width="16.7109375" customWidth="1"/>
    <col min="2" max="2" width="28.5703125" customWidth="1"/>
    <col min="3" max="3" width="11.42578125" customWidth="1"/>
    <col min="4" max="4" width="21.5703125" hidden="1" customWidth="1"/>
    <col min="5" max="5" width="13.85546875" hidden="1" customWidth="1"/>
    <col min="6" max="6" width="19.140625" hidden="1" customWidth="1"/>
    <col min="7" max="7" width="18.85546875" style="26" customWidth="1"/>
    <col min="8" max="8" width="9.140625" style="26"/>
    <col min="9" max="9" width="13.7109375" style="26" customWidth="1"/>
    <col min="10" max="10" width="16.42578125" style="26" customWidth="1"/>
    <col min="11" max="11" width="11.42578125" hidden="1" customWidth="1"/>
    <col min="12" max="12" width="10.7109375" hidden="1" customWidth="1"/>
    <col min="13" max="13" width="0" hidden="1" customWidth="1"/>
    <col min="14" max="14" width="10.42578125" customWidth="1"/>
  </cols>
  <sheetData>
    <row r="1" spans="1:14" hidden="1" x14ac:dyDescent="0.25"/>
    <row r="2" spans="1:14" hidden="1" x14ac:dyDescent="0.25">
      <c r="A2" s="112" t="s">
        <v>10</v>
      </c>
      <c r="B2" s="112"/>
      <c r="C2" s="112"/>
      <c r="D2" s="112"/>
      <c r="E2" s="112"/>
    </row>
    <row r="3" spans="1:14" x14ac:dyDescent="0.25">
      <c r="A3" s="113" t="s">
        <v>11</v>
      </c>
      <c r="B3" s="113"/>
      <c r="C3" s="113"/>
      <c r="D3" s="113"/>
      <c r="E3" s="113"/>
      <c r="F3" s="113"/>
      <c r="G3" s="113"/>
    </row>
    <row r="4" spans="1:14" ht="105" customHeight="1" x14ac:dyDescent="0.25">
      <c r="A4" s="114" t="s">
        <v>12</v>
      </c>
      <c r="B4" s="114"/>
      <c r="C4" s="114"/>
      <c r="D4" s="114"/>
      <c r="E4" s="114"/>
      <c r="F4" s="114"/>
      <c r="G4" s="114"/>
    </row>
    <row r="6" spans="1:14" s="98" customFormat="1" ht="15.75" thickBot="1" x14ac:dyDescent="0.3">
      <c r="A6" s="99" t="s">
        <v>13</v>
      </c>
      <c r="B6" s="99" t="s">
        <v>14</v>
      </c>
      <c r="C6" s="99" t="s">
        <v>15</v>
      </c>
      <c r="D6" s="99" t="s">
        <v>16</v>
      </c>
      <c r="E6" s="99" t="s">
        <v>17</v>
      </c>
      <c r="F6" s="99" t="s">
        <v>18</v>
      </c>
      <c r="G6" s="100" t="s">
        <v>19</v>
      </c>
      <c r="H6" s="100" t="s">
        <v>20</v>
      </c>
      <c r="I6" s="100" t="s">
        <v>21</v>
      </c>
      <c r="J6" s="100" t="s">
        <v>22</v>
      </c>
      <c r="K6" s="99" t="s">
        <v>23</v>
      </c>
      <c r="L6" s="99" t="s">
        <v>24</v>
      </c>
      <c r="M6" s="99" t="s">
        <v>25</v>
      </c>
      <c r="N6" s="99" t="s">
        <v>26</v>
      </c>
    </row>
    <row r="7" spans="1:14" s="98" customFormat="1" x14ac:dyDescent="0.25">
      <c r="A7" s="101">
        <v>4</v>
      </c>
      <c r="B7" s="89" t="b">
        <v>1</v>
      </c>
      <c r="C7" s="89" t="s">
        <v>5</v>
      </c>
      <c r="D7" s="89" t="s">
        <v>28</v>
      </c>
      <c r="E7" s="89">
        <v>8.711245726227311E-2</v>
      </c>
      <c r="F7" s="89">
        <v>2.8686144403871315E-2</v>
      </c>
      <c r="G7" s="90">
        <v>1.4091994620780953E-2</v>
      </c>
      <c r="H7" s="90">
        <v>0.69159450079697615</v>
      </c>
      <c r="I7" s="90">
        <v>0.62305994541852638</v>
      </c>
      <c r="J7" s="90">
        <v>5.0239986062007563E-3</v>
      </c>
      <c r="K7" s="89">
        <v>2113.8129890662799</v>
      </c>
      <c r="L7" s="89">
        <v>53618464.232943848</v>
      </c>
      <c r="M7" s="89"/>
      <c r="N7" s="91" t="s">
        <v>27</v>
      </c>
    </row>
    <row r="8" spans="1:14" s="98" customFormat="1" x14ac:dyDescent="0.25">
      <c r="A8" s="102"/>
      <c r="B8" s="92"/>
      <c r="C8" s="92" t="s">
        <v>6</v>
      </c>
      <c r="D8" s="92" t="s">
        <v>28</v>
      </c>
      <c r="E8" s="92">
        <v>-4.2122552630051322</v>
      </c>
      <c r="F8" s="92">
        <v>1.1571827047133205</v>
      </c>
      <c r="G8" s="93">
        <v>5.400086650025733E-3</v>
      </c>
      <c r="H8" s="93"/>
      <c r="I8" s="93"/>
      <c r="J8" s="93"/>
      <c r="K8" s="92"/>
      <c r="L8" s="92"/>
      <c r="M8" s="92"/>
      <c r="N8" s="94"/>
    </row>
    <row r="9" spans="1:14" s="98" customFormat="1" ht="15.75" thickBot="1" x14ac:dyDescent="0.3">
      <c r="A9" s="103"/>
      <c r="B9" s="95"/>
      <c r="C9" s="95"/>
      <c r="D9" s="95"/>
      <c r="E9" s="95">
        <v>32213.357942357503</v>
      </c>
      <c r="F9" s="95"/>
      <c r="G9" s="96"/>
      <c r="H9" s="96"/>
      <c r="I9" s="96"/>
      <c r="J9" s="96"/>
      <c r="K9" s="95"/>
      <c r="L9" s="95"/>
      <c r="M9" s="95"/>
      <c r="N9" s="97"/>
    </row>
    <row r="10" spans="1:14" s="1" customFormat="1" x14ac:dyDescent="0.25">
      <c r="A10" s="17">
        <v>5</v>
      </c>
      <c r="B10" s="18" t="b">
        <v>1</v>
      </c>
      <c r="C10" s="18" t="s">
        <v>5</v>
      </c>
      <c r="D10" s="18" t="s">
        <v>28</v>
      </c>
      <c r="E10" s="18">
        <v>7.0110579228036693E-2</v>
      </c>
      <c r="F10" s="18">
        <v>3.3907306745929053E-2</v>
      </c>
      <c r="G10" s="27">
        <v>6.8617756579816794E-2</v>
      </c>
      <c r="H10" s="27">
        <v>0.56460760828904111</v>
      </c>
      <c r="I10" s="27">
        <v>0.46785374346438352</v>
      </c>
      <c r="J10" s="27">
        <v>2.3711758357757087E-2</v>
      </c>
      <c r="K10" s="18">
        <v>2511.573680929981</v>
      </c>
      <c r="L10" s="18">
        <v>75696028.256882101</v>
      </c>
      <c r="M10" s="18"/>
      <c r="N10" s="19" t="s">
        <v>29</v>
      </c>
    </row>
    <row r="11" spans="1:14" s="1" customFormat="1" x14ac:dyDescent="0.25">
      <c r="A11" s="104"/>
      <c r="B11" s="21"/>
      <c r="C11" s="21" t="s">
        <v>7</v>
      </c>
      <c r="D11" s="21" t="s">
        <v>28</v>
      </c>
      <c r="E11" s="21">
        <v>31.40305616530917</v>
      </c>
      <c r="F11" s="21">
        <v>12.077424039620132</v>
      </c>
      <c r="G11" s="28">
        <v>2.8731383959552517E-2</v>
      </c>
      <c r="H11" s="28"/>
      <c r="I11" s="28"/>
      <c r="J11" s="28"/>
      <c r="K11" s="21"/>
      <c r="L11" s="21"/>
      <c r="M11" s="21"/>
      <c r="N11" s="22"/>
    </row>
    <row r="12" spans="1:14" s="1" customFormat="1" ht="15.75" thickBot="1" x14ac:dyDescent="0.3">
      <c r="A12" s="105"/>
      <c r="B12" s="24"/>
      <c r="C12" s="24"/>
      <c r="D12" s="24"/>
      <c r="E12" s="24">
        <v>32028.725560807321</v>
      </c>
      <c r="F12" s="24"/>
      <c r="G12" s="29"/>
      <c r="H12" s="29"/>
      <c r="I12" s="29"/>
      <c r="J12" s="29"/>
      <c r="K12" s="24"/>
      <c r="L12" s="24"/>
      <c r="M12" s="24"/>
      <c r="N12" s="25"/>
    </row>
    <row r="13" spans="1:14" s="98" customFormat="1" x14ac:dyDescent="0.25">
      <c r="A13" s="101">
        <v>7</v>
      </c>
      <c r="B13" s="89" t="b">
        <v>0</v>
      </c>
      <c r="C13" s="89" t="s">
        <v>5</v>
      </c>
      <c r="D13" s="89" t="s">
        <v>31</v>
      </c>
      <c r="E13" s="89">
        <v>8.2419680081722957E-2</v>
      </c>
      <c r="F13" s="89">
        <v>2.928106148407714E-2</v>
      </c>
      <c r="G13" s="90">
        <v>2.2675538298825383E-2</v>
      </c>
      <c r="H13" s="90">
        <v>0.72258297406435701</v>
      </c>
      <c r="I13" s="90">
        <v>0.61855158933849086</v>
      </c>
      <c r="J13" s="90">
        <v>1.285174945955036E-2</v>
      </c>
      <c r="K13" s="89">
        <v>2004.8046516599393</v>
      </c>
      <c r="L13" s="89">
        <v>48230900.295807965</v>
      </c>
      <c r="M13" s="89"/>
      <c r="N13" s="91" t="s">
        <v>30</v>
      </c>
    </row>
    <row r="14" spans="1:14" s="98" customFormat="1" x14ac:dyDescent="0.25">
      <c r="A14" s="102"/>
      <c r="B14" s="92"/>
      <c r="C14" s="92" t="s">
        <v>6</v>
      </c>
      <c r="D14" s="92" t="s">
        <v>31</v>
      </c>
      <c r="E14" s="92">
        <v>-3.2704007045114722</v>
      </c>
      <c r="F14" s="92">
        <v>1.5322437027331912</v>
      </c>
      <c r="G14" s="93">
        <v>6.5345107413018549E-2</v>
      </c>
      <c r="H14" s="93"/>
      <c r="I14" s="93"/>
      <c r="J14" s="93"/>
      <c r="K14" s="92"/>
      <c r="L14" s="92"/>
      <c r="M14" s="92"/>
      <c r="N14" s="94"/>
    </row>
    <row r="15" spans="1:14" s="98" customFormat="1" x14ac:dyDescent="0.25">
      <c r="A15" s="102"/>
      <c r="B15" s="92"/>
      <c r="C15" s="92" t="s">
        <v>7</v>
      </c>
      <c r="D15" s="92" t="s">
        <v>31</v>
      </c>
      <c r="E15" s="92">
        <v>12.723289012891403</v>
      </c>
      <c r="F15" s="92">
        <v>13.459250143014581</v>
      </c>
      <c r="G15" s="93">
        <v>0.3721679561516445</v>
      </c>
      <c r="H15" s="93"/>
      <c r="I15" s="93"/>
      <c r="J15" s="93"/>
      <c r="K15" s="92"/>
      <c r="L15" s="92"/>
      <c r="M15" s="92"/>
      <c r="N15" s="94"/>
    </row>
    <row r="16" spans="1:14" s="98" customFormat="1" ht="15.75" thickBot="1" x14ac:dyDescent="0.3">
      <c r="A16" s="103"/>
      <c r="B16" s="95"/>
      <c r="C16" s="95"/>
      <c r="D16" s="95"/>
      <c r="E16" s="95">
        <v>32148.521952300325</v>
      </c>
      <c r="F16" s="95"/>
      <c r="G16" s="96"/>
      <c r="H16" s="96"/>
      <c r="I16" s="96"/>
      <c r="J16" s="96"/>
      <c r="K16" s="95"/>
      <c r="L16" s="95"/>
      <c r="M16" s="95"/>
      <c r="N16" s="97"/>
    </row>
    <row r="17" spans="1:14" s="98" customFormat="1" x14ac:dyDescent="0.25">
      <c r="A17" s="101">
        <v>6</v>
      </c>
      <c r="B17" s="89" t="b">
        <v>0</v>
      </c>
      <c r="C17" s="89" t="s">
        <v>6</v>
      </c>
      <c r="D17" s="89" t="s">
        <v>31</v>
      </c>
      <c r="E17" s="89">
        <v>-2.420949680773806</v>
      </c>
      <c r="F17" s="89">
        <v>1.9981475622701323</v>
      </c>
      <c r="G17" s="90">
        <v>0.25651662415226717</v>
      </c>
      <c r="H17" s="90">
        <v>0.44783699803895355</v>
      </c>
      <c r="I17" s="90">
        <v>0.32513410871427645</v>
      </c>
      <c r="J17" s="90">
        <v>6.9072132423143098E-2</v>
      </c>
      <c r="K17" s="89">
        <v>2828.3891143535407</v>
      </c>
      <c r="L17" s="89">
        <v>95997419.786323279</v>
      </c>
      <c r="M17" s="89"/>
      <c r="N17" s="91" t="s">
        <v>32</v>
      </c>
    </row>
    <row r="18" spans="1:14" s="98" customFormat="1" x14ac:dyDescent="0.25">
      <c r="A18" s="102"/>
      <c r="B18" s="92"/>
      <c r="C18" s="92" t="s">
        <v>7</v>
      </c>
      <c r="D18" s="92" t="s">
        <v>31</v>
      </c>
      <c r="E18" s="92">
        <v>19.146165375294878</v>
      </c>
      <c r="F18" s="92">
        <v>17.643259558220269</v>
      </c>
      <c r="G18" s="93">
        <v>0.30605160784244412</v>
      </c>
      <c r="H18" s="93"/>
      <c r="I18" s="93"/>
      <c r="J18" s="93"/>
      <c r="K18" s="92"/>
      <c r="L18" s="92"/>
      <c r="M18" s="92"/>
      <c r="N18" s="94"/>
    </row>
    <row r="19" spans="1:14" s="98" customFormat="1" ht="15.75" thickBot="1" x14ac:dyDescent="0.3">
      <c r="A19" s="103"/>
      <c r="B19" s="95"/>
      <c r="C19" s="95"/>
      <c r="D19" s="95"/>
      <c r="E19" s="95">
        <v>50613.851237118542</v>
      </c>
      <c r="F19" s="95"/>
      <c r="G19" s="96"/>
      <c r="H19" s="96"/>
      <c r="I19" s="96"/>
      <c r="J19" s="96"/>
      <c r="K19" s="95"/>
      <c r="L19" s="95"/>
      <c r="M19" s="95"/>
      <c r="N19" s="97"/>
    </row>
    <row r="20" spans="1:14" s="98" customFormat="1" x14ac:dyDescent="0.25">
      <c r="A20" s="101">
        <v>2</v>
      </c>
      <c r="B20" s="89" t="b">
        <v>0</v>
      </c>
      <c r="C20" s="89" t="s">
        <v>6</v>
      </c>
      <c r="D20" s="89" t="s">
        <v>31</v>
      </c>
      <c r="E20" s="89">
        <v>-3.8052722943749488</v>
      </c>
      <c r="F20" s="89">
        <v>1.551548445767658</v>
      </c>
      <c r="G20" s="90">
        <v>3.4107779492488721E-2</v>
      </c>
      <c r="H20" s="90">
        <v>0.37558817798179839</v>
      </c>
      <c r="I20" s="90">
        <v>0.31314699577997829</v>
      </c>
      <c r="J20" s="90">
        <v>3.4107779492489179E-2</v>
      </c>
      <c r="K20" s="89">
        <v>3007.7453500263155</v>
      </c>
      <c r="L20" s="89">
        <v>108558385.08725908</v>
      </c>
      <c r="M20" s="89"/>
      <c r="N20" s="91" t="s">
        <v>33</v>
      </c>
    </row>
    <row r="21" spans="1:14" s="98" customFormat="1" x14ac:dyDescent="0.25">
      <c r="A21" s="102"/>
      <c r="B21" s="92"/>
      <c r="C21" s="92"/>
      <c r="D21" s="92"/>
      <c r="E21" s="92">
        <v>52343.241348221003</v>
      </c>
      <c r="F21" s="92"/>
      <c r="G21" s="93"/>
      <c r="H21" s="93"/>
      <c r="I21" s="93"/>
      <c r="J21" s="93"/>
      <c r="K21" s="92"/>
      <c r="L21" s="92"/>
      <c r="M21" s="92"/>
      <c r="N21" s="94"/>
    </row>
    <row r="23" spans="1:14" s="33" customFormat="1" ht="75" customHeight="1" x14ac:dyDescent="0.25">
      <c r="A23" s="113" t="s">
        <v>34</v>
      </c>
      <c r="B23" s="113"/>
      <c r="C23" s="113"/>
      <c r="G23" s="115" t="s">
        <v>35</v>
      </c>
      <c r="H23" s="115"/>
      <c r="I23" s="115"/>
      <c r="J23" s="115"/>
      <c r="K23" s="115"/>
      <c r="L23" s="115"/>
      <c r="M23" s="115"/>
      <c r="N23" s="115"/>
    </row>
    <row r="24" spans="1:14" ht="268.35000000000002" customHeight="1" x14ac:dyDescent="0.25"/>
    <row r="25" spans="1:14" ht="268.35000000000002" customHeight="1" x14ac:dyDescent="0.25"/>
    <row r="26" spans="1:14" ht="268.35000000000002" customHeight="1" x14ac:dyDescent="0.25"/>
    <row r="28" spans="1:14" s="98" customFormat="1" ht="15.75" thickBot="1" x14ac:dyDescent="0.3">
      <c r="A28" s="99" t="s">
        <v>13</v>
      </c>
      <c r="B28" s="99" t="s">
        <v>14</v>
      </c>
      <c r="C28" s="99" t="s">
        <v>15</v>
      </c>
      <c r="D28" s="99" t="s">
        <v>16</v>
      </c>
      <c r="E28" s="99" t="s">
        <v>17</v>
      </c>
      <c r="F28" s="99" t="s">
        <v>18</v>
      </c>
      <c r="G28" s="100" t="s">
        <v>19</v>
      </c>
      <c r="H28" s="100" t="s">
        <v>20</v>
      </c>
      <c r="I28" s="100" t="s">
        <v>21</v>
      </c>
      <c r="J28" s="100" t="s">
        <v>22</v>
      </c>
      <c r="K28" s="99" t="s">
        <v>23</v>
      </c>
      <c r="L28" s="99" t="s">
        <v>24</v>
      </c>
      <c r="M28" s="99" t="s">
        <v>25</v>
      </c>
      <c r="N28" s="99" t="s">
        <v>26</v>
      </c>
    </row>
    <row r="29" spans="1:14" s="98" customFormat="1" x14ac:dyDescent="0.25">
      <c r="A29" s="106">
        <v>3</v>
      </c>
      <c r="B29" s="89" t="b">
        <v>0</v>
      </c>
      <c r="C29" s="89" t="s">
        <v>7</v>
      </c>
      <c r="D29" s="89" t="s">
        <v>31</v>
      </c>
      <c r="E29" s="89">
        <v>32.79337309423348</v>
      </c>
      <c r="F29" s="89">
        <v>13.893914608480383</v>
      </c>
      <c r="G29" s="90">
        <v>3.9934934331768979E-2</v>
      </c>
      <c r="H29" s="90">
        <v>0.35777507745062465</v>
      </c>
      <c r="I29" s="90">
        <v>0.29355258519568717</v>
      </c>
      <c r="J29" s="90">
        <v>3.9934934331768805E-2</v>
      </c>
      <c r="K29" s="89">
        <v>3050.3458526153704</v>
      </c>
      <c r="L29" s="89">
        <v>111655317.84681349</v>
      </c>
      <c r="M29" s="89"/>
      <c r="N29" s="91" t="s">
        <v>36</v>
      </c>
    </row>
    <row r="30" spans="1:14" s="98" customFormat="1" ht="15.75" thickBot="1" x14ac:dyDescent="0.3">
      <c r="A30" s="103"/>
      <c r="B30" s="95"/>
      <c r="C30" s="95"/>
      <c r="D30" s="95"/>
      <c r="E30" s="95">
        <v>48397.76302478787</v>
      </c>
      <c r="F30" s="95"/>
      <c r="G30" s="96"/>
      <c r="H30" s="96"/>
      <c r="I30" s="96"/>
      <c r="J30" s="96"/>
      <c r="K30" s="95"/>
      <c r="L30" s="95"/>
      <c r="M30" s="95"/>
      <c r="N30" s="97"/>
    </row>
    <row r="31" spans="1:14" s="98" customFormat="1" x14ac:dyDescent="0.25">
      <c r="A31" s="106">
        <v>1</v>
      </c>
      <c r="B31" s="89" t="b">
        <v>0</v>
      </c>
      <c r="C31" s="89" t="s">
        <v>5</v>
      </c>
      <c r="D31" s="89" t="s">
        <v>31</v>
      </c>
      <c r="E31" s="89">
        <v>7.5018981321954586E-2</v>
      </c>
      <c r="F31" s="89">
        <v>4.250183700486912E-2</v>
      </c>
      <c r="G31" s="90">
        <v>0.10801147322053195</v>
      </c>
      <c r="H31" s="90">
        <v>0.237543017219319</v>
      </c>
      <c r="I31" s="90">
        <v>0.16129731894125091</v>
      </c>
      <c r="J31" s="90">
        <v>0.1080114732205317</v>
      </c>
      <c r="K31" s="89">
        <v>3323.6338896689404</v>
      </c>
      <c r="L31" s="89">
        <v>132558506.79067069</v>
      </c>
      <c r="M31" s="89"/>
      <c r="N31" s="91" t="s">
        <v>37</v>
      </c>
    </row>
    <row r="32" spans="1:14" s="98" customFormat="1" x14ac:dyDescent="0.25">
      <c r="A32" s="102"/>
      <c r="B32" s="92"/>
      <c r="C32" s="92"/>
      <c r="D32" s="92"/>
      <c r="E32" s="92">
        <v>32158.446608811686</v>
      </c>
      <c r="F32" s="92"/>
      <c r="G32" s="93"/>
      <c r="H32" s="93"/>
      <c r="I32" s="93"/>
      <c r="J32" s="93"/>
      <c r="K32" s="92"/>
      <c r="L32" s="92"/>
      <c r="M32" s="92"/>
      <c r="N32" s="94"/>
    </row>
  </sheetData>
  <mergeCells count="5">
    <mergeCell ref="A2:E2"/>
    <mergeCell ref="A3:G3"/>
    <mergeCell ref="A4:G4"/>
    <mergeCell ref="A23:C23"/>
    <mergeCell ref="G23:N23"/>
  </mergeCells>
  <hyperlinks>
    <hyperlink ref="A7" location="$A$7" tooltip="Graph model 4" display="$A$7" xr:uid="{DB319EE3-48BC-42BC-867B-191E6327481B}"/>
    <hyperlink ref="A10" location="$A$10" tooltip="Graph model 5" display="$A$10" xr:uid="{2556DCF1-F478-4F88-BCFB-EBA963BFC4A0}"/>
    <hyperlink ref="A13" location="$A$13" tooltip="Graph model 7" display="$A$13" xr:uid="{C42702FD-2FE7-4C28-9EBB-3E2C74373DB4}"/>
    <hyperlink ref="A17" location="$A$17" tooltip="Graph model 6" display="$A$17" xr:uid="{813A7609-2CED-471E-A8B7-8150C1F35BD3}"/>
    <hyperlink ref="A20" location="$A$20" tooltip="Graph model 2" display="$A$20" xr:uid="{1EB86684-0442-45A5-873B-6B5A8C2DECC0}"/>
  </hyperlinks>
  <pageMargins left="0.7" right="0.7" top="0.75" bottom="0.75" header="0.3" footer="0.3"/>
  <customProperties>
    <customPr name="SheetGUID" r:id="rId1"/>
  </customProperties>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C0A9B-8458-49A0-AC3A-455DB63410EF}">
  <sheetPr>
    <tabColor rgb="FF11CC50"/>
  </sheetPr>
  <dimension ref="A1:N32"/>
  <sheetViews>
    <sheetView topLeftCell="A3" workbookViewId="0">
      <selection activeCell="N7" sqref="N7"/>
    </sheetView>
  </sheetViews>
  <sheetFormatPr defaultRowHeight="15" x14ac:dyDescent="0.25"/>
  <cols>
    <col min="1" max="1" width="16.7109375" customWidth="1"/>
    <col min="2" max="2" width="28.5703125" customWidth="1"/>
    <col min="3" max="3" width="11.42578125" customWidth="1"/>
    <col min="4" max="4" width="21.5703125" hidden="1" customWidth="1"/>
    <col min="5" max="5" width="13.85546875" hidden="1" customWidth="1"/>
    <col min="6" max="6" width="19.140625" hidden="1" customWidth="1"/>
    <col min="7" max="7" width="18.85546875" style="26" customWidth="1"/>
    <col min="8" max="8" width="9.140625" style="26"/>
    <col min="9" max="9" width="13.7109375" style="26" customWidth="1"/>
    <col min="10" max="10" width="16.42578125" style="26" customWidth="1"/>
    <col min="11" max="11" width="11.42578125" hidden="1" customWidth="1"/>
    <col min="12" max="12" width="10.7109375" hidden="1" customWidth="1"/>
    <col min="13" max="13" width="0" hidden="1" customWidth="1"/>
    <col min="14" max="14" width="10.42578125" customWidth="1"/>
  </cols>
  <sheetData>
    <row r="1" spans="1:14" hidden="1" x14ac:dyDescent="0.25"/>
    <row r="2" spans="1:14" hidden="1" x14ac:dyDescent="0.25">
      <c r="A2" s="112" t="s">
        <v>10</v>
      </c>
      <c r="B2" s="112"/>
      <c r="C2" s="112"/>
      <c r="D2" s="112"/>
      <c r="E2" s="112"/>
    </row>
    <row r="3" spans="1:14" x14ac:dyDescent="0.25">
      <c r="A3" s="113" t="s">
        <v>38</v>
      </c>
      <c r="B3" s="113"/>
      <c r="C3" s="113"/>
      <c r="D3" s="113"/>
      <c r="E3" s="113"/>
      <c r="F3" s="113"/>
      <c r="G3" s="113"/>
    </row>
    <row r="4" spans="1:14" ht="105" customHeight="1" x14ac:dyDescent="0.25">
      <c r="A4" s="114" t="s">
        <v>39</v>
      </c>
      <c r="B4" s="114"/>
      <c r="C4" s="114"/>
      <c r="D4" s="114"/>
      <c r="E4" s="114"/>
      <c r="F4" s="114"/>
      <c r="G4" s="114"/>
    </row>
    <row r="6" spans="1:14" ht="15.75" thickBot="1" x14ac:dyDescent="0.3">
      <c r="A6" t="s">
        <v>13</v>
      </c>
      <c r="B6" t="s">
        <v>14</v>
      </c>
      <c r="C6" t="s">
        <v>15</v>
      </c>
      <c r="D6" t="s">
        <v>16</v>
      </c>
      <c r="E6" t="s">
        <v>17</v>
      </c>
      <c r="F6" t="s">
        <v>18</v>
      </c>
      <c r="G6" s="26" t="s">
        <v>19</v>
      </c>
      <c r="H6" s="26" t="s">
        <v>20</v>
      </c>
      <c r="I6" s="26" t="s">
        <v>21</v>
      </c>
      <c r="J6" s="26" t="s">
        <v>22</v>
      </c>
      <c r="K6" t="s">
        <v>23</v>
      </c>
      <c r="L6" t="s">
        <v>24</v>
      </c>
      <c r="M6" t="s">
        <v>25</v>
      </c>
      <c r="N6" t="s">
        <v>26</v>
      </c>
    </row>
    <row r="7" spans="1:14" x14ac:dyDescent="0.25">
      <c r="A7" s="17">
        <v>4</v>
      </c>
      <c r="B7" s="18" t="b">
        <v>1</v>
      </c>
      <c r="C7" s="18" t="s">
        <v>5</v>
      </c>
      <c r="D7" s="18" t="s">
        <v>28</v>
      </c>
      <c r="E7" s="18">
        <v>9.24691334030147E-2</v>
      </c>
      <c r="F7" s="18">
        <v>1.8815060338226646E-2</v>
      </c>
      <c r="G7" s="27">
        <v>8.3072188613475409E-4</v>
      </c>
      <c r="H7" s="27">
        <v>0.93741731355500213</v>
      </c>
      <c r="I7" s="27">
        <v>0.92351004990055807</v>
      </c>
      <c r="J7" s="27">
        <v>3.8374604138665583E-6</v>
      </c>
      <c r="K7" s="18">
        <v>1386.4365448722335</v>
      </c>
      <c r="L7" s="18">
        <v>23066475.515487082</v>
      </c>
      <c r="M7" s="18"/>
      <c r="N7" s="19" t="s">
        <v>40</v>
      </c>
    </row>
    <row r="8" spans="1:14" x14ac:dyDescent="0.25">
      <c r="A8" s="20"/>
      <c r="B8" s="21"/>
      <c r="C8" s="21" t="s">
        <v>6</v>
      </c>
      <c r="D8" s="21" t="s">
        <v>28</v>
      </c>
      <c r="E8" s="21">
        <v>7.4983113624366746</v>
      </c>
      <c r="F8" s="21">
        <v>0.75898880327030449</v>
      </c>
      <c r="G8" s="28">
        <v>3.9583149651753382E-6</v>
      </c>
      <c r="H8" s="28"/>
      <c r="I8" s="28"/>
      <c r="J8" s="28"/>
      <c r="K8" s="21"/>
      <c r="L8" s="21"/>
      <c r="M8" s="21"/>
      <c r="N8" s="22"/>
    </row>
    <row r="9" spans="1:14" ht="15.75" thickBot="1" x14ac:dyDescent="0.3">
      <c r="A9" s="23"/>
      <c r="B9" s="24"/>
      <c r="C9" s="24"/>
      <c r="D9" s="24"/>
      <c r="E9" s="24">
        <v>-7722.2732116153256</v>
      </c>
      <c r="F9" s="24"/>
      <c r="G9" s="29"/>
      <c r="H9" s="29"/>
      <c r="I9" s="29"/>
      <c r="J9" s="29"/>
      <c r="K9" s="24"/>
      <c r="L9" s="24"/>
      <c r="M9" s="24"/>
      <c r="N9" s="25"/>
    </row>
    <row r="10" spans="1:14" x14ac:dyDescent="0.25">
      <c r="A10" s="8">
        <v>2</v>
      </c>
      <c r="B10" s="9" t="b">
        <v>1</v>
      </c>
      <c r="C10" s="9" t="s">
        <v>6</v>
      </c>
      <c r="D10" s="9" t="s">
        <v>28</v>
      </c>
      <c r="E10" s="9">
        <v>7.9303203265015476</v>
      </c>
      <c r="F10" s="9">
        <v>1.3726775747460629</v>
      </c>
      <c r="G10" s="30">
        <v>1.7839936801277334E-4</v>
      </c>
      <c r="H10" s="30">
        <v>0.76946188835427287</v>
      </c>
      <c r="I10" s="30">
        <v>0.74640807718970015</v>
      </c>
      <c r="J10" s="30">
        <v>1.783993680127725E-4</v>
      </c>
      <c r="K10" s="9">
        <v>2660.9962478388065</v>
      </c>
      <c r="L10" s="9">
        <v>84970812.372146487</v>
      </c>
      <c r="M10" s="9"/>
      <c r="N10" s="10" t="s">
        <v>41</v>
      </c>
    </row>
    <row r="11" spans="1:14" ht="15.75" thickBot="1" x14ac:dyDescent="0.3">
      <c r="A11" s="14"/>
      <c r="B11" s="15"/>
      <c r="C11" s="15"/>
      <c r="D11" s="15"/>
      <c r="E11" s="15">
        <v>13645.427029462109</v>
      </c>
      <c r="F11" s="15"/>
      <c r="G11" s="32"/>
      <c r="H11" s="32"/>
      <c r="I11" s="32"/>
      <c r="J11" s="32"/>
      <c r="K11" s="15"/>
      <c r="L11" s="15"/>
      <c r="M11" s="15"/>
      <c r="N11" s="16"/>
    </row>
    <row r="12" spans="1:14" x14ac:dyDescent="0.25">
      <c r="A12" s="8">
        <v>5</v>
      </c>
      <c r="B12" s="9" t="b">
        <v>1</v>
      </c>
      <c r="C12" s="9" t="s">
        <v>5</v>
      </c>
      <c r="D12" s="9" t="s">
        <v>28</v>
      </c>
      <c r="E12" s="9">
        <v>0.12034957045154457</v>
      </c>
      <c r="F12" s="9">
        <v>5.1990679122629946E-2</v>
      </c>
      <c r="G12" s="30">
        <v>4.5872424303509698E-2</v>
      </c>
      <c r="H12" s="30">
        <v>0.51715199165167824</v>
      </c>
      <c r="I12" s="30">
        <v>0.4098524342409402</v>
      </c>
      <c r="J12" s="30">
        <v>3.7770001289189004E-2</v>
      </c>
      <c r="K12" s="9">
        <v>3851.0407894236696</v>
      </c>
      <c r="L12" s="9">
        <v>177966181.94165856</v>
      </c>
      <c r="M12" s="9"/>
      <c r="N12" s="10" t="s">
        <v>42</v>
      </c>
    </row>
    <row r="13" spans="1:14" x14ac:dyDescent="0.25">
      <c r="A13" s="11"/>
      <c r="B13" s="12"/>
      <c r="C13" s="12" t="s">
        <v>7</v>
      </c>
      <c r="D13" s="12" t="s">
        <v>28</v>
      </c>
      <c r="E13" s="12">
        <v>-40.642916542331243</v>
      </c>
      <c r="F13" s="12">
        <v>18.518530019999755</v>
      </c>
      <c r="G13" s="31">
        <v>5.5819434054934766E-2</v>
      </c>
      <c r="H13" s="31"/>
      <c r="I13" s="31"/>
      <c r="J13" s="31"/>
      <c r="K13" s="12"/>
      <c r="L13" s="12"/>
      <c r="M13" s="12"/>
      <c r="N13" s="13"/>
    </row>
    <row r="14" spans="1:14" ht="15.75" thickBot="1" x14ac:dyDescent="0.3">
      <c r="A14" s="14"/>
      <c r="B14" s="15"/>
      <c r="C14" s="15"/>
      <c r="D14" s="15"/>
      <c r="E14" s="15">
        <v>-7456.6351122293154</v>
      </c>
      <c r="F14" s="15"/>
      <c r="G14" s="32"/>
      <c r="H14" s="32"/>
      <c r="I14" s="32"/>
      <c r="J14" s="32"/>
      <c r="K14" s="15"/>
      <c r="L14" s="15"/>
      <c r="M14" s="15"/>
      <c r="N14" s="16"/>
    </row>
    <row r="15" spans="1:14" x14ac:dyDescent="0.25">
      <c r="A15" s="8">
        <v>7</v>
      </c>
      <c r="B15" s="9" t="b">
        <v>0</v>
      </c>
      <c r="C15" s="9" t="s">
        <v>5</v>
      </c>
      <c r="D15" s="9" t="s">
        <v>31</v>
      </c>
      <c r="E15" s="9">
        <v>9.107241862281916E-2</v>
      </c>
      <c r="F15" s="9">
        <v>2.0038941649027461E-2</v>
      </c>
      <c r="G15" s="30">
        <v>1.8873068396302786E-3</v>
      </c>
      <c r="H15" s="30">
        <v>0.93871216810903579</v>
      </c>
      <c r="I15" s="30">
        <v>0.91572923114992422</v>
      </c>
      <c r="J15" s="30">
        <v>3.3859066764049708E-5</v>
      </c>
      <c r="K15" s="9">
        <v>1372.0186836176954</v>
      </c>
      <c r="L15" s="9">
        <v>22589223.218352407</v>
      </c>
      <c r="M15" s="9"/>
      <c r="N15" s="10" t="s">
        <v>43</v>
      </c>
    </row>
    <row r="16" spans="1:14" x14ac:dyDescent="0.25">
      <c r="A16" s="11"/>
      <c r="B16" s="12"/>
      <c r="C16" s="12" t="s">
        <v>6</v>
      </c>
      <c r="D16" s="12" t="s">
        <v>31</v>
      </c>
      <c r="E16" s="12">
        <v>7.7786362387369907</v>
      </c>
      <c r="F16" s="12">
        <v>1.0486143805905785</v>
      </c>
      <c r="G16" s="31">
        <v>7.4894501988951754E-5</v>
      </c>
      <c r="H16" s="31"/>
      <c r="I16" s="31"/>
      <c r="J16" s="31"/>
      <c r="K16" s="12"/>
      <c r="L16" s="12"/>
      <c r="M16" s="12"/>
      <c r="N16" s="13"/>
    </row>
    <row r="17" spans="1:14" x14ac:dyDescent="0.25">
      <c r="A17" s="11"/>
      <c r="B17" s="12"/>
      <c r="C17" s="12" t="s">
        <v>7</v>
      </c>
      <c r="D17" s="12" t="s">
        <v>31</v>
      </c>
      <c r="E17" s="12">
        <v>3.7868420198297117</v>
      </c>
      <c r="F17" s="12">
        <v>9.2110434043588167</v>
      </c>
      <c r="G17" s="31">
        <v>0.69177714282288216</v>
      </c>
      <c r="H17" s="31"/>
      <c r="I17" s="31"/>
      <c r="J17" s="31"/>
      <c r="K17" s="12"/>
      <c r="L17" s="12"/>
      <c r="M17" s="12"/>
      <c r="N17" s="13"/>
    </row>
    <row r="18" spans="1:14" ht="15.75" thickBot="1" x14ac:dyDescent="0.3">
      <c r="A18" s="14"/>
      <c r="B18" s="15"/>
      <c r="C18" s="15"/>
      <c r="D18" s="15"/>
      <c r="E18" s="15">
        <v>-7741.5703958023023</v>
      </c>
      <c r="F18" s="15"/>
      <c r="G18" s="32"/>
      <c r="H18" s="32"/>
      <c r="I18" s="32"/>
      <c r="J18" s="32"/>
      <c r="K18" s="15"/>
      <c r="L18" s="15"/>
      <c r="M18" s="15"/>
      <c r="N18" s="16"/>
    </row>
    <row r="19" spans="1:14" x14ac:dyDescent="0.25">
      <c r="A19" s="8">
        <v>6</v>
      </c>
      <c r="B19" s="9" t="b">
        <v>0</v>
      </c>
      <c r="C19" s="9" t="s">
        <v>6</v>
      </c>
      <c r="D19" s="9" t="s">
        <v>31</v>
      </c>
      <c r="E19" s="9">
        <v>8.7172659344202454</v>
      </c>
      <c r="F19" s="9">
        <v>1.8344389844080577</v>
      </c>
      <c r="G19" s="30">
        <v>1.0412603029730035E-3</v>
      </c>
      <c r="H19" s="30">
        <v>0.78047501876623449</v>
      </c>
      <c r="I19" s="30">
        <v>0.73169168960317554</v>
      </c>
      <c r="J19" s="30">
        <v>1.088122446112781E-3</v>
      </c>
      <c r="K19" s="9">
        <v>2596.6587014978791</v>
      </c>
      <c r="L19" s="9">
        <v>80911636.94477582</v>
      </c>
      <c r="M19" s="9"/>
      <c r="N19" s="10" t="s">
        <v>44</v>
      </c>
    </row>
    <row r="20" spans="1:14" x14ac:dyDescent="0.25">
      <c r="A20" s="11"/>
      <c r="B20" s="12"/>
      <c r="C20" s="12" t="s">
        <v>7</v>
      </c>
      <c r="D20" s="12" t="s">
        <v>31</v>
      </c>
      <c r="E20" s="12">
        <v>10.884016921011305</v>
      </c>
      <c r="F20" s="12">
        <v>16.197744229089029</v>
      </c>
      <c r="G20" s="31">
        <v>0.51849299018090356</v>
      </c>
      <c r="H20" s="31"/>
      <c r="I20" s="31"/>
      <c r="J20" s="31"/>
      <c r="K20" s="12"/>
      <c r="L20" s="12"/>
      <c r="M20" s="12"/>
      <c r="N20" s="13"/>
    </row>
    <row r="21" spans="1:14" x14ac:dyDescent="0.25">
      <c r="A21" s="11"/>
      <c r="B21" s="12"/>
      <c r="C21" s="12"/>
      <c r="D21" s="12"/>
      <c r="E21" s="12">
        <v>12662.320968101309</v>
      </c>
      <c r="F21" s="12"/>
      <c r="G21" s="31"/>
      <c r="H21" s="31"/>
      <c r="I21" s="31"/>
      <c r="J21" s="31"/>
      <c r="K21" s="12"/>
      <c r="L21" s="12"/>
      <c r="M21" s="12"/>
      <c r="N21" s="13"/>
    </row>
    <row r="23" spans="1:14" s="33" customFormat="1" ht="75" customHeight="1" x14ac:dyDescent="0.25">
      <c r="A23" s="113" t="s">
        <v>34</v>
      </c>
      <c r="B23" s="113"/>
      <c r="C23" s="113"/>
      <c r="G23" s="115" t="s">
        <v>35</v>
      </c>
      <c r="H23" s="115"/>
      <c r="I23" s="115"/>
      <c r="J23" s="115"/>
      <c r="K23" s="115"/>
      <c r="L23" s="115"/>
      <c r="M23" s="115"/>
      <c r="N23" s="115"/>
    </row>
    <row r="24" spans="1:14" ht="268.35000000000002" customHeight="1" x14ac:dyDescent="0.25"/>
    <row r="25" spans="1:14" ht="268.35000000000002" customHeight="1" x14ac:dyDescent="0.25"/>
    <row r="26" spans="1:14" ht="268.35000000000002" customHeight="1" x14ac:dyDescent="0.25"/>
    <row r="28" spans="1:14" ht="15.75" thickBot="1" x14ac:dyDescent="0.3">
      <c r="A28" t="s">
        <v>13</v>
      </c>
      <c r="B28" t="s">
        <v>14</v>
      </c>
      <c r="C28" t="s">
        <v>15</v>
      </c>
      <c r="D28" t="s">
        <v>16</v>
      </c>
      <c r="E28" t="s">
        <v>17</v>
      </c>
      <c r="F28" t="s">
        <v>18</v>
      </c>
      <c r="G28" s="26" t="s">
        <v>19</v>
      </c>
      <c r="H28" s="26" t="s">
        <v>20</v>
      </c>
      <c r="I28" s="26" t="s">
        <v>21</v>
      </c>
      <c r="J28" s="26" t="s">
        <v>22</v>
      </c>
      <c r="K28" t="s">
        <v>23</v>
      </c>
      <c r="L28" t="s">
        <v>24</v>
      </c>
      <c r="M28" t="s">
        <v>25</v>
      </c>
      <c r="N28" t="s">
        <v>26</v>
      </c>
    </row>
    <row r="29" spans="1:14" x14ac:dyDescent="0.25">
      <c r="A29" s="34">
        <v>1</v>
      </c>
      <c r="B29" s="9" t="b">
        <v>0</v>
      </c>
      <c r="C29" s="9" t="s">
        <v>5</v>
      </c>
      <c r="D29" s="9" t="s">
        <v>31</v>
      </c>
      <c r="E29" s="9">
        <v>0.11399694745812768</v>
      </c>
      <c r="F29" s="9">
        <v>6.1017553489241406E-2</v>
      </c>
      <c r="G29" s="30">
        <v>9.1267815865524682E-2</v>
      </c>
      <c r="H29" s="30">
        <v>0.25873287001657058</v>
      </c>
      <c r="I29" s="30">
        <v>0.18460615701822772</v>
      </c>
      <c r="J29" s="30">
        <v>9.1267815865525209E-2</v>
      </c>
      <c r="K29" s="9">
        <v>4771.5586650595069</v>
      </c>
      <c r="L29" s="9">
        <v>273213265.12925357</v>
      </c>
      <c r="M29" s="9"/>
      <c r="N29" s="10" t="s">
        <v>45</v>
      </c>
    </row>
    <row r="30" spans="1:14" ht="15.75" thickBot="1" x14ac:dyDescent="0.3">
      <c r="A30" s="14"/>
      <c r="B30" s="15"/>
      <c r="C30" s="15"/>
      <c r="D30" s="15"/>
      <c r="E30" s="15">
        <v>-7624.5245590421464</v>
      </c>
      <c r="F30" s="15"/>
      <c r="G30" s="32"/>
      <c r="H30" s="32"/>
      <c r="I30" s="32"/>
      <c r="J30" s="32"/>
      <c r="K30" s="15"/>
      <c r="L30" s="15"/>
      <c r="M30" s="15"/>
      <c r="N30" s="16"/>
    </row>
    <row r="31" spans="1:14" x14ac:dyDescent="0.25">
      <c r="A31" s="34">
        <v>3</v>
      </c>
      <c r="B31" s="9" t="b">
        <v>0</v>
      </c>
      <c r="C31" s="9" t="s">
        <v>7</v>
      </c>
      <c r="D31" s="9" t="s">
        <v>31</v>
      </c>
      <c r="E31" s="9">
        <v>-38.256343117465825</v>
      </c>
      <c r="F31" s="9">
        <v>22.155726012112041</v>
      </c>
      <c r="G31" s="30">
        <v>0.11492447969924902</v>
      </c>
      <c r="H31" s="30">
        <v>0.22967304610818781</v>
      </c>
      <c r="I31" s="30">
        <v>0.15264035071900661</v>
      </c>
      <c r="J31" s="30">
        <v>0.11492447969924968</v>
      </c>
      <c r="K31" s="9">
        <v>4864.1890249907128</v>
      </c>
      <c r="L31" s="9">
        <v>283924018.45008123</v>
      </c>
      <c r="M31" s="9"/>
      <c r="N31" s="10" t="s">
        <v>46</v>
      </c>
    </row>
    <row r="32" spans="1:14" x14ac:dyDescent="0.25">
      <c r="A32" s="11"/>
      <c r="B32" s="12"/>
      <c r="C32" s="12"/>
      <c r="D32" s="12"/>
      <c r="E32" s="12">
        <v>20641.929315370067</v>
      </c>
      <c r="F32" s="12"/>
      <c r="G32" s="31"/>
      <c r="H32" s="31"/>
      <c r="I32" s="31"/>
      <c r="J32" s="31"/>
      <c r="K32" s="12"/>
      <c r="L32" s="12"/>
      <c r="M32" s="12"/>
      <c r="N32" s="13"/>
    </row>
  </sheetData>
  <mergeCells count="5">
    <mergeCell ref="A2:E2"/>
    <mergeCell ref="A3:G3"/>
    <mergeCell ref="A4:G4"/>
    <mergeCell ref="A23:C23"/>
    <mergeCell ref="G23:N23"/>
  </mergeCells>
  <hyperlinks>
    <hyperlink ref="A7" location="$A$7" tooltip="Graph model 4" display="$A$7" xr:uid="{3E8235AB-EAF0-46AB-8673-69711B7591EA}"/>
    <hyperlink ref="A10" location="$A$10" tooltip="Graph model 2" display="$A$10" xr:uid="{8AEA3A81-7E36-4076-BDC6-465976561486}"/>
    <hyperlink ref="A12" location="$A$12" tooltip="Graph model 5" display="$A$12" xr:uid="{3D0859FD-4770-4295-8B00-6A9645577677}"/>
    <hyperlink ref="A15" location="$A$15" tooltip="Graph model 7" display="$A$15" xr:uid="{093A1878-9D83-48BF-B90F-72C91224CD3C}"/>
    <hyperlink ref="A19" location="$A$19" tooltip="Graph model 6" display="$A$19" xr:uid="{D58519F5-6AE1-43AD-8C67-7BB565400994}"/>
  </hyperlinks>
  <pageMargins left="0.7" right="0.7" top="0.75" bottom="0.75" header="0.3" footer="0.3"/>
  <customProperties>
    <customPr name="SheetGUID" r:id="rId1"/>
  </customProperties>
  <drawing r:id="rId2"/>
  <tableParts count="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48AB0E-8441-4041-9BF1-A75C125281EC}">
  <sheetPr>
    <tabColor rgb="FF11CC50"/>
  </sheetPr>
  <dimension ref="A1:AN86"/>
  <sheetViews>
    <sheetView topLeftCell="A9" workbookViewId="0">
      <selection activeCell="P19" sqref="P19"/>
    </sheetView>
  </sheetViews>
  <sheetFormatPr defaultRowHeight="15" x14ac:dyDescent="0.25"/>
  <cols>
    <col min="1" max="1" width="11" customWidth="1"/>
    <col min="2" max="2" width="27.7109375" bestFit="1" customWidth="1"/>
    <col min="3" max="3" width="21" customWidth="1"/>
    <col min="4" max="4" width="21.5703125" customWidth="1"/>
    <col min="5" max="5" width="22.5703125" customWidth="1"/>
    <col min="6" max="6" width="12.85546875" customWidth="1"/>
    <col min="11" max="13" width="0" hidden="1" customWidth="1"/>
    <col min="14" max="14" width="20.7109375" customWidth="1"/>
    <col min="18" max="18" width="0" hidden="1" customWidth="1"/>
    <col min="20" max="31" width="16.42578125" customWidth="1"/>
  </cols>
  <sheetData>
    <row r="1" spans="1:40" ht="212.1" customHeight="1" x14ac:dyDescent="0.25"/>
    <row r="2" spans="1:40" ht="18.75" hidden="1" x14ac:dyDescent="0.3">
      <c r="A2" s="50" t="s">
        <v>70</v>
      </c>
    </row>
    <row r="3" spans="1:40" ht="69" hidden="1" customHeight="1" x14ac:dyDescent="0.25">
      <c r="A3" s="116" t="s">
        <v>71</v>
      </c>
      <c r="B3" s="116"/>
      <c r="C3" s="116"/>
      <c r="D3" s="116"/>
      <c r="E3" s="116"/>
      <c r="F3" s="116"/>
      <c r="G3" s="116"/>
      <c r="H3" s="116"/>
      <c r="I3" s="116"/>
    </row>
    <row r="4" spans="1:40" ht="18.75" x14ac:dyDescent="0.3">
      <c r="A4" s="50" t="s">
        <v>72</v>
      </c>
    </row>
    <row r="5" spans="1:40" ht="129.94999999999999" customHeight="1" x14ac:dyDescent="0.25">
      <c r="A5" s="114" t="s">
        <v>73</v>
      </c>
      <c r="B5" s="112"/>
      <c r="C5" s="112"/>
      <c r="D5" s="112"/>
      <c r="E5" s="112"/>
      <c r="F5" s="112"/>
      <c r="G5" s="112"/>
    </row>
    <row r="6" spans="1:40" s="51" customFormat="1" x14ac:dyDescent="0.25">
      <c r="A6" s="55" t="s">
        <v>9</v>
      </c>
      <c r="B6" s="55" t="s">
        <v>82</v>
      </c>
      <c r="C6" s="52" t="s">
        <v>5</v>
      </c>
      <c r="D6" s="52" t="s">
        <v>6</v>
      </c>
      <c r="E6" s="52" t="s">
        <v>7</v>
      </c>
    </row>
    <row r="7" spans="1:40" s="51" customFormat="1" hidden="1" x14ac:dyDescent="0.25">
      <c r="A7" s="56"/>
      <c r="B7" s="56" t="s">
        <v>76</v>
      </c>
      <c r="C7" s="57">
        <v>234282.65833333301</v>
      </c>
      <c r="D7" s="57">
        <v>685.66666666666697</v>
      </c>
      <c r="E7" s="57">
        <v>40.75</v>
      </c>
    </row>
    <row r="8" spans="1:40" s="51" customFormat="1" x14ac:dyDescent="0.25">
      <c r="A8" s="56"/>
      <c r="B8" s="56" t="s">
        <v>77</v>
      </c>
      <c r="C8" s="57">
        <v>218631.40833333301</v>
      </c>
      <c r="D8" s="57">
        <v>619</v>
      </c>
      <c r="E8" s="57">
        <v>140.583333333333</v>
      </c>
    </row>
    <row r="9" spans="1:40" s="51" customFormat="1" x14ac:dyDescent="0.25">
      <c r="A9" s="58" t="s">
        <v>74</v>
      </c>
      <c r="B9" s="58" t="s">
        <v>78</v>
      </c>
      <c r="C9" s="59">
        <v>182621.5</v>
      </c>
      <c r="D9" s="59">
        <v>2</v>
      </c>
      <c r="E9" s="59">
        <v>0</v>
      </c>
    </row>
    <row r="10" spans="1:40" s="51" customFormat="1" x14ac:dyDescent="0.25">
      <c r="A10" s="58"/>
      <c r="B10" s="58" t="s">
        <v>79</v>
      </c>
      <c r="C10" s="59">
        <v>265927</v>
      </c>
      <c r="D10" s="59">
        <v>1619</v>
      </c>
      <c r="E10" s="59">
        <v>216</v>
      </c>
    </row>
    <row r="11" spans="1:40" s="51" customFormat="1" x14ac:dyDescent="0.25">
      <c r="A11" s="60" t="s">
        <v>75</v>
      </c>
      <c r="B11" s="60" t="s">
        <v>80</v>
      </c>
      <c r="C11" s="61">
        <v>156797.05617954701</v>
      </c>
      <c r="D11" s="61">
        <v>-1235.17363240701</v>
      </c>
      <c r="E11" s="61">
        <v>-176.79043511285599</v>
      </c>
    </row>
    <row r="12" spans="1:40" s="51" customFormat="1" x14ac:dyDescent="0.25">
      <c r="A12" s="60"/>
      <c r="B12" s="60" t="s">
        <v>81</v>
      </c>
      <c r="C12" s="61">
        <v>311768.26048712002</v>
      </c>
      <c r="D12" s="61">
        <v>2606.5069657403401</v>
      </c>
      <c r="E12" s="61">
        <v>258.29043511285602</v>
      </c>
    </row>
    <row r="13" spans="1:40" x14ac:dyDescent="0.25">
      <c r="A13" s="53"/>
      <c r="B13" s="53" t="s">
        <v>16</v>
      </c>
      <c r="C13" s="54" t="s">
        <v>28</v>
      </c>
      <c r="D13" s="54" t="s">
        <v>28</v>
      </c>
      <c r="E13" s="54" t="s">
        <v>59</v>
      </c>
    </row>
    <row r="14" spans="1:40" ht="165" x14ac:dyDescent="0.25">
      <c r="A14" s="44" t="s">
        <v>0</v>
      </c>
      <c r="B14" s="44" t="s">
        <v>1</v>
      </c>
      <c r="C14" s="44" t="s">
        <v>2</v>
      </c>
      <c r="D14" s="44" t="s">
        <v>3</v>
      </c>
      <c r="E14" s="44" t="s">
        <v>4</v>
      </c>
      <c r="F14" s="44" t="s">
        <v>5</v>
      </c>
      <c r="G14" s="44" t="s">
        <v>6</v>
      </c>
      <c r="H14" s="44" t="s">
        <v>7</v>
      </c>
      <c r="I14" s="44" t="s">
        <v>8</v>
      </c>
      <c r="J14" s="44" t="s">
        <v>47</v>
      </c>
      <c r="K14" s="44" t="s">
        <v>48</v>
      </c>
      <c r="L14" s="44" t="s">
        <v>49</v>
      </c>
      <c r="M14" s="44" t="s">
        <v>50</v>
      </c>
      <c r="N14" s="44" t="s">
        <v>51</v>
      </c>
      <c r="O14" s="45" t="s">
        <v>52</v>
      </c>
      <c r="P14" s="45" t="s">
        <v>53</v>
      </c>
      <c r="Q14" s="45" t="s">
        <v>54</v>
      </c>
      <c r="R14" s="45" t="s">
        <v>55</v>
      </c>
      <c r="S14" s="45" t="s">
        <v>56</v>
      </c>
      <c r="T14" s="45" t="s">
        <v>57</v>
      </c>
      <c r="U14" s="45" t="s">
        <v>58</v>
      </c>
      <c r="V14" s="45" t="s">
        <v>60</v>
      </c>
      <c r="W14" s="45" t="s">
        <v>61</v>
      </c>
      <c r="X14" s="45" t="s">
        <v>62</v>
      </c>
      <c r="Y14" s="45" t="s">
        <v>63</v>
      </c>
      <c r="Z14" s="45" t="s">
        <v>64</v>
      </c>
      <c r="AA14" s="45" t="s">
        <v>65</v>
      </c>
      <c r="AB14" s="45" t="s">
        <v>66</v>
      </c>
      <c r="AC14" s="45" t="s">
        <v>67</v>
      </c>
      <c r="AD14" s="45" t="s">
        <v>68</v>
      </c>
      <c r="AE14" s="45" t="s">
        <v>69</v>
      </c>
    </row>
    <row r="15" spans="1:40" x14ac:dyDescent="0.25">
      <c r="A15" s="41">
        <v>39083</v>
      </c>
      <c r="B15" s="38">
        <v>4668632.7971602436</v>
      </c>
      <c r="C15" s="38">
        <v>47790.114149303845</v>
      </c>
      <c r="D15" s="38">
        <v>302940</v>
      </c>
      <c r="E15" s="38">
        <v>30294</v>
      </c>
      <c r="F15" s="38">
        <v>256107</v>
      </c>
      <c r="G15" s="38">
        <v>1619</v>
      </c>
      <c r="H15" s="38">
        <v>0</v>
      </c>
      <c r="I15" s="39">
        <v>2007</v>
      </c>
      <c r="J15" s="38">
        <f>DetailTable6[Electricity (MMBTU)]+DetailTable6[Natural Gas (MMBTU)]</f>
        <v>78084.114149303845</v>
      </c>
      <c r="K15" s="38">
        <v>2007</v>
      </c>
      <c r="L15" s="38">
        <v>2007</v>
      </c>
      <c r="M15" s="38">
        <v>2009</v>
      </c>
      <c r="N15"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15" s="40">
        <f>(0.070110579228 * DetailTable6[Production]) + (31.403056165309 * DetailTable6[CDD]) + 32028.73</f>
        <v>49984.540114345393</v>
      </c>
      <c r="P15" s="40">
        <f>(0.092469133403 * DetailTable6[Production]) + (7.498311362437 * DetailTable6[HDD]) + -7722.27</f>
        <v>28099.488444227627</v>
      </c>
      <c r="Q15" s="40">
        <f>DetailTable6[Modeled Electricity (MMBTU)]+DetailTable6[Modeled Natural Gas (MMBTU)]</f>
        <v>78084.028558573016</v>
      </c>
      <c r="R15"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15" s="40" t="str">
        <f>IF(DetailTable6[Period]=DetailTable6[Model Year],"",DetailTable6[CUSUMHidden])</f>
        <v/>
      </c>
      <c r="T15"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2194.4259650415479</v>
      </c>
      <c r="U15"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-2194.511555772373</v>
      </c>
      <c r="V15" s="46" t="str">
        <f ca="1">IF(DetailTable6[Period]&lt;=DetailTable6[Model Year],"N/A",SUM(DetailTable6[[#This Row],[Total Modeled Energy Consumption (MMBTU)]]:OFFSET(DetailTable6[[#This Row],[Total Modeled Energy Consumption (MMBTU)]],-11,0))-SUM(DetailTable6[[#This Row],[TOTAL  (MMBTU)]]:OFFSET(DetailTable6[[#This Row],[TOTAL  (MMBTU)]],-11,0)))</f>
        <v>N/A</v>
      </c>
      <c r="W15"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15"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15" s="46" t="str">
        <f ca="1">IF(DetailTable6[Period]&lt;DetailTable6[Model Year],"N/A",IF((AND(DetailTable6[Period]=DetailTable6[Model Year],DetailTable6[Period] =OFFSET(DetailTable6[[#This Row],[Period]],1,0))),"N/A",SUM(DetailTable6[[#This Row],[TOTAL  (MMBTU)]]:OFFSET(DetailTable6[[#This Row],[TOTAL  (MMBTU)]],-11,0))))</f>
        <v>N/A</v>
      </c>
      <c r="Z15"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15"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15"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15"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15"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15"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15" s="35"/>
      <c r="AG15" s="35"/>
      <c r="AH15" s="35"/>
      <c r="AI15" s="35"/>
      <c r="AJ15" s="35"/>
      <c r="AK15" s="35"/>
      <c r="AL15" s="35"/>
      <c r="AM15" s="35"/>
      <c r="AN15" s="35"/>
    </row>
    <row r="16" spans="1:40" x14ac:dyDescent="0.25">
      <c r="A16" s="41">
        <v>39114</v>
      </c>
      <c r="B16" s="38">
        <v>4811527.4482758623</v>
      </c>
      <c r="C16" s="38">
        <v>49252.844671244689</v>
      </c>
      <c r="D16" s="38">
        <v>280940</v>
      </c>
      <c r="E16" s="38">
        <v>28094</v>
      </c>
      <c r="F16" s="38">
        <v>265927</v>
      </c>
      <c r="G16" s="38">
        <v>1453</v>
      </c>
      <c r="H16" s="38">
        <v>0</v>
      </c>
      <c r="I16" s="39">
        <v>2007</v>
      </c>
      <c r="J16" s="38">
        <f>DetailTable6[Electricity (MMBTU)]+DetailTable6[Natural Gas (MMBTU)]</f>
        <v>77346.844671244689</v>
      </c>
      <c r="K16" s="38">
        <v>2007</v>
      </c>
      <c r="L16" s="38">
        <v>2007</v>
      </c>
      <c r="M16" s="38">
        <v>2009</v>
      </c>
      <c r="N16"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16" s="40">
        <f>(0.070110579228 * DetailTable6[Production]) + (31.403056165309 * DetailTable6[CDD]) + 32028.73</f>
        <v>50673.026002364357</v>
      </c>
      <c r="P16" s="40">
        <f>(0.092469133403 * DetailTable6[Production]) + (7.498311362437 * DetailTable6[HDD]) + -7722.27</f>
        <v>27762.815648080545</v>
      </c>
      <c r="Q16" s="40">
        <f>DetailTable6[Modeled Electricity (MMBTU)]+DetailTable6[Modeled Natural Gas (MMBTU)]</f>
        <v>78435.841650444898</v>
      </c>
      <c r="R16"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16" s="40" t="str">
        <f>IF(DetailTable6[Period]=DetailTable6[Model Year],"",DetailTable6[CUSUMHidden])</f>
        <v/>
      </c>
      <c r="T16"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1420.1813311196674</v>
      </c>
      <c r="U16"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-331.18435191945537</v>
      </c>
      <c r="V16" s="46" t="str">
        <f ca="1">IF(DetailTable6[Period]&lt;=DetailTable6[Model Year],"N/A",SUM(DetailTable6[[#This Row],[Total Modeled Energy Consumption (MMBTU)]]:OFFSET(DetailTable6[[#This Row],[Total Modeled Energy Consumption (MMBTU)]],-11,0))-SUM(DetailTable6[[#This Row],[TOTAL  (MMBTU)]]:OFFSET(DetailTable6[[#This Row],[TOTAL  (MMBTU)]],-11,0)))</f>
        <v>N/A</v>
      </c>
      <c r="W16"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16"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16" s="46" t="str">
        <f ca="1">IF(DetailTable6[Period]&lt;DetailTable6[Model Year],"N/A",IF((AND(DetailTable6[Period]=DetailTable6[Model Year],DetailTable6[Period] =OFFSET(DetailTable6[[#This Row],[Period]],1,0))),"N/A",SUM(DetailTable6[[#This Row],[TOTAL  (MMBTU)]]:OFFSET(DetailTable6[[#This Row],[TOTAL  (MMBTU)]],-11,0))))</f>
        <v>N/A</v>
      </c>
      <c r="Z16"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16"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16"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16"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16"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16"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16" s="35"/>
      <c r="AG16" s="35"/>
      <c r="AH16" s="35"/>
      <c r="AI16" s="35"/>
      <c r="AJ16" s="35"/>
      <c r="AK16" s="35"/>
      <c r="AL16" s="35"/>
      <c r="AM16" s="35"/>
      <c r="AN16" s="35"/>
    </row>
    <row r="17" spans="1:40" x14ac:dyDescent="0.25">
      <c r="A17" s="41">
        <v>39142</v>
      </c>
      <c r="B17" s="38">
        <v>4717995.1310344823</v>
      </c>
      <c r="C17" s="38">
        <v>48295.408027194782</v>
      </c>
      <c r="D17" s="38">
        <v>243870</v>
      </c>
      <c r="E17" s="38">
        <v>24387</v>
      </c>
      <c r="F17" s="38">
        <v>237277</v>
      </c>
      <c r="G17" s="38">
        <v>1126</v>
      </c>
      <c r="H17" s="38">
        <v>0</v>
      </c>
      <c r="I17" s="39">
        <v>2007</v>
      </c>
      <c r="J17" s="38">
        <f>DetailTable6[Electricity (MMBTU)]+DetailTable6[Natural Gas (MMBTU)]</f>
        <v>72682.40802719479</v>
      </c>
      <c r="K17" s="38">
        <v>2007</v>
      </c>
      <c r="L17" s="38">
        <v>2007</v>
      </c>
      <c r="M17" s="38">
        <v>2009</v>
      </c>
      <c r="N17"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17" s="40">
        <f>(0.070110579228 * DetailTable6[Production]) + (31.403056165309 * DetailTable6[CDD]) + 32028.73</f>
        <v>48664.357907482161</v>
      </c>
      <c r="P17" s="40">
        <f>(0.092469133403 * DetailTable6[Production]) + (7.498311362437 * DetailTable6[HDD]) + -7722.27</f>
        <v>22661.627160567692</v>
      </c>
      <c r="Q17" s="40">
        <f>DetailTable6[Modeled Electricity (MMBTU)]+DetailTable6[Modeled Natural Gas (MMBTU)]</f>
        <v>71325.985068049849</v>
      </c>
      <c r="R17"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17" s="40" t="str">
        <f>IF(DetailTable6[Period]=DetailTable6[Model Year],"",DetailTable6[CUSUMHidden])</f>
        <v/>
      </c>
      <c r="T17"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368.94988028737862</v>
      </c>
      <c r="U17"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-1725.372839432308</v>
      </c>
      <c r="V17" s="46" t="str">
        <f ca="1">IF(DetailTable6[Period]&lt;=DetailTable6[Model Year],"N/A",SUM(DetailTable6[[#This Row],[Total Modeled Energy Consumption (MMBTU)]]:OFFSET(DetailTable6[[#This Row],[Total Modeled Energy Consumption (MMBTU)]],-11,0))-SUM(DetailTable6[[#This Row],[TOTAL  (MMBTU)]]:OFFSET(DetailTable6[[#This Row],[TOTAL  (MMBTU)]],-11,0)))</f>
        <v>N/A</v>
      </c>
      <c r="W17"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17"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17" s="46" t="str">
        <f ca="1">IF(DetailTable6[Period]&lt;DetailTable6[Model Year],"N/A",IF((AND(DetailTable6[Period]=DetailTable6[Model Year],DetailTable6[Period] =OFFSET(DetailTable6[[#This Row],[Period]],1,0))),"N/A",SUM(DetailTable6[[#This Row],[TOTAL  (MMBTU)]]:OFFSET(DetailTable6[[#This Row],[TOTAL  (MMBTU)]],-11,0))))</f>
        <v>N/A</v>
      </c>
      <c r="Z17"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17"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17"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17"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17"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17"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17" s="35"/>
      <c r="AG17" s="35"/>
      <c r="AH17" s="35"/>
      <c r="AI17" s="35"/>
      <c r="AJ17" s="35"/>
      <c r="AK17" s="35"/>
      <c r="AL17" s="35"/>
      <c r="AM17" s="35"/>
      <c r="AN17" s="35"/>
    </row>
    <row r="18" spans="1:40" x14ac:dyDescent="0.25">
      <c r="A18" s="41">
        <v>39173</v>
      </c>
      <c r="B18" s="38">
        <v>4286134.412903225</v>
      </c>
      <c r="C18" s="38">
        <v>43874.697743737306</v>
      </c>
      <c r="D18" s="38">
        <v>158180</v>
      </c>
      <c r="E18" s="38">
        <v>15818</v>
      </c>
      <c r="F18" s="38">
        <v>201834</v>
      </c>
      <c r="G18" s="38">
        <v>657</v>
      </c>
      <c r="H18" s="38">
        <v>0</v>
      </c>
      <c r="I18" s="39">
        <v>2007</v>
      </c>
      <c r="J18" s="38">
        <f>DetailTable6[Electricity (MMBTU)]+DetailTable6[Natural Gas (MMBTU)]</f>
        <v>59692.697743737306</v>
      </c>
      <c r="K18" s="38">
        <v>2007</v>
      </c>
      <c r="L18" s="38">
        <v>2007</v>
      </c>
      <c r="M18" s="38">
        <v>2009</v>
      </c>
      <c r="N18"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18" s="40">
        <f>(0.070110579228 * DetailTable6[Production]) + (31.403056165309 * DetailTable6[CDD]) + 32028.73</f>
        <v>46179.428647904148</v>
      </c>
      <c r="P18" s="40">
        <f>(0.092469133403 * DetailTable6[Production]) + (7.498311362437 * DetailTable6[HDD]) + -7722.27</f>
        <v>15867.535636382214</v>
      </c>
      <c r="Q18" s="40">
        <f>DetailTable6[Modeled Electricity (MMBTU)]+DetailTable6[Modeled Natural Gas (MMBTU)]</f>
        <v>62046.964284286361</v>
      </c>
      <c r="R18"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18" s="40" t="str">
        <f>IF(DetailTable6[Period]=DetailTable6[Model Year],"",DetailTable6[CUSUMHidden])</f>
        <v/>
      </c>
      <c r="T18"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2304.7309041668414</v>
      </c>
      <c r="U18"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49.535636382213852</v>
      </c>
      <c r="V18" s="46" t="str">
        <f ca="1">IF(DetailTable6[Period]&lt;=DetailTable6[Model Year],"N/A",SUM(DetailTable6[[#This Row],[Total Modeled Energy Consumption (MMBTU)]]:OFFSET(DetailTable6[[#This Row],[Total Modeled Energy Consumption (MMBTU)]],-11,0))-SUM(DetailTable6[[#This Row],[TOTAL  (MMBTU)]]:OFFSET(DetailTable6[[#This Row],[TOTAL  (MMBTU)]],-11,0)))</f>
        <v>N/A</v>
      </c>
      <c r="W18"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18"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18" s="46" t="str">
        <f ca="1">IF(DetailTable6[Period]&lt;DetailTable6[Model Year],"N/A",IF((AND(DetailTable6[Period]=DetailTable6[Model Year],DetailTable6[Period] =OFFSET(DetailTable6[[#This Row],[Period]],1,0))),"N/A",SUM(DetailTable6[[#This Row],[TOTAL  (MMBTU)]]:OFFSET(DetailTable6[[#This Row],[TOTAL  (MMBTU)]],-11,0))))</f>
        <v>N/A</v>
      </c>
      <c r="Z18"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18"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18"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18"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18"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18"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18" s="35"/>
      <c r="AG18" s="35"/>
      <c r="AH18" s="35"/>
      <c r="AI18" s="35"/>
      <c r="AJ18" s="35"/>
      <c r="AK18" s="35"/>
      <c r="AL18" s="35"/>
      <c r="AM18" s="35"/>
      <c r="AN18" s="35"/>
    </row>
    <row r="19" spans="1:40" x14ac:dyDescent="0.25">
      <c r="A19" s="41">
        <v>39203</v>
      </c>
      <c r="B19" s="38">
        <v>4662388.1870967746</v>
      </c>
      <c r="C19" s="38">
        <v>47726.191660490287</v>
      </c>
      <c r="D19" s="38">
        <v>140850</v>
      </c>
      <c r="E19" s="38">
        <v>14085</v>
      </c>
      <c r="F19" s="38">
        <v>215584</v>
      </c>
      <c r="G19" s="38">
        <v>272</v>
      </c>
      <c r="H19" s="38">
        <v>11</v>
      </c>
      <c r="I19" s="39">
        <v>2007</v>
      </c>
      <c r="J19" s="38">
        <f>DetailTable6[Electricity (MMBTU)]+DetailTable6[Natural Gas (MMBTU)]</f>
        <v>61811.191660490287</v>
      </c>
      <c r="K19" s="38">
        <v>2007</v>
      </c>
      <c r="L19" s="38">
        <v>2007</v>
      </c>
      <c r="M19" s="38">
        <v>2009</v>
      </c>
      <c r="N19"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19" s="40">
        <f>(0.070110579228 * DetailTable6[Production]) + (31.403056165309 * DetailTable6[CDD]) + 32028.73</f>
        <v>47488.882730107551</v>
      </c>
      <c r="P19" s="40">
        <f>(0.092469133403 * DetailTable6[Production]) + (7.498311362437 * DetailTable6[HDD]) + -7722.27</f>
        <v>14252.136346135216</v>
      </c>
      <c r="Q19" s="40">
        <f>DetailTable6[Modeled Electricity (MMBTU)]+DetailTable6[Modeled Natural Gas (MMBTU)]</f>
        <v>61741.019076242766</v>
      </c>
      <c r="R19"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19" s="40" t="str">
        <f>IF(DetailTable6[Period]=DetailTable6[Model Year],"",DetailTable6[CUSUMHidden])</f>
        <v/>
      </c>
      <c r="T19"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-237.30893038273643</v>
      </c>
      <c r="U19"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167.13634613521572</v>
      </c>
      <c r="V19" s="46" t="str">
        <f ca="1">IF(DetailTable6[Period]&lt;=DetailTable6[Model Year],"N/A",SUM(DetailTable6[[#This Row],[Total Modeled Energy Consumption (MMBTU)]]:OFFSET(DetailTable6[[#This Row],[Total Modeled Energy Consumption (MMBTU)]],-11,0))-SUM(DetailTable6[[#This Row],[TOTAL  (MMBTU)]]:OFFSET(DetailTable6[[#This Row],[TOTAL  (MMBTU)]],-11,0)))</f>
        <v>N/A</v>
      </c>
      <c r="W19"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19"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19" s="46" t="str">
        <f ca="1">IF(DetailTable6[Period]&lt;DetailTable6[Model Year],"N/A",IF((AND(DetailTable6[Period]=DetailTable6[Model Year],DetailTable6[Period] =OFFSET(DetailTable6[[#This Row],[Period]],1,0))),"N/A",SUM(DetailTable6[[#This Row],[TOTAL  (MMBTU)]]:OFFSET(DetailTable6[[#This Row],[TOTAL  (MMBTU)]],-11,0))))</f>
        <v>N/A</v>
      </c>
      <c r="Z19"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19"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19"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19"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19"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19"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19" s="35"/>
      <c r="AG19" s="35"/>
      <c r="AH19" s="35"/>
      <c r="AI19" s="35"/>
      <c r="AJ19" s="35"/>
      <c r="AK19" s="35"/>
      <c r="AL19" s="35"/>
      <c r="AM19" s="35"/>
      <c r="AN19" s="35"/>
    </row>
    <row r="20" spans="1:40" x14ac:dyDescent="0.25">
      <c r="A20" s="41">
        <v>39234</v>
      </c>
      <c r="B20" s="38">
        <v>4791049.5999999996</v>
      </c>
      <c r="C20" s="38">
        <v>49043.224692729593</v>
      </c>
      <c r="D20" s="38">
        <v>148660</v>
      </c>
      <c r="E20" s="38">
        <v>14866</v>
      </c>
      <c r="F20" s="38">
        <v>239665</v>
      </c>
      <c r="G20" s="38">
        <v>12</v>
      </c>
      <c r="H20" s="38">
        <v>94</v>
      </c>
      <c r="I20" s="39">
        <v>2007</v>
      </c>
      <c r="J20" s="38">
        <f>DetailTable6[Electricity (MMBTU)]+DetailTable6[Natural Gas (MMBTU)]</f>
        <v>63909.224692729593</v>
      </c>
      <c r="K20" s="38">
        <v>2007</v>
      </c>
      <c r="L20" s="38">
        <v>2007</v>
      </c>
      <c r="M20" s="38">
        <v>2009</v>
      </c>
      <c r="N20"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20" s="40">
        <f>(0.070110579228 * DetailTable6[Production]) + (31.403056165309 * DetailTable6[CDD]) + 32028.73</f>
        <v>51783.669250217667</v>
      </c>
      <c r="P20" s="40">
        <f>(0.092469133403 * DetailTable6[Production]) + (7.498311362437 * DetailTable6[HDD]) + -7722.27</f>
        <v>14529.324593379239</v>
      </c>
      <c r="Q20" s="40">
        <f>DetailTable6[Modeled Electricity (MMBTU)]+DetailTable6[Modeled Natural Gas (MMBTU)]</f>
        <v>66312.993843596909</v>
      </c>
      <c r="R20"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20" s="40" t="str">
        <f>IF(DetailTable6[Period]=DetailTable6[Model Year],"",DetailTable6[CUSUMHidden])</f>
        <v/>
      </c>
      <c r="T20"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2740.4445574880738</v>
      </c>
      <c r="U20"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-336.67540662076135</v>
      </c>
      <c r="V20" s="46" t="str">
        <f ca="1">IF(DetailTable6[Period]&lt;=DetailTable6[Model Year],"N/A",SUM(DetailTable6[[#This Row],[Total Modeled Energy Consumption (MMBTU)]]:OFFSET(DetailTable6[[#This Row],[Total Modeled Energy Consumption (MMBTU)]],-11,0))-SUM(DetailTable6[[#This Row],[TOTAL  (MMBTU)]]:OFFSET(DetailTable6[[#This Row],[TOTAL  (MMBTU)]],-11,0)))</f>
        <v>N/A</v>
      </c>
      <c r="W20"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20"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20" s="46" t="str">
        <f ca="1">IF(DetailTable6[Period]&lt;DetailTable6[Model Year],"N/A",IF((AND(DetailTable6[Period]=DetailTable6[Model Year],DetailTable6[Period] =OFFSET(DetailTable6[[#This Row],[Period]],1,0))),"N/A",SUM(DetailTable6[[#This Row],[TOTAL  (MMBTU)]]:OFFSET(DetailTable6[[#This Row],[TOTAL  (MMBTU)]],-11,0))))</f>
        <v>N/A</v>
      </c>
      <c r="Z20"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20"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20"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20"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20"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20"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20" s="35"/>
      <c r="AG20" s="35"/>
      <c r="AH20" s="35"/>
      <c r="AI20" s="35"/>
      <c r="AJ20" s="35"/>
      <c r="AK20" s="35"/>
      <c r="AL20" s="35"/>
      <c r="AM20" s="35"/>
      <c r="AN20" s="35"/>
    </row>
    <row r="21" spans="1:40" x14ac:dyDescent="0.25">
      <c r="A21" s="41">
        <v>39264</v>
      </c>
      <c r="B21" s="38">
        <v>5293607.5354838707</v>
      </c>
      <c r="C21" s="38">
        <v>54187.621810023011</v>
      </c>
      <c r="D21" s="38">
        <v>132970</v>
      </c>
      <c r="E21" s="38">
        <v>13297</v>
      </c>
      <c r="F21" s="38">
        <v>216025</v>
      </c>
      <c r="G21" s="38">
        <v>2</v>
      </c>
      <c r="H21" s="38">
        <v>216</v>
      </c>
      <c r="I21" s="39">
        <v>2007</v>
      </c>
      <c r="J21" s="38">
        <f>DetailTable6[Electricity (MMBTU)]+DetailTable6[Natural Gas (MMBTU)]</f>
        <v>67484.621810023003</v>
      </c>
      <c r="K21" s="38">
        <v>2007</v>
      </c>
      <c r="L21" s="38">
        <v>2007</v>
      </c>
      <c r="M21" s="38">
        <v>2009</v>
      </c>
      <c r="N21"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21" s="40">
        <f>(0.070110579228 * DetailTable6[Production]) + (31.403056165309 * DetailTable6[CDD]) + 32028.73</f>
        <v>53957.428009435447</v>
      </c>
      <c r="P21" s="40">
        <f>(0.092469133403 * DetailTable6[Production]) + (7.498311362437 * DetailTable6[HDD]) + -7722.27</f>
        <v>12268.371166107947</v>
      </c>
      <c r="Q21" s="40">
        <f>DetailTable6[Modeled Electricity (MMBTU)]+DetailTable6[Modeled Natural Gas (MMBTU)]</f>
        <v>66225.79917554339</v>
      </c>
      <c r="R21"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21" s="40" t="str">
        <f>IF(DetailTable6[Period]=DetailTable6[Model Year],"",DetailTable6[CUSUMHidden])</f>
        <v/>
      </c>
      <c r="T21"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-230.1938005875636</v>
      </c>
      <c r="U21"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-1028.6288338920531</v>
      </c>
      <c r="V21" s="46" t="str">
        <f ca="1">IF(DetailTable6[Period]&lt;=DetailTable6[Model Year],"N/A",SUM(DetailTable6[[#This Row],[Total Modeled Energy Consumption (MMBTU)]]:OFFSET(DetailTable6[[#This Row],[Total Modeled Energy Consumption (MMBTU)]],-11,0))-SUM(DetailTable6[[#This Row],[TOTAL  (MMBTU)]]:OFFSET(DetailTable6[[#This Row],[TOTAL  (MMBTU)]],-11,0)))</f>
        <v>N/A</v>
      </c>
      <c r="W21"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21"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21" s="46" t="str">
        <f ca="1">IF(DetailTable6[Period]&lt;DetailTable6[Model Year],"N/A",IF((AND(DetailTable6[Period]=DetailTable6[Model Year],DetailTable6[Period] =OFFSET(DetailTable6[[#This Row],[Period]],1,0))),"N/A",SUM(DetailTable6[[#This Row],[TOTAL  (MMBTU)]]:OFFSET(DetailTable6[[#This Row],[TOTAL  (MMBTU)]],-11,0))))</f>
        <v>N/A</v>
      </c>
      <c r="Z21"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21"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21"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21"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21"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21"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21" s="35"/>
      <c r="AG21" s="35"/>
      <c r="AH21" s="35"/>
      <c r="AI21" s="35"/>
      <c r="AJ21" s="35"/>
      <c r="AK21" s="35"/>
      <c r="AL21" s="35"/>
      <c r="AM21" s="35"/>
      <c r="AN21" s="35"/>
    </row>
    <row r="22" spans="1:40" x14ac:dyDescent="0.25">
      <c r="A22" s="41">
        <v>39295</v>
      </c>
      <c r="B22" s="38">
        <v>5473240.9032258075</v>
      </c>
      <c r="C22" s="38">
        <v>56026.425486044143</v>
      </c>
      <c r="D22" s="38">
        <v>160018</v>
      </c>
      <c r="E22" s="38">
        <v>16001.800000000001</v>
      </c>
      <c r="F22" s="38">
        <v>265071</v>
      </c>
      <c r="G22" s="38">
        <v>7</v>
      </c>
      <c r="H22" s="38">
        <v>148</v>
      </c>
      <c r="I22" s="39">
        <v>2007</v>
      </c>
      <c r="J22" s="38">
        <f>DetailTable6[Electricity (MMBTU)]+DetailTable6[Natural Gas (MMBTU)]</f>
        <v>72028.225486044146</v>
      </c>
      <c r="K22" s="38">
        <v>2007</v>
      </c>
      <c r="L22" s="38">
        <v>2007</v>
      </c>
      <c r="M22" s="38">
        <v>2009</v>
      </c>
      <c r="N22"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22" s="40">
        <f>(0.070110579228 * DetailTable6[Production]) + (31.403056165309 * DetailTable6[CDD]) + 32028.73</f>
        <v>55260.663659010919</v>
      </c>
      <c r="P22" s="40">
        <f>(0.092469133403 * DetailTable6[Production]) + (7.498311362437 * DetailTable6[HDD]) + -7722.27</f>
        <v>16841.103839803673</v>
      </c>
      <c r="Q22" s="40">
        <f>DetailTable6[Modeled Electricity (MMBTU)]+DetailTable6[Modeled Natural Gas (MMBTU)]</f>
        <v>72101.767498814588</v>
      </c>
      <c r="R22"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22" s="40" t="str">
        <f>IF(DetailTable6[Period]=DetailTable6[Model Year],"",DetailTable6[CUSUMHidden])</f>
        <v/>
      </c>
      <c r="T22"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-765.76182703322411</v>
      </c>
      <c r="U22"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839.30383980367151</v>
      </c>
      <c r="V22" s="46" t="str">
        <f ca="1">IF(DetailTable6[Period]&lt;=DetailTable6[Model Year],"N/A",SUM(DetailTable6[[#This Row],[Total Modeled Energy Consumption (MMBTU)]]:OFFSET(DetailTable6[[#This Row],[Total Modeled Energy Consumption (MMBTU)]],-11,0))-SUM(DetailTable6[[#This Row],[TOTAL  (MMBTU)]]:OFFSET(DetailTable6[[#This Row],[TOTAL  (MMBTU)]],-11,0)))</f>
        <v>N/A</v>
      </c>
      <c r="W22"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22"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22" s="46" t="str">
        <f ca="1">IF(DetailTable6[Period]&lt;DetailTable6[Model Year],"N/A",IF((AND(DetailTable6[Period]=DetailTable6[Model Year],DetailTable6[Period] =OFFSET(DetailTable6[[#This Row],[Period]],1,0))),"N/A",SUM(DetailTable6[[#This Row],[TOTAL  (MMBTU)]]:OFFSET(DetailTable6[[#This Row],[TOTAL  (MMBTU)]],-11,0))))</f>
        <v>N/A</v>
      </c>
      <c r="Z22"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22"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22"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22"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22"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22"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22" s="35"/>
      <c r="AG22" s="35"/>
      <c r="AH22" s="35"/>
      <c r="AI22" s="35"/>
      <c r="AJ22" s="35"/>
      <c r="AK22" s="35"/>
      <c r="AL22" s="35"/>
      <c r="AM22" s="35"/>
      <c r="AN22" s="35"/>
    </row>
    <row r="23" spans="1:40" x14ac:dyDescent="0.25">
      <c r="A23" s="41">
        <v>39326</v>
      </c>
      <c r="B23" s="38">
        <v>5301815.5061179092</v>
      </c>
      <c r="C23" s="38">
        <v>54271.642094028524</v>
      </c>
      <c r="D23" s="38">
        <v>159130</v>
      </c>
      <c r="E23" s="38">
        <v>15913</v>
      </c>
      <c r="F23" s="38">
        <v>243292</v>
      </c>
      <c r="G23" s="38">
        <v>84</v>
      </c>
      <c r="H23" s="38">
        <v>15</v>
      </c>
      <c r="I23" s="39">
        <v>2007</v>
      </c>
      <c r="J23" s="38">
        <f>DetailTable6[Electricity (MMBTU)]+DetailTable6[Natural Gas (MMBTU)]</f>
        <v>70184.642094028532</v>
      </c>
      <c r="K23" s="38">
        <v>2007</v>
      </c>
      <c r="L23" s="38">
        <v>2007</v>
      </c>
      <c r="M23" s="38">
        <v>2009</v>
      </c>
      <c r="N23"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23" s="40">
        <f>(0.070110579228 * DetailTable6[Production]) + (31.403056165309 * DetailTable6[CDD]) + 32028.73</f>
        <v>49557.118884018215</v>
      </c>
      <c r="P23" s="40">
        <f>(0.092469133403 * DetailTable6[Production]) + (7.498311362437 * DetailTable6[HDD]) + -7722.27</f>
        <v>15404.588558327385</v>
      </c>
      <c r="Q23" s="40">
        <f>DetailTable6[Modeled Electricity (MMBTU)]+DetailTable6[Modeled Natural Gas (MMBTU)]</f>
        <v>64961.7074423456</v>
      </c>
      <c r="R23"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23" s="40" t="str">
        <f>IF(DetailTable6[Period]=DetailTable6[Model Year],"",DetailTable6[CUSUMHidden])</f>
        <v/>
      </c>
      <c r="T23"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-4714.5232100103094</v>
      </c>
      <c r="U23"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-508.41144167261518</v>
      </c>
      <c r="V23" s="46" t="str">
        <f ca="1">IF(DetailTable6[Period]&lt;=DetailTable6[Model Year],"N/A",SUM(DetailTable6[[#This Row],[Total Modeled Energy Consumption (MMBTU)]]:OFFSET(DetailTable6[[#This Row],[Total Modeled Energy Consumption (MMBTU)]],-11,0))-SUM(DetailTable6[[#This Row],[TOTAL  (MMBTU)]]:OFFSET(DetailTable6[[#This Row],[TOTAL  (MMBTU)]],-11,0)))</f>
        <v>N/A</v>
      </c>
      <c r="W23"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23"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23" s="46" t="str">
        <f ca="1">IF(DetailTable6[Period]&lt;DetailTable6[Model Year],"N/A",IF((AND(DetailTable6[Period]=DetailTable6[Model Year],DetailTable6[Period] =OFFSET(DetailTable6[[#This Row],[Period]],1,0))),"N/A",SUM(DetailTable6[[#This Row],[TOTAL  (MMBTU)]]:OFFSET(DetailTable6[[#This Row],[TOTAL  (MMBTU)]],-11,0))))</f>
        <v>N/A</v>
      </c>
      <c r="Z23"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23"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23"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23"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23"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23"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23" s="35"/>
      <c r="AG23" s="35"/>
      <c r="AH23" s="35"/>
      <c r="AI23" s="35"/>
      <c r="AJ23" s="35"/>
      <c r="AK23" s="35"/>
      <c r="AL23" s="35"/>
      <c r="AM23" s="35"/>
      <c r="AN23" s="35"/>
    </row>
    <row r="24" spans="1:40" x14ac:dyDescent="0.25">
      <c r="A24" s="41">
        <v>39356</v>
      </c>
      <c r="B24" s="38">
        <v>5298435.6229143497</v>
      </c>
      <c r="C24" s="38">
        <v>54237.044169726636</v>
      </c>
      <c r="D24" s="38">
        <v>174740</v>
      </c>
      <c r="E24" s="38">
        <v>17474</v>
      </c>
      <c r="F24" s="38">
        <v>253998</v>
      </c>
      <c r="G24" s="38">
        <v>478</v>
      </c>
      <c r="H24" s="38">
        <v>5</v>
      </c>
      <c r="I24" s="39">
        <v>2007</v>
      </c>
      <c r="J24" s="38">
        <f>DetailTable6[Electricity (MMBTU)]+DetailTable6[Natural Gas (MMBTU)]</f>
        <v>71711.044169726636</v>
      </c>
      <c r="K24" s="38">
        <v>2007</v>
      </c>
      <c r="L24" s="38">
        <v>2007</v>
      </c>
      <c r="M24" s="38">
        <v>2009</v>
      </c>
      <c r="N24"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24" s="40">
        <f>(0.070110579228 * DetailTable6[Production]) + (31.403056165309 * DetailTable6[CDD]) + 32028.73</f>
        <v>49993.692183580089</v>
      </c>
      <c r="P24" s="40">
        <f>(0.092469133403 * DetailTable6[Production]) + (7.498311362437 * DetailTable6[HDD]) + -7722.27</f>
        <v>19348.89777734008</v>
      </c>
      <c r="Q24" s="40">
        <f>DetailTable6[Modeled Electricity (MMBTU)]+DetailTable6[Modeled Natural Gas (MMBTU)]</f>
        <v>69342.589960920173</v>
      </c>
      <c r="R24"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24" s="40" t="str">
        <f>IF(DetailTable6[Period]=DetailTable6[Model Year],"",DetailTable6[CUSUMHidden])</f>
        <v/>
      </c>
      <c r="T24"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-4243.3519861465466</v>
      </c>
      <c r="U24"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1874.8977773400802</v>
      </c>
      <c r="V24" s="46" t="str">
        <f ca="1">IF(DetailTable6[Period]&lt;=DetailTable6[Model Year],"N/A",SUM(DetailTable6[[#This Row],[Total Modeled Energy Consumption (MMBTU)]]:OFFSET(DetailTable6[[#This Row],[Total Modeled Energy Consumption (MMBTU)]],-11,0))-SUM(DetailTable6[[#This Row],[TOTAL  (MMBTU)]]:OFFSET(DetailTable6[[#This Row],[TOTAL  (MMBTU)]],-11,0)))</f>
        <v>N/A</v>
      </c>
      <c r="W24"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24"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24" s="46" t="str">
        <f ca="1">IF(DetailTable6[Period]&lt;DetailTable6[Model Year],"N/A",IF((AND(DetailTable6[Period]=DetailTable6[Model Year],DetailTable6[Period] =OFFSET(DetailTable6[[#This Row],[Period]],1,0))),"N/A",SUM(DetailTable6[[#This Row],[TOTAL  (MMBTU)]]:OFFSET(DetailTable6[[#This Row],[TOTAL  (MMBTU)]],-11,0))))</f>
        <v>N/A</v>
      </c>
      <c r="Z24"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24"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24"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24"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24"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24"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24" s="35"/>
      <c r="AG24" s="35"/>
      <c r="AH24" s="35"/>
      <c r="AI24" s="35"/>
      <c r="AJ24" s="35"/>
      <c r="AK24" s="35"/>
      <c r="AL24" s="35"/>
      <c r="AM24" s="35"/>
      <c r="AN24" s="35"/>
    </row>
    <row r="25" spans="1:40" x14ac:dyDescent="0.25">
      <c r="A25" s="41">
        <v>39387</v>
      </c>
      <c r="B25" s="38">
        <v>4584148</v>
      </c>
      <c r="C25" s="38">
        <v>46925.291775047997</v>
      </c>
      <c r="D25" s="38">
        <v>158940</v>
      </c>
      <c r="E25" s="38">
        <v>15894</v>
      </c>
      <c r="F25" s="38">
        <v>182621.5</v>
      </c>
      <c r="G25" s="38">
        <v>913</v>
      </c>
      <c r="H25" s="38">
        <v>0</v>
      </c>
      <c r="I25" s="39">
        <v>2007</v>
      </c>
      <c r="J25" s="38">
        <f>DetailTable6[Electricity (MMBTU)]+DetailTable6[Natural Gas (MMBTU)]</f>
        <v>62819.291775047997</v>
      </c>
      <c r="K25" s="38">
        <v>2007</v>
      </c>
      <c r="L25" s="38">
        <v>2007</v>
      </c>
      <c r="M25" s="38">
        <v>2009</v>
      </c>
      <c r="N25"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25" s="40">
        <f>(0.070110579228 * DetailTable6[Production]) + (31.403056165309 * DetailTable6[CDD]) + 32028.73</f>
        <v>44832.429144486203</v>
      </c>
      <c r="P25" s="40">
        <f>(0.092469133403 * DetailTable6[Production]) + (7.498311362437 * DetailTable6[HDD]) + -7722.27</f>
        <v>16010.540119660945</v>
      </c>
      <c r="Q25" s="40">
        <f>DetailTable6[Modeled Electricity (MMBTU)]+DetailTable6[Modeled Natural Gas (MMBTU)]</f>
        <v>60842.969264147148</v>
      </c>
      <c r="R25"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25" s="40" t="str">
        <f>IF(DetailTable6[Period]=DetailTable6[Model Year],"",DetailTable6[CUSUMHidden])</f>
        <v/>
      </c>
      <c r="T25"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-2092.8626305617945</v>
      </c>
      <c r="U25"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116.54011966094549</v>
      </c>
      <c r="V25" s="46" t="str">
        <f ca="1">IF(DetailTable6[Period]&lt;=DetailTable6[Model Year],"N/A",SUM(DetailTable6[[#This Row],[Total Modeled Energy Consumption (MMBTU)]]:OFFSET(DetailTable6[[#This Row],[Total Modeled Energy Consumption (MMBTU)]],-11,0))-SUM(DetailTable6[[#This Row],[TOTAL  (MMBTU)]]:OFFSET(DetailTable6[[#This Row],[TOTAL  (MMBTU)]],-11,0)))</f>
        <v>N/A</v>
      </c>
      <c r="W25" s="48" t="str">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N/A</v>
      </c>
      <c r="X25"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25" s="46" t="str">
        <f ca="1">IF(DetailTable6[Period]&lt;DetailTable6[Model Year],"N/A",IF((AND(DetailTable6[Period]=DetailTable6[Model Year],DetailTable6[Period] =OFFSET(DetailTable6[[#This Row],[Period]],1,0))),"N/A",SUM(DetailTable6[[#This Row],[TOTAL  (MMBTU)]]:OFFSET(DetailTable6[[#This Row],[TOTAL  (MMBTU)]],-11,0))))</f>
        <v>N/A</v>
      </c>
      <c r="Z25" s="46" t="str">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N/A</v>
      </c>
      <c r="AA25" s="46" t="str">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N/A</v>
      </c>
      <c r="AB25" s="46" t="str">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N/A</v>
      </c>
      <c r="AC25"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25"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25"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25" s="35"/>
      <c r="AG25" s="35"/>
      <c r="AH25" s="35"/>
      <c r="AI25" s="35"/>
      <c r="AJ25" s="35"/>
      <c r="AK25" s="35"/>
      <c r="AL25" s="35"/>
      <c r="AM25" s="35"/>
      <c r="AN25" s="35"/>
    </row>
    <row r="26" spans="1:40" x14ac:dyDescent="0.25">
      <c r="A26" s="41">
        <v>39417</v>
      </c>
      <c r="B26" s="38">
        <v>4413514</v>
      </c>
      <c r="C26" s="38">
        <v>45178.609460963999</v>
      </c>
      <c r="D26" s="38">
        <v>228720</v>
      </c>
      <c r="E26" s="38">
        <v>22872</v>
      </c>
      <c r="F26" s="38">
        <v>233990.39999999999</v>
      </c>
      <c r="G26" s="38">
        <v>1605</v>
      </c>
      <c r="H26" s="38">
        <v>0</v>
      </c>
      <c r="I26" s="39">
        <v>2007</v>
      </c>
      <c r="J26" s="38">
        <f>DetailTable6[Electricity (MMBTU)]+DetailTable6[Natural Gas (MMBTU)]</f>
        <v>68050.609460963999</v>
      </c>
      <c r="K26" s="38">
        <v>2007</v>
      </c>
      <c r="L26" s="38">
        <v>2007</v>
      </c>
      <c r="M26" s="38">
        <v>2009</v>
      </c>
      <c r="N26" s="38"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Model Year</v>
      </c>
      <c r="O26" s="40">
        <f>(0.070110579228 * DetailTable6[Production]) + (31.403056165309 * DetailTable6[CDD]) + 32028.73</f>
        <v>48433.932477791415</v>
      </c>
      <c r="P26" s="40">
        <f>(0.092469133403 * DetailTable6[Production]) + (7.498311362437 * DetailTable6[HDD]) + -7722.27</f>
        <v>25949.409249332715</v>
      </c>
      <c r="Q26" s="40">
        <f>DetailTable6[Modeled Electricity (MMBTU)]+DetailTable6[Modeled Natural Gas (MMBTU)]</f>
        <v>74383.341727124134</v>
      </c>
      <c r="R26" s="40">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0</v>
      </c>
      <c r="S26" s="40" t="str">
        <f>IF(DetailTable6[Period]=DetailTable6[Model Year],"",DetailTable6[CUSUMHidden])</f>
        <v/>
      </c>
      <c r="T26" s="40">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3255.3230168274167</v>
      </c>
      <c r="U26" s="40">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3077.4092493327153</v>
      </c>
      <c r="V26" s="46" t="str">
        <f ca="1">IF(DetailTable6[Period]&lt;=DetailTable6[Model Year],"N/A",SUM(DetailTable6[[#This Row],[Total Modeled Energy Consumption (MMBTU)]]:OFFSET(DetailTable6[[#This Row],[Total Modeled Energy Consumption (MMBTU)]],-11,0))-SUM(DetailTable6[[#This Row],[TOTAL  (MMBTU)]]:OFFSET(DetailTable6[[#This Row],[TOTAL  (MMBTU)]],-11,0)))</f>
        <v>N/A</v>
      </c>
      <c r="W26" s="48">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1</v>
      </c>
      <c r="X26" s="46" t="str">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N/A</v>
      </c>
      <c r="Y26" s="46">
        <f ca="1">IF(DetailTable6[Period]&lt;DetailTable6[Model Year],"N/A",IF((AND(DetailTable6[Period]=DetailTable6[Model Year],DetailTable6[Period] =OFFSET(DetailTable6[[#This Row],[Period]],1,0))),"N/A",SUM(DetailTable6[[#This Row],[TOTAL  (MMBTU)]]:OFFSET(DetailTable6[[#This Row],[TOTAL  (MMBTU)]],-11,0))))</f>
        <v>825804.9157405349</v>
      </c>
      <c r="Z26" s="46">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784514.66995350807</v>
      </c>
      <c r="AA26" s="46">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743224.42416648136</v>
      </c>
      <c r="AB26" s="46">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701934.17837945465</v>
      </c>
      <c r="AC26"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N/A</v>
      </c>
      <c r="AD26"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N/A</v>
      </c>
      <c r="AE26" s="46" t="str">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N/A</v>
      </c>
      <c r="AF26" s="35"/>
      <c r="AG26" s="35"/>
      <c r="AH26" s="35"/>
      <c r="AI26" s="35"/>
      <c r="AJ26" s="35"/>
      <c r="AK26" s="35"/>
      <c r="AL26" s="35"/>
      <c r="AM26" s="35"/>
      <c r="AN26" s="35"/>
    </row>
    <row r="27" spans="1:40" x14ac:dyDescent="0.25">
      <c r="A27" s="42">
        <v>39448</v>
      </c>
      <c r="B27" s="35">
        <v>4261687</v>
      </c>
      <c r="C27" s="35">
        <v>43624.443610661998</v>
      </c>
      <c r="D27" s="35">
        <v>227990</v>
      </c>
      <c r="E27" s="35">
        <v>22799</v>
      </c>
      <c r="F27" s="35">
        <v>206376</v>
      </c>
      <c r="G27" s="35">
        <v>1722</v>
      </c>
      <c r="H27" s="35">
        <v>0</v>
      </c>
      <c r="I27" s="37">
        <v>2008</v>
      </c>
      <c r="J27" s="35">
        <f>DetailTable6[Electricity (MMBTU)]+DetailTable6[Natural Gas (MMBTU)]</f>
        <v>66423.443610661998</v>
      </c>
      <c r="K27" s="35">
        <v>2007</v>
      </c>
      <c r="L27" s="35">
        <v>2007</v>
      </c>
      <c r="M27" s="35">
        <v>2009</v>
      </c>
      <c r="N27"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27" s="36">
        <f>(0.070110579228 * DetailTable6[Production]) + (31.403056165309 * DetailTable6[CDD]) + 32028.73</f>
        <v>46497.870898757727</v>
      </c>
      <c r="P27" s="36">
        <f>(0.092469133403 * DetailTable6[Production]) + (7.498311362437 * DetailTable6[HDD]) + -7722.27</f>
        <v>24273.232041294043</v>
      </c>
      <c r="Q27" s="36">
        <f>DetailTable6[Modeled Electricity (MMBTU)]+DetailTable6[Modeled Natural Gas (MMBTU)]</f>
        <v>70771.102940051773</v>
      </c>
      <c r="R27"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-4347.6593293897749</v>
      </c>
      <c r="S27" s="36">
        <f ca="1">IF(DetailTable6[Period]=DetailTable6[Model Year],"",DetailTable6[CUSUMHidden])</f>
        <v>-4347.6593293897749</v>
      </c>
      <c r="T27"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2873.4272880957287</v>
      </c>
      <c r="U27"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1474.2320412940426</v>
      </c>
      <c r="V27" s="47">
        <f ca="1">IF(DetailTable6[Period]&lt;=DetailTable6[Model Year],"N/A",SUM(DetailTable6[[#This Row],[Total Modeled Energy Consumption (MMBTU)]]:OFFSET(DetailTable6[[#This Row],[Total Modeled Energy Consumption (MMBTU)]],-11,0))-SUM(DetailTable6[[#This Row],[TOTAL  (MMBTU)]]:OFFSET(DetailTable6[[#This Row],[TOTAL  (MMBTU)]],-11,0)))</f>
        <v>4347.8367296746001</v>
      </c>
      <c r="W27"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0.99468799170370215</v>
      </c>
      <c r="X27"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4347.8367296746001</v>
      </c>
      <c r="Y27" s="47">
        <f ca="1">IF(DetailTable6[Period]&lt;DetailTable6[Model Year],"N/A",IF((AND(DetailTable6[Period]=DetailTable6[Model Year],DetailTable6[Period] =OFFSET(DetailTable6[[#This Row],[Period]],1,0))),"N/A",SUM(DetailTable6[[#This Row],[TOTAL  (MMBTU)]]:OFFSET(DetailTable6[[#This Row],[TOTAL  (MMBTU)]],-11,0))))</f>
        <v>814144.24520189303</v>
      </c>
      <c r="Z27"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777567.4778349892</v>
      </c>
      <c r="AA27"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736642.87373841088</v>
      </c>
      <c r="AB27"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695718.26964183245</v>
      </c>
      <c r="AC27"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40924.604096578434</v>
      </c>
      <c r="AD27"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81849.208193156752</v>
      </c>
      <c r="AE27"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122773.81228973519</v>
      </c>
      <c r="AF27" s="35"/>
      <c r="AG27" s="35"/>
      <c r="AH27" s="35"/>
      <c r="AI27" s="35"/>
      <c r="AJ27" s="35"/>
      <c r="AK27" s="35"/>
      <c r="AL27" s="35"/>
      <c r="AM27" s="35"/>
      <c r="AN27" s="35"/>
    </row>
    <row r="28" spans="1:40" x14ac:dyDescent="0.25">
      <c r="A28" s="42">
        <v>39479</v>
      </c>
      <c r="B28" s="35">
        <v>3917292</v>
      </c>
      <c r="C28" s="35">
        <v>40099.069678391999</v>
      </c>
      <c r="D28" s="35">
        <v>185290</v>
      </c>
      <c r="E28" s="35">
        <v>18529</v>
      </c>
      <c r="F28" s="35">
        <v>191967</v>
      </c>
      <c r="G28" s="35">
        <v>1218</v>
      </c>
      <c r="H28" s="35">
        <v>0</v>
      </c>
      <c r="I28" s="37">
        <v>2008</v>
      </c>
      <c r="J28" s="35">
        <f>DetailTable6[Electricity (MMBTU)]+DetailTable6[Natural Gas (MMBTU)]</f>
        <v>58628.069678391999</v>
      </c>
      <c r="K28" s="35">
        <v>2007</v>
      </c>
      <c r="L28" s="35">
        <v>2007</v>
      </c>
      <c r="M28" s="35">
        <v>2009</v>
      </c>
      <c r="N28"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28" s="36">
        <f>(0.070110579228 * DetailTable6[Production]) + (31.403056165309 * DetailTable6[CDD]) + 32028.73</f>
        <v>45487.647562661477</v>
      </c>
      <c r="P28" s="36">
        <f>(0.092469133403 * DetailTable6[Production]) + (7.498311362437 * DetailTable6[HDD]) + -7722.27</f>
        <v>19161.695371421967</v>
      </c>
      <c r="Q28" s="36">
        <f>DetailTable6[Modeled Electricity (MMBTU)]+DetailTable6[Modeled Natural Gas (MMBTU)]</f>
        <v>64649.342934083441</v>
      </c>
      <c r="R28"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-10368.932585081217</v>
      </c>
      <c r="S28" s="36">
        <f ca="1">IF(DetailTable6[Period]=DetailTable6[Model Year],"",DetailTable6[CUSUMHidden])</f>
        <v>-10368.932585081217</v>
      </c>
      <c r="T28"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5388.5778842694781</v>
      </c>
      <c r="U28"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632.69537142196714</v>
      </c>
      <c r="V28" s="47">
        <f ca="1">IF(DetailTable6[Period]&lt;=DetailTable6[Model Year],"N/A",SUM(DetailTable6[[#This Row],[Total Modeled Energy Consumption (MMBTU)]]:OFFSET(DetailTable6[[#This Row],[Total Modeled Energy Consumption (MMBTU)]],-11,0))-SUM(DetailTable6[[#This Row],[TOTAL  (MMBTU)]]:OFFSET(DetailTable6[[#This Row],[TOTAL  (MMBTU)]],-11,0)))</f>
        <v>9280.1130061659496</v>
      </c>
      <c r="W28"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0.98846769153870262</v>
      </c>
      <c r="X28"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9280.1130061659496</v>
      </c>
      <c r="Y28" s="47">
        <f ca="1">IF(DetailTable6[Period]&lt;DetailTable6[Model Year],"N/A",IF((AND(DetailTable6[Period]=DetailTable6[Model Year],DetailTable6[Period] =OFFSET(DetailTable6[[#This Row],[Period]],1,0))),"N/A",SUM(DetailTable6[[#This Row],[TOTAL  (MMBTU)]]:OFFSET(DetailTable6[[#This Row],[TOTAL  (MMBTU)]],-11,0))))</f>
        <v>795425.47020904033</v>
      </c>
      <c r="Z28"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764470.30405444594</v>
      </c>
      <c r="AA28"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724235.02489368571</v>
      </c>
      <c r="AB28"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683999.74573292537</v>
      </c>
      <c r="AC28"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40235.279160760343</v>
      </c>
      <c r="AD28"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80470.55832152057</v>
      </c>
      <c r="AE28"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120705.83748228091</v>
      </c>
      <c r="AF28" s="35"/>
      <c r="AG28" s="35"/>
      <c r="AH28" s="35"/>
      <c r="AI28" s="35"/>
      <c r="AJ28" s="35"/>
      <c r="AK28" s="35"/>
      <c r="AL28" s="35"/>
      <c r="AM28" s="35"/>
      <c r="AN28" s="35"/>
    </row>
    <row r="29" spans="1:40" x14ac:dyDescent="0.25">
      <c r="A29" s="42">
        <v>39508</v>
      </c>
      <c r="B29" s="35">
        <v>4119699</v>
      </c>
      <c r="C29" s="35">
        <v>42170.993955774</v>
      </c>
      <c r="D29" s="35">
        <v>172880</v>
      </c>
      <c r="E29" s="35">
        <v>17288</v>
      </c>
      <c r="F29" s="35">
        <v>187780</v>
      </c>
      <c r="G29" s="35">
        <v>1022</v>
      </c>
      <c r="H29" s="35">
        <v>0</v>
      </c>
      <c r="I29" s="37">
        <v>2008</v>
      </c>
      <c r="J29" s="35">
        <f>DetailTable6[Electricity (MMBTU)]+DetailTable6[Natural Gas (MMBTU)]</f>
        <v>59458.993955774</v>
      </c>
      <c r="K29" s="35">
        <v>2007</v>
      </c>
      <c r="L29" s="35">
        <v>2007</v>
      </c>
      <c r="M29" s="35">
        <v>2009</v>
      </c>
      <c r="N29"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29" s="36">
        <f>(0.070110579228 * DetailTable6[Production]) + (31.403056165309 * DetailTable6[CDD]) + 32028.73</f>
        <v>45194.094567433844</v>
      </c>
      <c r="P29" s="36">
        <f>(0.092469133403 * DetailTable6[Production]) + (7.498311362437 * DetailTable6[HDD]) + -7722.27</f>
        <v>17304.858082825955</v>
      </c>
      <c r="Q29" s="36">
        <f>DetailTable6[Modeled Electricity (MMBTU)]+DetailTable6[Modeled Natural Gas (MMBTU)]</f>
        <v>62498.952650259802</v>
      </c>
      <c r="R29"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-13408.891279567019</v>
      </c>
      <c r="S29" s="36">
        <f ca="1">IF(DetailTable6[Period]=DetailTable6[Model Year],"",DetailTable6[CUSUMHidden])</f>
        <v>-13408.891279567019</v>
      </c>
      <c r="T29"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3023.1006116598437</v>
      </c>
      <c r="U29"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16.858082825954625</v>
      </c>
      <c r="V29" s="47">
        <f ca="1">IF(DetailTable6[Period]&lt;=DetailTable6[Model Year],"N/A",SUM(DetailTable6[[#This Row],[Total Modeled Energy Consumption (MMBTU)]]:OFFSET(DetailTable6[[#This Row],[Total Modeled Energy Consumption (MMBTU)]],-11,0))-SUM(DetailTable6[[#This Row],[TOTAL  (MMBTU)]]:OFFSET(DetailTable6[[#This Row],[TOTAL  (MMBTU)]],-11,0)))</f>
        <v>13676.49465979659</v>
      </c>
      <c r="W29"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0.98281585218486711</v>
      </c>
      <c r="X29"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13676.49465979659</v>
      </c>
      <c r="Y29" s="47">
        <f ca="1">IF(DetailTable6[Period]&lt;DetailTable6[Model Year],"N/A",IF((AND(DetailTable6[Period]=DetailTable6[Model Year],DetailTable6[Period] =OFFSET(DetailTable6[[#This Row],[Period]],1,0))),"N/A",SUM(DetailTable6[[#This Row],[TOTAL  (MMBTU)]]:OFFSET(DetailTable6[[#This Row],[TOTAL  (MMBTU)]],-11,0))))</f>
        <v>782202.05613761954</v>
      </c>
      <c r="Z29"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756084.62325754529</v>
      </c>
      <c r="AA29"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716290.69571767456</v>
      </c>
      <c r="AB29"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676496.76817780372</v>
      </c>
      <c r="AC29"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39793.927539870841</v>
      </c>
      <c r="AD29"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79587.855079741566</v>
      </c>
      <c r="AE29"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119381.78261961241</v>
      </c>
      <c r="AF29" s="35"/>
      <c r="AG29" s="35"/>
      <c r="AH29" s="35"/>
      <c r="AI29" s="35"/>
      <c r="AJ29" s="35"/>
      <c r="AK29" s="35"/>
      <c r="AL29" s="35"/>
      <c r="AM29" s="35"/>
      <c r="AN29" s="35"/>
    </row>
    <row r="30" spans="1:40" x14ac:dyDescent="0.25">
      <c r="A30" s="42">
        <v>39539</v>
      </c>
      <c r="B30" s="35">
        <v>3872411</v>
      </c>
      <c r="C30" s="35">
        <v>39639.648643085995</v>
      </c>
      <c r="D30" s="35">
        <v>132410</v>
      </c>
      <c r="E30" s="35">
        <v>13241</v>
      </c>
      <c r="F30" s="35">
        <v>187297</v>
      </c>
      <c r="G30" s="35">
        <v>551</v>
      </c>
      <c r="H30" s="35">
        <v>0</v>
      </c>
      <c r="I30" s="37">
        <v>2008</v>
      </c>
      <c r="J30" s="35">
        <f>DetailTable6[Electricity (MMBTU)]+DetailTable6[Natural Gas (MMBTU)]</f>
        <v>52880.648643085995</v>
      </c>
      <c r="K30" s="35">
        <v>2007</v>
      </c>
      <c r="L30" s="35">
        <v>2007</v>
      </c>
      <c r="M30" s="35">
        <v>2009</v>
      </c>
      <c r="N30"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0" s="36">
        <f>(0.070110579228 * DetailTable6[Production]) + (31.403056165309 * DetailTable6[CDD]) + 32028.73</f>
        <v>45160.231157666713</v>
      </c>
      <c r="P30" s="36">
        <f>(0.092469133403 * DetailTable6[Production]) + (7.498311362437 * DetailTable6[HDD]) + -7722.27</f>
        <v>13728.49083968448</v>
      </c>
      <c r="Q30" s="36">
        <f>DetailTable6[Modeled Electricity (MMBTU)]+DetailTable6[Modeled Natural Gas (MMBTU)]</f>
        <v>58888.721997351196</v>
      </c>
      <c r="R30"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-19416.96463383222</v>
      </c>
      <c r="S30" s="36">
        <f ca="1">IF(DetailTable6[Period]=DetailTable6[Model Year],"",DetailTable6[CUSUMHidden])</f>
        <v>-19416.96463383222</v>
      </c>
      <c r="T30"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5520.5825145807175</v>
      </c>
      <c r="U30"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487.49083968448031</v>
      </c>
      <c r="V30" s="47">
        <f ca="1">IF(DetailTable6[Period]&lt;=DetailTable6[Model Year],"N/A",SUM(DetailTable6[[#This Row],[Total Modeled Energy Consumption (MMBTU)]]:OFFSET(DetailTable6[[#This Row],[Total Modeled Energy Consumption (MMBTU)]],-11,0))-SUM(DetailTable6[[#This Row],[TOTAL  (MMBTU)]]:OFFSET(DetailTable6[[#This Row],[TOTAL  (MMBTU)]],-11,0)))</f>
        <v>17330.30147351278</v>
      </c>
      <c r="W30"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0.97813818910975503</v>
      </c>
      <c r="X30"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17330.30147351278</v>
      </c>
      <c r="Y30" s="47">
        <f ca="1">IF(DetailTable6[Period]&lt;DetailTable6[Model Year],"N/A",IF((AND(DetailTable6[Period]=DetailTable6[Model Year],DetailTable6[Period] =OFFSET(DetailTable6[[#This Row],[Period]],1,0))),"N/A",SUM(DetailTable6[[#This Row],[TOTAL  (MMBTU)]]:OFFSET(DetailTable6[[#This Row],[TOTAL  (MMBTU)]],-11,0))))</f>
        <v>775390.00703696825</v>
      </c>
      <c r="Z30"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753084.29308495694</v>
      </c>
      <c r="AA30"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713448.27765943296</v>
      </c>
      <c r="AB30"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673812.26223390887</v>
      </c>
      <c r="AC30"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39636.015425524092</v>
      </c>
      <c r="AD30"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79272.030851048068</v>
      </c>
      <c r="AE30"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118908.04627657216</v>
      </c>
      <c r="AF30" s="35"/>
      <c r="AG30" s="35"/>
      <c r="AH30" s="35"/>
      <c r="AI30" s="35"/>
      <c r="AJ30" s="35"/>
      <c r="AK30" s="35"/>
      <c r="AL30" s="35"/>
      <c r="AM30" s="35"/>
      <c r="AN30" s="35"/>
    </row>
    <row r="31" spans="1:40" x14ac:dyDescent="0.25">
      <c r="A31" s="42">
        <v>39569</v>
      </c>
      <c r="B31" s="35">
        <v>4046746</v>
      </c>
      <c r="C31" s="35">
        <v>41424.215969796001</v>
      </c>
      <c r="D31" s="35">
        <v>95930</v>
      </c>
      <c r="E31" s="35">
        <v>9593</v>
      </c>
      <c r="F31" s="35">
        <v>188155</v>
      </c>
      <c r="G31" s="35">
        <v>202</v>
      </c>
      <c r="H31" s="35">
        <v>14</v>
      </c>
      <c r="I31" s="37">
        <v>2008</v>
      </c>
      <c r="J31" s="35">
        <f>DetailTable6[Electricity (MMBTU)]+DetailTable6[Natural Gas (MMBTU)]</f>
        <v>51017.215969796001</v>
      </c>
      <c r="K31" s="35">
        <v>2007</v>
      </c>
      <c r="L31" s="35">
        <v>2007</v>
      </c>
      <c r="M31" s="35">
        <v>2009</v>
      </c>
      <c r="N31"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1" s="36">
        <f>(0.070110579228 * DetailTable6[Production]) + (31.403056165309 * DetailTable6[CDD]) + 32028.73</f>
        <v>45660.028820958665</v>
      </c>
      <c r="P31" s="36">
        <f>(0.092469133403 * DetailTable6[Production]) + (7.498311362437 * DetailTable6[HDD]) + -7722.27</f>
        <v>11190.91869065374</v>
      </c>
      <c r="Q31" s="36">
        <f>DetailTable6[Modeled Electricity (MMBTU)]+DetailTable6[Modeled Natural Gas (MMBTU)]</f>
        <v>56850.947511612409</v>
      </c>
      <c r="R31"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-25250.696175648627</v>
      </c>
      <c r="S31" s="36">
        <f ca="1">IF(DetailTable6[Period]=DetailTable6[Model Year],"",DetailTable6[CUSUMHidden])</f>
        <v>-25250.696175648627</v>
      </c>
      <c r="T31"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4235.8128511626637</v>
      </c>
      <c r="U31"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1597.9186906537398</v>
      </c>
      <c r="V31" s="47">
        <f ca="1">IF(DetailTable6[Period]&lt;=DetailTable6[Model Year],"N/A",SUM(DetailTable6[[#This Row],[Total Modeled Energy Consumption (MMBTU)]]:OFFSET(DetailTable6[[#This Row],[Total Modeled Energy Consumption (MMBTU)]],-11,0))-SUM(DetailTable6[[#This Row],[TOTAL  (MMBTU)]]:OFFSET(DetailTable6[[#This Row],[TOTAL  (MMBTU)]],-11,0)))</f>
        <v>23234.2055995767</v>
      </c>
      <c r="W31"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0.97050861402623012</v>
      </c>
      <c r="X31"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23234.2055995767</v>
      </c>
      <c r="Y31" s="47">
        <f ca="1">IF(DetailTable6[Period]&lt;DetailTable6[Model Year],"N/A",IF((AND(DetailTable6[Period]=DetailTable6[Model Year],DetailTable6[Period] =OFFSET(DetailTable6[[#This Row],[Period]],1,0))),"N/A",SUM(DetailTable6[[#This Row],[TOTAL  (MMBTU)]]:OFFSET(DetailTable6[[#This Row],[TOTAL  (MMBTU)]],-11,0))))</f>
        <v>764596.03134627384</v>
      </c>
      <c r="Z31"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748438.725098558</v>
      </c>
      <c r="AA31"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709047.21325126546</v>
      </c>
      <c r="AB31"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669655.70140397293</v>
      </c>
      <c r="AC31"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39391.511847292539</v>
      </c>
      <c r="AD31"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78783.023694585077</v>
      </c>
      <c r="AE31"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118174.53554187762</v>
      </c>
      <c r="AF31" s="35"/>
      <c r="AG31" s="35"/>
      <c r="AH31" s="35"/>
      <c r="AI31" s="35"/>
      <c r="AJ31" s="35"/>
      <c r="AK31" s="35"/>
      <c r="AL31" s="35"/>
      <c r="AM31" s="35"/>
      <c r="AN31" s="35"/>
    </row>
    <row r="32" spans="1:40" x14ac:dyDescent="0.25">
      <c r="A32" s="42">
        <v>39600</v>
      </c>
      <c r="B32" s="35">
        <v>4276366</v>
      </c>
      <c r="C32" s="35">
        <v>43774.704107915997</v>
      </c>
      <c r="D32" s="35">
        <v>114110</v>
      </c>
      <c r="E32" s="35">
        <v>11411</v>
      </c>
      <c r="F32" s="35">
        <v>237147</v>
      </c>
      <c r="G32" s="35">
        <v>84</v>
      </c>
      <c r="H32" s="35">
        <v>153</v>
      </c>
      <c r="I32" s="37">
        <v>2008</v>
      </c>
      <c r="J32" s="35">
        <f>DetailTable6[Electricity (MMBTU)]+DetailTable6[Natural Gas (MMBTU)]</f>
        <v>55185.704107915997</v>
      </c>
      <c r="K32" s="35">
        <v>2007</v>
      </c>
      <c r="L32" s="35">
        <v>2007</v>
      </c>
      <c r="M32" s="35">
        <v>2009</v>
      </c>
      <c r="N32"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2" s="36">
        <f>(0.070110579228 * DetailTable6[Production]) + (31.403056165309 * DetailTable6[CDD]) + 32028.73</f>
        <v>53459.911125474791</v>
      </c>
      <c r="P32" s="36">
        <f>(0.092469133403 * DetailTable6[Production]) + (7.498311362437 * DetailTable6[HDD]) + -7722.27</f>
        <v>14836.365733565948</v>
      </c>
      <c r="Q32" s="36">
        <f>DetailTable6[Modeled Electricity (MMBTU)]+DetailTable6[Modeled Natural Gas (MMBTU)]</f>
        <v>68296.276859040736</v>
      </c>
      <c r="R32"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-38361.268926773366</v>
      </c>
      <c r="S32" s="36">
        <f ca="1">IF(DetailTable6[Period]=DetailTable6[Model Year],"",DetailTable6[CUSUMHidden])</f>
        <v>-38361.268926773366</v>
      </c>
      <c r="T32"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9685.2070175587942</v>
      </c>
      <c r="U32"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3425.3657335659482</v>
      </c>
      <c r="V32" s="47">
        <f ca="1">IF(DetailTable6[Period]&lt;=DetailTable6[Model Year],"N/A",SUM(DetailTable6[[#This Row],[Total Modeled Energy Consumption (MMBTU)]]:OFFSET(DetailTable6[[#This Row],[Total Modeled Energy Consumption (MMBTU)]],-11,0))-SUM(DetailTable6[[#This Row],[TOTAL  (MMBTU)]]:OFFSET(DetailTable6[[#This Row],[TOTAL  (MMBTU)]],-11,0)))</f>
        <v>33941.009199834079</v>
      </c>
      <c r="W32"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0.95702655330400344</v>
      </c>
      <c r="X32"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33941.009199834079</v>
      </c>
      <c r="Y32" s="47">
        <f ca="1">IF(DetailTable6[Period]&lt;DetailTable6[Model Year],"N/A",IF((AND(DetailTable6[Period]=DetailTable6[Model Year],DetailTable6[Period] =OFFSET(DetailTable6[[#This Row],[Period]],1,0))),"N/A",SUM(DetailTable6[[#This Row],[TOTAL  (MMBTU)]]:OFFSET(DetailTable6[[#This Row],[TOTAL  (MMBTU)]],-11,0))))</f>
        <v>755872.51076146029</v>
      </c>
      <c r="Z32"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750322.84396322956</v>
      </c>
      <c r="AA32"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710832.16796516499</v>
      </c>
      <c r="AB32"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671341.49196710018</v>
      </c>
      <c r="AC32"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39490.675998064806</v>
      </c>
      <c r="AD32"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78981.351996129379</v>
      </c>
      <c r="AE32"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118472.02799419418</v>
      </c>
      <c r="AF32" s="35"/>
      <c r="AG32" s="35"/>
      <c r="AH32" s="35"/>
      <c r="AI32" s="35"/>
      <c r="AJ32" s="35"/>
      <c r="AK32" s="35"/>
      <c r="AL32" s="35"/>
      <c r="AM32" s="35"/>
      <c r="AN32" s="35"/>
    </row>
    <row r="33" spans="1:40" x14ac:dyDescent="0.25">
      <c r="A33" s="42">
        <v>39630</v>
      </c>
      <c r="B33" s="35">
        <v>4731704</v>
      </c>
      <c r="C33" s="35">
        <v>48435.737849903999</v>
      </c>
      <c r="D33" s="35">
        <v>101330</v>
      </c>
      <c r="E33" s="35">
        <v>10133</v>
      </c>
      <c r="F33" s="35">
        <v>236993</v>
      </c>
      <c r="G33" s="35">
        <v>19</v>
      </c>
      <c r="H33" s="35">
        <v>93</v>
      </c>
      <c r="I33" s="37">
        <v>2008</v>
      </c>
      <c r="J33" s="35">
        <f>DetailTable6[Electricity (MMBTU)]+DetailTable6[Natural Gas (MMBTU)]</f>
        <v>58568.737849903999</v>
      </c>
      <c r="K33" s="35">
        <v>2007</v>
      </c>
      <c r="L33" s="35">
        <v>2007</v>
      </c>
      <c r="M33" s="35">
        <v>2009</v>
      </c>
      <c r="N33"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3" s="36">
        <f>(0.070110579228 * DetailTable6[Production]) + (31.403056165309 * DetailTable6[CDD]) + 32028.73</f>
        <v>51564.930726355138</v>
      </c>
      <c r="P33" s="36">
        <f>(0.092469133403 * DetailTable6[Production]) + (7.498311362437 * DetailTable6[HDD]) + -7722.27</f>
        <v>14334.735248463483</v>
      </c>
      <c r="Q33" s="36">
        <f>DetailTable6[Modeled Electricity (MMBTU)]+DetailTable6[Modeled Natural Gas (MMBTU)]</f>
        <v>65899.665974818621</v>
      </c>
      <c r="R33"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-45692.197051687988</v>
      </c>
      <c r="S33" s="36">
        <f ca="1">IF(DetailTable6[Period]=DetailTable6[Model Year],"",DetailTable6[CUSUMHidden])</f>
        <v>-45692.197051687988</v>
      </c>
      <c r="T33"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3129.1928764511395</v>
      </c>
      <c r="U33"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4201.735248463483</v>
      </c>
      <c r="V33" s="47">
        <f ca="1">IF(DetailTable6[Period]&lt;=DetailTable6[Model Year],"N/A",SUM(DetailTable6[[#This Row],[Total Modeled Energy Consumption (MMBTU)]]:OFFSET(DetailTable6[[#This Row],[Total Modeled Energy Consumption (MMBTU)]],-11,0))-SUM(DetailTable6[[#This Row],[TOTAL  (MMBTU)]]:OFFSET(DetailTable6[[#This Row],[TOTAL  (MMBTU)]],-11,0)))</f>
        <v>42530.75995922822</v>
      </c>
      <c r="W33"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0.946128639073335</v>
      </c>
      <c r="X33"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42530.75995922822</v>
      </c>
      <c r="Y33" s="47">
        <f ca="1">IF(DetailTable6[Period]&lt;DetailTable6[Model Year],"N/A",IF((AND(DetailTable6[Period]=DetailTable6[Model Year],DetailTable6[Period] =OFFSET(DetailTable6[[#This Row],[Period]],1,0))),"N/A",SUM(DetailTable6[[#This Row],[TOTAL  (MMBTU)]]:OFFSET(DetailTable6[[#This Row],[TOTAL  (MMBTU)]],-11,0))))</f>
        <v>746956.62680134131</v>
      </c>
      <c r="Z33"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750013.01742254104</v>
      </c>
      <c r="AA33"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710538.64808451256</v>
      </c>
      <c r="AB33"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671064.27874648408</v>
      </c>
      <c r="AC33"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39474.369338028482</v>
      </c>
      <c r="AD33"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78948.738676056964</v>
      </c>
      <c r="AE33"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118423.10801408545</v>
      </c>
      <c r="AF33" s="35"/>
      <c r="AG33" s="35"/>
      <c r="AH33" s="35"/>
      <c r="AI33" s="35"/>
      <c r="AJ33" s="35"/>
      <c r="AK33" s="35"/>
      <c r="AL33" s="35"/>
      <c r="AM33" s="35"/>
      <c r="AN33" s="35"/>
    </row>
    <row r="34" spans="1:40" x14ac:dyDescent="0.25">
      <c r="A34" s="42">
        <v>39661</v>
      </c>
      <c r="B34" s="35">
        <v>4825936</v>
      </c>
      <c r="C34" s="35">
        <v>49400.336744736</v>
      </c>
      <c r="D34" s="35">
        <v>114760</v>
      </c>
      <c r="E34" s="35">
        <v>11476</v>
      </c>
      <c r="F34" s="35">
        <v>241257</v>
      </c>
      <c r="G34" s="35">
        <v>32</v>
      </c>
      <c r="H34" s="35">
        <v>134</v>
      </c>
      <c r="I34" s="37">
        <v>2008</v>
      </c>
      <c r="J34" s="35">
        <f>DetailTable6[Electricity (MMBTU)]+DetailTable6[Natural Gas (MMBTU)]</f>
        <v>60876.336744736</v>
      </c>
      <c r="K34" s="35">
        <v>2007</v>
      </c>
      <c r="L34" s="35">
        <v>2007</v>
      </c>
      <c r="M34" s="35">
        <v>2009</v>
      </c>
      <c r="N34"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4" s="36">
        <f>(0.070110579228 * DetailTable6[Production]) + (31.403056165309 * DetailTable6[CDD]) + 32028.73</f>
        <v>53151.407538961008</v>
      </c>
      <c r="P34" s="36">
        <f>(0.092469133403 * DetailTable6[Production]) + (7.498311362437 * DetailTable6[HDD]) + -7722.27</f>
        <v>14826.501681005557</v>
      </c>
      <c r="Q34" s="36">
        <f>DetailTable6[Modeled Electricity (MMBTU)]+DetailTable6[Modeled Natural Gas (MMBTU)]</f>
        <v>67977.909219966561</v>
      </c>
      <c r="R34"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-52793.76952691855</v>
      </c>
      <c r="S34" s="36">
        <f ca="1">IF(DetailTable6[Period]=DetailTable6[Model Year],"",DetailTable6[CUSUMHidden])</f>
        <v>-52793.76952691855</v>
      </c>
      <c r="T34"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3751.0707942250083</v>
      </c>
      <c r="U34"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3350.5016810055567</v>
      </c>
      <c r="V34" s="47">
        <f ca="1">IF(DetailTable6[Period]&lt;=DetailTable6[Model Year],"N/A",SUM(DetailTable6[[#This Row],[Total Modeled Energy Consumption (MMBTU)]]:OFFSET(DetailTable6[[#This Row],[Total Modeled Energy Consumption (MMBTU)]],-11,0))-SUM(DetailTable6[[#This Row],[TOTAL  (MMBTU)]]:OFFSET(DetailTable6[[#This Row],[TOTAL  (MMBTU)]],-11,0)))</f>
        <v>49558.790421688696</v>
      </c>
      <c r="W34"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0.93689700549566313</v>
      </c>
      <c r="X34"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49558.790421688696</v>
      </c>
      <c r="Y34" s="47">
        <f ca="1">IF(DetailTable6[Period]&lt;DetailTable6[Model Year],"N/A",IF((AND(DetailTable6[Period]=DetailTable6[Model Year],DetailTable6[Period] =OFFSET(DetailTable6[[#This Row],[Period]],1,0))),"N/A",SUM(DetailTable6[[#This Row],[TOTAL  (MMBTU)]]:OFFSET(DetailTable6[[#This Row],[TOTAL  (MMBTU)]],-11,0))))</f>
        <v>735804.73806003295</v>
      </c>
      <c r="Z34"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746095.35205763555</v>
      </c>
      <c r="AA34"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706827.17563354946</v>
      </c>
      <c r="AB34"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667558.99920946336</v>
      </c>
      <c r="AC34"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39268.176424086094</v>
      </c>
      <c r="AD34"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78536.352848172188</v>
      </c>
      <c r="AE34"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117804.52927225828</v>
      </c>
      <c r="AF34" s="35"/>
      <c r="AG34" s="35"/>
      <c r="AH34" s="35"/>
      <c r="AI34" s="35"/>
      <c r="AJ34" s="35"/>
      <c r="AK34" s="35"/>
      <c r="AL34" s="35"/>
      <c r="AM34" s="35"/>
      <c r="AN34" s="35"/>
    </row>
    <row r="35" spans="1:40" x14ac:dyDescent="0.25">
      <c r="A35" s="42">
        <v>39692</v>
      </c>
      <c r="B35" s="35">
        <v>4680616</v>
      </c>
      <c r="C35" s="35">
        <v>47912.779318415996</v>
      </c>
      <c r="D35" s="35">
        <v>118690</v>
      </c>
      <c r="E35" s="35">
        <v>11869</v>
      </c>
      <c r="F35" s="35">
        <v>231176</v>
      </c>
      <c r="G35" s="35">
        <v>77</v>
      </c>
      <c r="H35" s="35">
        <v>39</v>
      </c>
      <c r="I35" s="37">
        <v>2008</v>
      </c>
      <c r="J35" s="35">
        <f>DetailTable6[Electricity (MMBTU)]+DetailTable6[Natural Gas (MMBTU)]</f>
        <v>59781.779318415996</v>
      </c>
      <c r="K35" s="35">
        <v>2007</v>
      </c>
      <c r="L35" s="35">
        <v>2007</v>
      </c>
      <c r="M35" s="35">
        <v>2009</v>
      </c>
      <c r="N35"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5" s="36">
        <f>(0.070110579228 * DetailTable6[Production]) + (31.403056165309 * DetailTable6[CDD]) + 32028.73</f>
        <v>49461.332454059178</v>
      </c>
      <c r="P35" s="36">
        <f>(0.092469133403 * DetailTable6[Production]) + (7.498311362437 * DetailTable6[HDD]) + -7722.27</f>
        <v>14231.744358479576</v>
      </c>
      <c r="Q35" s="36">
        <f>DetailTable6[Modeled Electricity (MMBTU)]+DetailTable6[Modeled Natural Gas (MMBTU)]</f>
        <v>63693.076812538755</v>
      </c>
      <c r="R35"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-56705.067021041308</v>
      </c>
      <c r="S35" s="36">
        <f ca="1">IF(DetailTable6[Period]=DetailTable6[Model Year],"",DetailTable6[CUSUMHidden])</f>
        <v>-56705.067021041308</v>
      </c>
      <c r="T35"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1548.553135643182</v>
      </c>
      <c r="U35"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2362.7443584795765</v>
      </c>
      <c r="V35" s="47">
        <f ca="1">IF(DetailTable6[Period]&lt;=DetailTable6[Model Year],"N/A",SUM(DetailTable6[[#This Row],[Total Modeled Energy Consumption (MMBTU)]]:OFFSET(DetailTable6[[#This Row],[Total Modeled Energy Consumption (MMBTU)]],-11,0))-SUM(DetailTable6[[#This Row],[TOTAL  (MMBTU)]]:OFFSET(DetailTable6[[#This Row],[TOTAL  (MMBTU)]],-11,0)))</f>
        <v>58693.022567494074</v>
      </c>
      <c r="W35"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0.9251455114319862</v>
      </c>
      <c r="X35"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58693.022567494074</v>
      </c>
      <c r="Y35" s="47">
        <f ca="1">IF(DetailTable6[Period]&lt;DetailTable6[Model Year],"N/A",IF((AND(DetailTable6[Period]=DetailTable6[Model Year],DetailTable6[Period] =OFFSET(DetailTable6[[#This Row],[Period]],1,0))),"N/A",SUM(DetailTable6[[#This Row],[TOTAL  (MMBTU)]]:OFFSET(DetailTable6[[#This Row],[TOTAL  (MMBTU)]],-11,0))))</f>
        <v>725401.87528442056</v>
      </c>
      <c r="Z35"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744890.15295931883</v>
      </c>
      <c r="AA35"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705685.40806672315</v>
      </c>
      <c r="AB35"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666480.66317412746</v>
      </c>
      <c r="AC35"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39204.744892595802</v>
      </c>
      <c r="AD35"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78409.489785191487</v>
      </c>
      <c r="AE35"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117614.23467778717</v>
      </c>
      <c r="AF35" s="35"/>
      <c r="AG35" s="35"/>
      <c r="AH35" s="35"/>
      <c r="AI35" s="35"/>
      <c r="AJ35" s="35"/>
      <c r="AK35" s="35"/>
      <c r="AL35" s="35"/>
      <c r="AM35" s="35"/>
      <c r="AN35" s="35"/>
    </row>
    <row r="36" spans="1:40" x14ac:dyDescent="0.25">
      <c r="A36" s="42">
        <v>39722</v>
      </c>
      <c r="B36" s="35">
        <v>4998578</v>
      </c>
      <c r="C36" s="35">
        <v>51167.573802227998</v>
      </c>
      <c r="D36" s="35">
        <v>159500</v>
      </c>
      <c r="E36" s="35">
        <v>15950</v>
      </c>
      <c r="F36" s="35">
        <v>258807</v>
      </c>
      <c r="G36" s="35">
        <v>685</v>
      </c>
      <c r="H36" s="35">
        <v>0</v>
      </c>
      <c r="I36" s="37">
        <v>2008</v>
      </c>
      <c r="J36" s="35">
        <f>DetailTable6[Electricity (MMBTU)]+DetailTable6[Natural Gas (MMBTU)]</f>
        <v>67117.573802227998</v>
      </c>
      <c r="K36" s="35">
        <v>2007</v>
      </c>
      <c r="L36" s="35">
        <v>2007</v>
      </c>
      <c r="M36" s="35">
        <v>2009</v>
      </c>
      <c r="N36"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6" s="36">
        <f>(0.070110579228 * DetailTable6[Production]) + (31.403056165309 * DetailTable6[CDD]) + 32028.73</f>
        <v>50173.838678260996</v>
      </c>
      <c r="P36" s="36">
        <f>(0.092469133403 * DetailTable6[Production]) + (7.498311362437 * DetailTable6[HDD]) + -7722.27</f>
        <v>21345.732291899567</v>
      </c>
      <c r="Q36" s="36">
        <f>DetailTable6[Modeled Electricity (MMBTU)]+DetailTable6[Modeled Natural Gas (MMBTU)]</f>
        <v>71519.570970160567</v>
      </c>
      <c r="R36"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-61107.064188973876</v>
      </c>
      <c r="S36" s="36">
        <f ca="1">IF(DetailTable6[Period]=DetailTable6[Model Year],"",DetailTable6[CUSUMHidden])</f>
        <v>-61107.064188973876</v>
      </c>
      <c r="T36"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-993.73512396700244</v>
      </c>
      <c r="U36"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5395.7322918995669</v>
      </c>
      <c r="V36" s="47">
        <f ca="1">IF(DetailTable6[Period]&lt;=DetailTable6[Model Year],"N/A",SUM(DetailTable6[[#This Row],[Total Modeled Energy Consumption (MMBTU)]]:OFFSET(DetailTable6[[#This Row],[Total Modeled Energy Consumption (MMBTU)]],-11,0))-SUM(DetailTable6[[#This Row],[TOTAL  (MMBTU)]]:OFFSET(DetailTable6[[#This Row],[TOTAL  (MMBTU)]],-11,0)))</f>
        <v>65463.473944233032</v>
      </c>
      <c r="W36"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0.91674193659443726</v>
      </c>
      <c r="X36"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65463.473944233032</v>
      </c>
      <c r="Y36" s="47">
        <f ca="1">IF(DetailTable6[Period]&lt;DetailTable6[Model Year],"N/A",IF((AND(DetailTable6[Period]=DetailTable6[Model Year],DetailTable6[Period] =OFFSET(DetailTable6[[#This Row],[Period]],1,0))),"N/A",SUM(DetailTable6[[#This Row],[TOTAL  (MMBTU)]]:OFFSET(DetailTable6[[#This Row],[TOTAL  (MMBTU)]],-11,0))))</f>
        <v>720808.40491692198</v>
      </c>
      <c r="Z36"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746958.2849180972</v>
      </c>
      <c r="AA36"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707644.6909750395</v>
      </c>
      <c r="AB36"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668331.09703198168</v>
      </c>
      <c r="AC36"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39313.593943057815</v>
      </c>
      <c r="AD36"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78627.187886115513</v>
      </c>
      <c r="AE36"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117940.78182917333</v>
      </c>
      <c r="AF36" s="35"/>
      <c r="AG36" s="35"/>
      <c r="AH36" s="35"/>
      <c r="AI36" s="35"/>
      <c r="AJ36" s="35"/>
      <c r="AK36" s="35"/>
      <c r="AL36" s="35"/>
      <c r="AM36" s="35"/>
      <c r="AN36" s="35"/>
    </row>
    <row r="37" spans="1:40" x14ac:dyDescent="0.25">
      <c r="A37" s="42">
        <v>39753</v>
      </c>
      <c r="B37" s="35">
        <v>4472358</v>
      </c>
      <c r="C37" s="35">
        <v>45780.961712507997</v>
      </c>
      <c r="D37" s="35">
        <v>163660</v>
      </c>
      <c r="E37" s="35">
        <v>16366</v>
      </c>
      <c r="F37" s="35">
        <v>213166</v>
      </c>
      <c r="G37" s="35">
        <v>677</v>
      </c>
      <c r="H37" s="35">
        <v>0</v>
      </c>
      <c r="I37" s="37">
        <v>2008</v>
      </c>
      <c r="J37" s="35">
        <f>DetailTable6[Electricity (MMBTU)]+DetailTable6[Natural Gas (MMBTU)]</f>
        <v>62146.961712507997</v>
      </c>
      <c r="K37" s="35">
        <v>2007</v>
      </c>
      <c r="L37" s="35">
        <v>2007</v>
      </c>
      <c r="M37" s="35">
        <v>2009</v>
      </c>
      <c r="N37"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7" s="36">
        <f>(0.070110579228 * DetailTable6[Production]) + (31.403056165309 * DetailTable6[CDD]) + 32028.73</f>
        <v>46973.921731715847</v>
      </c>
      <c r="P37" s="36">
        <f>(0.092469133403 * DetailTable6[Production]) + (7.498311362437 * DetailTable6[HDD]) + -7722.27</f>
        <v>17065.36208335375</v>
      </c>
      <c r="Q37" s="36">
        <f>DetailTable6[Modeled Electricity (MMBTU)]+DetailTable6[Modeled Natural Gas (MMBTU)]</f>
        <v>64039.283815069597</v>
      </c>
      <c r="R37"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-62999.386291535477</v>
      </c>
      <c r="S37" s="36">
        <f ca="1">IF(DetailTable6[Period]=DetailTable6[Model Year],"",DetailTable6[CUSUMHidden])</f>
        <v>-62999.386291535477</v>
      </c>
      <c r="T37"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1192.9600192078506</v>
      </c>
      <c r="U37"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699.36208335374977</v>
      </c>
      <c r="V37" s="47">
        <f ca="1">IF(DetailTable6[Period]&lt;=DetailTable6[Model Year],"N/A",SUM(DetailTable6[[#This Row],[Total Modeled Energy Consumption (MMBTU)]]:OFFSET(DetailTable6[[#This Row],[Total Modeled Energy Consumption (MMBTU)]],-11,0))-SUM(DetailTable6[[#This Row],[TOTAL  (MMBTU)]]:OFFSET(DetailTable6[[#This Row],[TOTAL  (MMBTU)]],-11,0)))</f>
        <v>69332.118557695532</v>
      </c>
      <c r="W37"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0.91217870569548543</v>
      </c>
      <c r="X37"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69332.118557695532</v>
      </c>
      <c r="Y37" s="47">
        <f ca="1">IF(DetailTable6[Period]&lt;DetailTable6[Model Year],"N/A",IF((AND(DetailTable6[Period]=DetailTable6[Model Year],DetailTable6[Period] =OFFSET(DetailTable6[[#This Row],[Period]],1,0))),"N/A",SUM(DetailTable6[[#This Row],[TOTAL  (MMBTU)]]:OFFSET(DetailTable6[[#This Row],[TOTAL  (MMBTU)]],-11,0))))</f>
        <v>720136.07485438196</v>
      </c>
      <c r="Z37"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749994.78374147357</v>
      </c>
      <c r="AA37"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710521.37407086976</v>
      </c>
      <c r="AB37"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671047.96440026583</v>
      </c>
      <c r="AC37"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39473.409670603927</v>
      </c>
      <c r="AD37"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78946.819341207738</v>
      </c>
      <c r="AE37"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118420.22901181167</v>
      </c>
      <c r="AF37" s="35"/>
      <c r="AG37" s="35"/>
      <c r="AH37" s="35"/>
      <c r="AI37" s="35"/>
      <c r="AJ37" s="35"/>
      <c r="AK37" s="35"/>
      <c r="AL37" s="35"/>
      <c r="AM37" s="35"/>
      <c r="AN37" s="35"/>
    </row>
    <row r="38" spans="1:40" x14ac:dyDescent="0.25">
      <c r="A38" s="42">
        <v>39783</v>
      </c>
      <c r="B38" s="35">
        <v>4297360</v>
      </c>
      <c r="C38" s="35">
        <v>43989.60763536</v>
      </c>
      <c r="D38" s="35">
        <v>220980</v>
      </c>
      <c r="E38" s="35">
        <v>22098</v>
      </c>
      <c r="F38" s="35">
        <v>207062</v>
      </c>
      <c r="G38" s="35">
        <v>1512</v>
      </c>
      <c r="H38" s="35">
        <v>0</v>
      </c>
      <c r="I38" s="37">
        <v>2008</v>
      </c>
      <c r="J38" s="35">
        <f>DetailTable6[Electricity (MMBTU)]+DetailTable6[Natural Gas (MMBTU)]</f>
        <v>66087.607635360007</v>
      </c>
      <c r="K38" s="35">
        <v>2007</v>
      </c>
      <c r="L38" s="35">
        <v>2007</v>
      </c>
      <c r="M38" s="35">
        <v>2009</v>
      </c>
      <c r="N38"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8" s="36">
        <f>(0.070110579228 * DetailTable6[Production]) + (31.403056165309 * DetailTable6[CDD]) + 32028.73</f>
        <v>46545.966756108137</v>
      </c>
      <c r="P38" s="36">
        <f>(0.092469133403 * DetailTable6[Production]) + (7.498311362437 * DetailTable6[HDD]) + -7722.27</f>
        <v>22762.020480696734</v>
      </c>
      <c r="Q38" s="36">
        <f>DetailTable6[Modeled Electricity (MMBTU)]+DetailTable6[Modeled Natural Gas (MMBTU)]</f>
        <v>69307.987236804867</v>
      </c>
      <c r="R38"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-66219.765892980329</v>
      </c>
      <c r="S38" s="36">
        <f ca="1">IF(DetailTable6[Period]=DetailTable6[Model Year],"",DetailTable6[CUSUMHidden])</f>
        <v>-66219.765892980329</v>
      </c>
      <c r="T38"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2556.3591207481368</v>
      </c>
      <c r="U38"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664.02048069673401</v>
      </c>
      <c r="V38" s="47">
        <f ca="1">IF(DetailTable6[Period]&lt;=DetailTable6[Model Year],"N/A",SUM(DetailTable6[[#This Row],[Total Modeled Energy Consumption (MMBTU)]]:OFFSET(DetailTable6[[#This Row],[Total Modeled Energy Consumption (MMBTU)]],-11,0))-SUM(DetailTable6[[#This Row],[TOTAL  (MMBTU)]]:OFFSET(DetailTable6[[#This Row],[TOTAL  (MMBTU)]],-11,0)))</f>
        <v>66219.765892980504</v>
      </c>
      <c r="W38"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0.9155783140702719</v>
      </c>
      <c r="X38"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66219.765892980504</v>
      </c>
      <c r="Y38" s="47">
        <f ca="1">IF(DetailTable6[Period]&lt;DetailTable6[Model Year],"N/A",IF((AND(DetailTable6[Period]=DetailTable6[Model Year],DetailTable6[Period] =OFFSET(DetailTable6[[#This Row],[Period]],1,0))),"N/A",SUM(DetailTable6[[#This Row],[TOTAL  (MMBTU)]]:OFFSET(DetailTable6[[#This Row],[TOTAL  (MMBTU)]],-11,0))))</f>
        <v>718173.07302877784</v>
      </c>
      <c r="Z38"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745173.19697567041</v>
      </c>
      <c r="AA38"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705953.55502958258</v>
      </c>
      <c r="AB38"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666733.91308349452</v>
      </c>
      <c r="AC38"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39219.641946087941</v>
      </c>
      <c r="AD38"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78439.283892175765</v>
      </c>
      <c r="AE38"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117658.92583826382</v>
      </c>
      <c r="AF38" s="35"/>
      <c r="AG38" s="35"/>
      <c r="AH38" s="35"/>
      <c r="AI38" s="35"/>
      <c r="AJ38" s="35"/>
      <c r="AK38" s="35"/>
      <c r="AL38" s="35"/>
      <c r="AM38" s="35"/>
      <c r="AN38" s="35"/>
    </row>
    <row r="39" spans="1:40" x14ac:dyDescent="0.25">
      <c r="A39" s="42">
        <v>39814</v>
      </c>
      <c r="B39" s="35">
        <v>4222668</v>
      </c>
      <c r="C39" s="35">
        <v>43225.028504567999</v>
      </c>
      <c r="D39" s="35">
        <v>234830</v>
      </c>
      <c r="E39" s="35">
        <v>23483</v>
      </c>
      <c r="F39" s="35">
        <v>211655.4</v>
      </c>
      <c r="G39" s="35">
        <v>1718</v>
      </c>
      <c r="H39" s="35">
        <v>0</v>
      </c>
      <c r="I39" s="37">
        <v>2009</v>
      </c>
      <c r="J39" s="35">
        <f>DetailTable6[Electricity (MMBTU)]+DetailTable6[Natural Gas (MMBTU)]</f>
        <v>66708.028504568007</v>
      </c>
      <c r="K39" s="35">
        <v>2007</v>
      </c>
      <c r="L39" s="35">
        <v>2007</v>
      </c>
      <c r="M39" s="35">
        <v>2009</v>
      </c>
      <c r="N39"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39" s="36">
        <f>(0.070110579228 * DetailTable6[Production]) + (31.403056165309 * DetailTable6[CDD]) + 32028.73</f>
        <v>46868.012690734031</v>
      </c>
      <c r="P39" s="36">
        <f>(0.092469133403 * DetailTable6[Production]) + (7.498311362437 * DetailTable6[HDD]) + -7722.27</f>
        <v>24731.420338732092</v>
      </c>
      <c r="Q39" s="36">
        <f>DetailTable6[Modeled Electricity (MMBTU)]+DetailTable6[Modeled Natural Gas (MMBTU)]</f>
        <v>71599.433029466119</v>
      </c>
      <c r="R39"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-71111.170417878442</v>
      </c>
      <c r="S39" s="36">
        <f ca="1">IF(DetailTable6[Period]=DetailTable6[Model Year],"",DetailTable6[CUSUMHidden])</f>
        <v>-71111.170417878442</v>
      </c>
      <c r="T39"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3642.9841861660316</v>
      </c>
      <c r="U39"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1248.4203387320922</v>
      </c>
      <c r="V39" s="47">
        <f ca="1">IF(DetailTable6[Period]&lt;=DetailTable6[Model Year],"N/A",SUM(DetailTable6[[#This Row],[Total Modeled Energy Consumption (MMBTU)]]:OFFSET(DetailTable6[[#This Row],[Total Modeled Energy Consumption (MMBTU)]],-11,0))-SUM(DetailTable6[[#This Row],[TOTAL  (MMBTU)]]:OFFSET(DetailTable6[[#This Row],[TOTAL  (MMBTU)]],-11,0)))</f>
        <v>66763.511088488623</v>
      </c>
      <c r="W39"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0.91497489659816</v>
      </c>
      <c r="X39"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66763.511088488623</v>
      </c>
      <c r="Y39" s="47">
        <f ca="1">IF(DetailTable6[Period]&lt;DetailTable6[Model Year],"N/A",IF((AND(DetailTable6[Period]=DetailTable6[Model Year],DetailTable6[Period] =OFFSET(DetailTable6[[#This Row],[Period]],1,0))),"N/A",SUM(DetailTable6[[#This Row],[TOTAL  (MMBTU)]]:OFFSET(DetailTable6[[#This Row],[TOTAL  (MMBTU)]],-11,0))))</f>
        <v>718457.65792268398</v>
      </c>
      <c r="Z39"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745960.11056061392</v>
      </c>
      <c r="AA39"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706699.05211005535</v>
      </c>
      <c r="AB39"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667437.99365949666</v>
      </c>
      <c r="AC39"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39261.058450558688</v>
      </c>
      <c r="AD39"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78522.116901117261</v>
      </c>
      <c r="AE39"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117783.17535167595</v>
      </c>
      <c r="AF39" s="35"/>
      <c r="AG39" s="35"/>
      <c r="AH39" s="35"/>
      <c r="AI39" s="35"/>
      <c r="AJ39" s="35"/>
      <c r="AK39" s="35"/>
      <c r="AL39" s="35"/>
      <c r="AM39" s="35"/>
      <c r="AN39" s="35"/>
    </row>
    <row r="40" spans="1:40" x14ac:dyDescent="0.25">
      <c r="A40" s="42">
        <v>39845</v>
      </c>
      <c r="B40" s="35">
        <v>3940038</v>
      </c>
      <c r="C40" s="35">
        <v>40331.907424188001</v>
      </c>
      <c r="D40" s="35">
        <v>212520</v>
      </c>
      <c r="E40" s="35">
        <v>21252</v>
      </c>
      <c r="F40" s="35">
        <v>213539</v>
      </c>
      <c r="G40" s="35">
        <v>1423</v>
      </c>
      <c r="H40" s="35">
        <v>0</v>
      </c>
      <c r="I40" s="37">
        <v>2009</v>
      </c>
      <c r="J40" s="35">
        <f>DetailTable6[Electricity (MMBTU)]+DetailTable6[Natural Gas (MMBTU)]</f>
        <v>61583.907424188001</v>
      </c>
      <c r="K40" s="35">
        <v>2007</v>
      </c>
      <c r="L40" s="35">
        <v>2007</v>
      </c>
      <c r="M40" s="35">
        <v>2009</v>
      </c>
      <c r="N40"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0" s="36">
        <f>(0.070110579228 * DetailTable6[Production]) + (31.403056165309 * DetailTable6[CDD]) + 32028.73</f>
        <v>47000.072977767893</v>
      </c>
      <c r="P40" s="36">
        <f>(0.092469133403 * DetailTable6[Production]) + (7.498311362437 * DetailTable6[HDD]) + -7722.27</f>
        <v>22693.593346491067</v>
      </c>
      <c r="Q40" s="36">
        <f>DetailTable6[Modeled Electricity (MMBTU)]+DetailTable6[Modeled Natural Gas (MMBTU)]</f>
        <v>69693.666324258957</v>
      </c>
      <c r="R40"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-79220.929317949398</v>
      </c>
      <c r="S40" s="36">
        <f ca="1">IF(DetailTable6[Period]=DetailTable6[Model Year],"",DetailTable6[CUSUMHidden])</f>
        <v>-79220.929317949398</v>
      </c>
      <c r="T40"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6668.1655535798927</v>
      </c>
      <c r="U40"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1441.5933464910668</v>
      </c>
      <c r="V40" s="47">
        <f ca="1">IF(DetailTable6[Period]&lt;=DetailTable6[Model Year],"N/A",SUM(DetailTable6[[#This Row],[Total Modeled Energy Consumption (MMBTU)]]:OFFSET(DetailTable6[[#This Row],[Total Modeled Energy Consumption (MMBTU)]],-11,0))-SUM(DetailTable6[[#This Row],[TOTAL  (MMBTU)]]:OFFSET(DetailTable6[[#This Row],[TOTAL  (MMBTU)]],-11,0)))</f>
        <v>68851.996732868254</v>
      </c>
      <c r="W40"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0.91287485358414111</v>
      </c>
      <c r="X40"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68851.996732868254</v>
      </c>
      <c r="Y40" s="47">
        <f ca="1">IF(DetailTable6[Period]&lt;DetailTable6[Model Year],"N/A",IF((AND(DetailTable6[Period]=DetailTable6[Model Year],DetailTable6[Period] =OFFSET(DetailTable6[[#This Row],[Period]],1,0))),"N/A",SUM(DetailTable6[[#This Row],[TOTAL  (MMBTU)]]:OFFSET(DetailTable6[[#This Row],[TOTAL  (MMBTU)]],-11,0))))</f>
        <v>721413.49566847994</v>
      </c>
      <c r="Z40"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750752.21778128075</v>
      </c>
      <c r="AA40"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711238.94316121342</v>
      </c>
      <c r="AB40"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671725.66854114598</v>
      </c>
      <c r="AC40"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39513.274620067445</v>
      </c>
      <c r="AD40"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79026.549240134773</v>
      </c>
      <c r="AE40"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118539.82386020222</v>
      </c>
      <c r="AF40" s="35"/>
      <c r="AG40" s="35"/>
      <c r="AH40" s="35"/>
      <c r="AI40" s="35"/>
      <c r="AJ40" s="35"/>
      <c r="AK40" s="35"/>
      <c r="AL40" s="35"/>
      <c r="AM40" s="35"/>
      <c r="AN40" s="35"/>
    </row>
    <row r="41" spans="1:40" x14ac:dyDescent="0.25">
      <c r="A41" s="42">
        <v>39873</v>
      </c>
      <c r="B41" s="35">
        <v>4218989</v>
      </c>
      <c r="C41" s="35">
        <v>43187.368693313998</v>
      </c>
      <c r="D41" s="35">
        <v>165500</v>
      </c>
      <c r="E41" s="35">
        <v>16550</v>
      </c>
      <c r="F41" s="35">
        <v>223455.5</v>
      </c>
      <c r="G41" s="35">
        <v>805</v>
      </c>
      <c r="H41" s="35">
        <v>0</v>
      </c>
      <c r="I41" s="37">
        <v>2009</v>
      </c>
      <c r="J41" s="35">
        <f>DetailTable6[Electricity (MMBTU)]+DetailTable6[Natural Gas (MMBTU)]</f>
        <v>59737.368693313998</v>
      </c>
      <c r="K41" s="35">
        <v>2007</v>
      </c>
      <c r="L41" s="35">
        <v>2007</v>
      </c>
      <c r="M41" s="35">
        <v>2009</v>
      </c>
      <c r="N41"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1" s="36">
        <f>(0.070110579228 * DetailTable6[Production]) + (31.403056165309 * DetailTable6[CDD]) + 32028.73</f>
        <v>47695.324536682354</v>
      </c>
      <c r="P41" s="36">
        <f>(0.092469133403 * DetailTable6[Production]) + (7.498311362437 * DetailTable6[HDD]) + -7722.27</f>
        <v>18976.607085895852</v>
      </c>
      <c r="Q41" s="36">
        <f>DetailTable6[Modeled Electricity (MMBTU)]+DetailTable6[Modeled Natural Gas (MMBTU)]</f>
        <v>66671.931622578209</v>
      </c>
      <c r="R41"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-86155.49224721361</v>
      </c>
      <c r="S41" s="36">
        <f ca="1">IF(DetailTable6[Period]=DetailTable6[Model Year],"",DetailTable6[CUSUMHidden])</f>
        <v>-86155.49224721361</v>
      </c>
      <c r="T41"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4507.955843368356</v>
      </c>
      <c r="U41"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2426.6070858958519</v>
      </c>
      <c r="V41" s="47">
        <f ca="1">IF(DetailTable6[Period]&lt;=DetailTable6[Model Year],"N/A",SUM(DetailTable6[[#This Row],[Total Modeled Energy Consumption (MMBTU)]]:OFFSET(DetailTable6[[#This Row],[Total Modeled Energy Consumption (MMBTU)]],-11,0))-SUM(DetailTable6[[#This Row],[TOTAL  (MMBTU)]]:OFFSET(DetailTable6[[#This Row],[TOTAL  (MMBTU)]],-11,0)))</f>
        <v>72746.60096764646</v>
      </c>
      <c r="W41"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0.90843016345638439</v>
      </c>
      <c r="X41"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72746.60096764646</v>
      </c>
      <c r="Y41" s="47">
        <f ca="1">IF(DetailTable6[Period]&lt;DetailTable6[Model Year],"N/A",IF((AND(DetailTable6[Period]=DetailTable6[Model Year],DetailTable6[Period] =OFFSET(DetailTable6[[#This Row],[Period]],1,0))),"N/A",SUM(DetailTable6[[#This Row],[TOTAL  (MMBTU)]]:OFFSET(DetailTable6[[#This Row],[TOTAL  (MMBTU)]],-11,0))))</f>
        <v>721691.87040601997</v>
      </c>
      <c r="Z41"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754716.5478049831</v>
      </c>
      <c r="AA41"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714994.62423629977</v>
      </c>
      <c r="AB41"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675272.70066761645</v>
      </c>
      <c r="AC41"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39721.923568683327</v>
      </c>
      <c r="AD41"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79443.847137366654</v>
      </c>
      <c r="AE41"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119165.77070604998</v>
      </c>
      <c r="AF41" s="35"/>
      <c r="AG41" s="35"/>
      <c r="AH41" s="35"/>
      <c r="AI41" s="35"/>
      <c r="AJ41" s="35"/>
      <c r="AK41" s="35"/>
      <c r="AL41" s="35"/>
      <c r="AM41" s="35"/>
      <c r="AN41" s="35"/>
    </row>
    <row r="42" spans="1:40" x14ac:dyDescent="0.25">
      <c r="A42" s="42">
        <v>39904</v>
      </c>
      <c r="B42" s="35">
        <v>4220890</v>
      </c>
      <c r="C42" s="35">
        <v>43206.828139140001</v>
      </c>
      <c r="D42" s="35">
        <v>126110</v>
      </c>
      <c r="E42" s="35">
        <v>12611</v>
      </c>
      <c r="F42" s="35">
        <v>208021.4</v>
      </c>
      <c r="G42" s="35">
        <v>327</v>
      </c>
      <c r="H42" s="35">
        <v>31</v>
      </c>
      <c r="I42" s="37">
        <v>2009</v>
      </c>
      <c r="J42" s="35">
        <f>DetailTable6[Electricity (MMBTU)]+DetailTable6[Natural Gas (MMBTU)]</f>
        <v>55817.828139140001</v>
      </c>
      <c r="K42" s="35">
        <v>2007</v>
      </c>
      <c r="L42" s="35">
        <v>2007</v>
      </c>
      <c r="M42" s="35">
        <v>2009</v>
      </c>
      <c r="N42"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2" s="36">
        <f>(0.070110579228 * DetailTable6[Production]) + (31.403056165309 * DetailTable6[CDD]) + 32028.73</f>
        <v>47586.725586944056</v>
      </c>
      <c r="P42" s="36">
        <f>(0.092469133403 * DetailTable6[Production]) + (7.498311362437 * DetailTable6[HDD]) + -7722.27</f>
        <v>13965.236402795723</v>
      </c>
      <c r="Q42" s="36">
        <f>DetailTable6[Modeled Electricity (MMBTU)]+DetailTable6[Modeled Natural Gas (MMBTU)]</f>
        <v>61551.961989739779</v>
      </c>
      <c r="R42"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-91889.626097813394</v>
      </c>
      <c r="S42" s="36">
        <f ca="1">IF(DetailTable6[Period]=DetailTable6[Model Year],"",DetailTable6[CUSUMHidden])</f>
        <v>-91889.626097813394</v>
      </c>
      <c r="T42"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4379.8974478040545</v>
      </c>
      <c r="U42"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1354.2364027957228</v>
      </c>
      <c r="V42" s="47">
        <f ca="1">IF(DetailTable6[Period]&lt;=DetailTable6[Model Year],"N/A",SUM(DetailTable6[[#This Row],[Total Modeled Energy Consumption (MMBTU)]]:OFFSET(DetailTable6[[#This Row],[Total Modeled Energy Consumption (MMBTU)]],-11,0))-SUM(DetailTable6[[#This Row],[TOTAL  (MMBTU)]]:OFFSET(DetailTable6[[#This Row],[TOTAL  (MMBTU)]],-11,0)))</f>
        <v>72472.661463981029</v>
      </c>
      <c r="W42"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0.90907978187654492</v>
      </c>
      <c r="X42"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72472.661463981029</v>
      </c>
      <c r="Y42" s="47">
        <f ca="1">IF(DetailTable6[Period]&lt;DetailTable6[Model Year],"N/A",IF((AND(DetailTable6[Period]=DetailTable6[Model Year],DetailTable6[Period] =OFFSET(DetailTable6[[#This Row],[Period]],1,0))),"N/A",SUM(DetailTable6[[#This Row],[TOTAL  (MMBTU)]]:OFFSET(DetailTable6[[#This Row],[TOTAL  (MMBTU)]],-11,0))))</f>
        <v>724629.04990207404</v>
      </c>
      <c r="Z42"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757246.62579775229</v>
      </c>
      <c r="AA42"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717391.54022944963</v>
      </c>
      <c r="AB42"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677536.45466114674</v>
      </c>
      <c r="AC42"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39855.085568302777</v>
      </c>
      <c r="AD42"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79710.171136605437</v>
      </c>
      <c r="AE42"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119565.25670490833</v>
      </c>
      <c r="AF42" s="35"/>
      <c r="AG42" s="35"/>
      <c r="AH42" s="35"/>
      <c r="AI42" s="35"/>
      <c r="AJ42" s="35"/>
      <c r="AK42" s="35"/>
      <c r="AL42" s="35"/>
      <c r="AM42" s="35"/>
      <c r="AN42" s="35"/>
    </row>
    <row r="43" spans="1:40" x14ac:dyDescent="0.25">
      <c r="A43" s="42">
        <v>39934</v>
      </c>
      <c r="B43" s="35">
        <v>4341676</v>
      </c>
      <c r="C43" s="35">
        <v>44443.245089976001</v>
      </c>
      <c r="D43" s="35">
        <v>112810</v>
      </c>
      <c r="E43" s="35">
        <v>11281</v>
      </c>
      <c r="F43" s="35">
        <v>190701.3</v>
      </c>
      <c r="G43" s="35">
        <v>223</v>
      </c>
      <c r="H43" s="35">
        <v>116</v>
      </c>
      <c r="I43" s="37">
        <v>2009</v>
      </c>
      <c r="J43" s="35">
        <f>DetailTable6[Electricity (MMBTU)]+DetailTable6[Natural Gas (MMBTU)]</f>
        <v>55724.245089976001</v>
      </c>
      <c r="K43" s="35">
        <v>2007</v>
      </c>
      <c r="L43" s="35">
        <v>2007</v>
      </c>
      <c r="M43" s="35">
        <v>2009</v>
      </c>
      <c r="N43"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3" s="36">
        <f>(0.070110579228 * DetailTable6[Production]) + (31.403056165309 * DetailTable6[CDD]) + 32028.73</f>
        <v>49041.663117708435</v>
      </c>
      <c r="P43" s="36">
        <f>(0.092469133403 * DetailTable6[Production]) + (7.498311362437 * DetailTable6[HDD]) + -7722.27</f>
        <v>11583.837383648974</v>
      </c>
      <c r="Q43" s="36">
        <f>DetailTable6[Modeled Electricity (MMBTU)]+DetailTable6[Modeled Natural Gas (MMBTU)]</f>
        <v>60625.500501357412</v>
      </c>
      <c r="R43"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-96790.881509194805</v>
      </c>
      <c r="S43" s="36">
        <f ca="1">IF(DetailTable6[Period]=DetailTable6[Model Year],"",DetailTable6[CUSUMHidden])</f>
        <v>-96790.881509194805</v>
      </c>
      <c r="T43"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4598.418027732434</v>
      </c>
      <c r="U43"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302.83738364897363</v>
      </c>
      <c r="V43" s="47">
        <f ca="1">IF(DetailTable6[Period]&lt;=DetailTable6[Model Year],"N/A",SUM(DetailTable6[[#This Row],[Total Modeled Energy Consumption (MMBTU)]]:OFFSET(DetailTable6[[#This Row],[Total Modeled Energy Consumption (MMBTU)]],-11,0))-SUM(DetailTable6[[#This Row],[TOTAL  (MMBTU)]]:OFFSET(DetailTable6[[#This Row],[TOTAL  (MMBTU)]],-11,0)))</f>
        <v>71540.185333545902</v>
      </c>
      <c r="W43"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0.91067261134141542</v>
      </c>
      <c r="X43"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71540.185333545902</v>
      </c>
      <c r="Y43" s="47">
        <f ca="1">IF(DetailTable6[Period]&lt;DetailTable6[Model Year],"N/A",IF((AND(DetailTable6[Period]=DetailTable6[Model Year],DetailTable6[Period] =OFFSET(DetailTable6[[#This Row],[Period]],1,0))),"N/A",SUM(DetailTable6[[#This Row],[TOTAL  (MMBTU)]]:OFFSET(DetailTable6[[#This Row],[TOTAL  (MMBTU)]],-11,0))))</f>
        <v>729336.0790222541</v>
      </c>
      <c r="Z43"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760832.45113801002</v>
      </c>
      <c r="AA43"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720788.63792022003</v>
      </c>
      <c r="AB43"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680744.82470242993</v>
      </c>
      <c r="AC43"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40043.813217789982</v>
      </c>
      <c r="AD43"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80087.626435579965</v>
      </c>
      <c r="AE43"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120131.43965337006</v>
      </c>
      <c r="AF43" s="35"/>
      <c r="AG43" s="35"/>
      <c r="AH43" s="35"/>
      <c r="AI43" s="35"/>
      <c r="AJ43" s="35"/>
      <c r="AK43" s="35"/>
      <c r="AL43" s="35"/>
      <c r="AM43" s="35"/>
      <c r="AN43" s="35"/>
    </row>
    <row r="44" spans="1:40" x14ac:dyDescent="0.25">
      <c r="A44" s="42">
        <v>39965</v>
      </c>
      <c r="B44" s="35">
        <v>4708978</v>
      </c>
      <c r="C44" s="35">
        <v>48203.104832628</v>
      </c>
      <c r="D44" s="35">
        <v>105590</v>
      </c>
      <c r="E44" s="35">
        <v>10559</v>
      </c>
      <c r="F44" s="35">
        <v>206772.4</v>
      </c>
      <c r="G44" s="35">
        <v>13</v>
      </c>
      <c r="H44" s="35">
        <v>316</v>
      </c>
      <c r="I44" s="37">
        <v>2009</v>
      </c>
      <c r="J44" s="35">
        <f>DetailTable6[Electricity (MMBTU)]+DetailTable6[Natural Gas (MMBTU)]</f>
        <v>58762.104832628</v>
      </c>
      <c r="K44" s="35">
        <v>2007</v>
      </c>
      <c r="L44" s="35">
        <v>2007</v>
      </c>
      <c r="M44" s="35">
        <v>2009</v>
      </c>
      <c r="N44"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4" s="36">
        <f>(0.070110579228 * DetailTable6[Production]) + (31.403056165309 * DetailTable6[CDD]) + 32028.73</f>
        <v>56449.028480601351</v>
      </c>
      <c r="P44" s="36">
        <f>(0.092469133403 * DetailTable6[Production]) + (7.498311362437 * DetailTable6[HDD]) + -7722.27</f>
        <v>11495.272687370158</v>
      </c>
      <c r="Q44" s="36">
        <f>DetailTable6[Modeled Electricity (MMBTU)]+DetailTable6[Modeled Natural Gas (MMBTU)]</f>
        <v>67944.301167971513</v>
      </c>
      <c r="R44"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-105973.07784453832</v>
      </c>
      <c r="S44" s="36">
        <f ca="1">IF(DetailTable6[Period]=DetailTable6[Model Year],"",DetailTable6[CUSUMHidden])</f>
        <v>-105973.07784453832</v>
      </c>
      <c r="T44"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8245.9236479733518</v>
      </c>
      <c r="U44"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936.27268737015766</v>
      </c>
      <c r="V44" s="47">
        <f ca="1">IF(DetailTable6[Period]&lt;=DetailTable6[Model Year],"N/A",SUM(DetailTable6[[#This Row],[Total Modeled Energy Consumption (MMBTU)]]:OFFSET(DetailTable6[[#This Row],[Total Modeled Energy Consumption (MMBTU)]],-11,0))-SUM(DetailTable6[[#This Row],[TOTAL  (MMBTU)]]:OFFSET(DetailTable6[[#This Row],[TOTAL  (MMBTU)]],-11,0)))</f>
        <v>67611.808917764807</v>
      </c>
      <c r="W44"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0.91554059024175161</v>
      </c>
      <c r="X44"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67611.808917764807</v>
      </c>
      <c r="Y44" s="47">
        <f ca="1">IF(DetailTable6[Period]&lt;DetailTable6[Model Year],"N/A",IF((AND(DetailTable6[Period]=DetailTable6[Model Year],DetailTable6[Period] =OFFSET(DetailTable6[[#This Row],[Period]],1,0))),"N/A",SUM(DetailTable6[[#This Row],[TOTAL  (MMBTU)]]:OFFSET(DetailTable6[[#This Row],[TOTAL  (MMBTU)]],-11,0))))</f>
        <v>732912.47974696616</v>
      </c>
      <c r="Z44"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760498.07423149433</v>
      </c>
      <c r="AA44"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720471.85979825794</v>
      </c>
      <c r="AB44"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680445.64536502131</v>
      </c>
      <c r="AC44"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40026.21443323663</v>
      </c>
      <c r="AD44"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80052.428866473027</v>
      </c>
      <c r="AE44"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120078.64329970966</v>
      </c>
      <c r="AF44" s="35"/>
      <c r="AG44" s="35"/>
      <c r="AH44" s="35"/>
      <c r="AI44" s="35"/>
      <c r="AJ44" s="35"/>
      <c r="AK44" s="35"/>
      <c r="AL44" s="35"/>
      <c r="AM44" s="35"/>
      <c r="AN44" s="35"/>
    </row>
    <row r="45" spans="1:40" x14ac:dyDescent="0.25">
      <c r="A45" s="42">
        <v>39995</v>
      </c>
      <c r="B45" s="35">
        <v>5193809</v>
      </c>
      <c r="C45" s="35">
        <v>53166.041486634</v>
      </c>
      <c r="D45" s="35">
        <v>112910</v>
      </c>
      <c r="E45" s="35">
        <v>11291</v>
      </c>
      <c r="F45" s="35">
        <v>236312</v>
      </c>
      <c r="G45" s="35">
        <v>0</v>
      </c>
      <c r="H45" s="35">
        <v>377</v>
      </c>
      <c r="I45" s="37">
        <v>2009</v>
      </c>
      <c r="J45" s="35">
        <f>DetailTable6[Electricity (MMBTU)]+DetailTable6[Natural Gas (MMBTU)]</f>
        <v>64457.041486634</v>
      </c>
      <c r="K45" s="35">
        <v>2007</v>
      </c>
      <c r="L45" s="35">
        <v>2007</v>
      </c>
      <c r="M45" s="35">
        <v>2009</v>
      </c>
      <c r="N45"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5" s="36">
        <f>(0.070110579228 * DetailTable6[Production]) + (31.403056165309 * DetailTable6[CDD]) + 32028.73</f>
        <v>60435.653372848625</v>
      </c>
      <c r="P45" s="36">
        <f>(0.092469133403 * DetailTable6[Production]) + (7.498311362437 * DetailTable6[HDD]) + -7722.27</f>
        <v>14129.295852729738</v>
      </c>
      <c r="Q45" s="36">
        <f>DetailTable6[Modeled Electricity (MMBTU)]+DetailTable6[Modeled Natural Gas (MMBTU)]</f>
        <v>74564.94922557837</v>
      </c>
      <c r="R45"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-116080.98558348269</v>
      </c>
      <c r="S45" s="36">
        <f ca="1">IF(DetailTable6[Period]=DetailTable6[Model Year],"",DetailTable6[CUSUMHidden])</f>
        <v>-116080.98558348269</v>
      </c>
      <c r="T45"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7269.611886214625</v>
      </c>
      <c r="U45"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2838.2958527297378</v>
      </c>
      <c r="V45" s="47">
        <f ca="1">IF(DetailTable6[Period]&lt;=DetailTable6[Model Year],"N/A",SUM(DetailTable6[[#This Row],[Total Modeled Energy Consumption (MMBTU)]]:OFFSET(DetailTable6[[#This Row],[Total Modeled Energy Consumption (MMBTU)]],-11,0))-SUM(DetailTable6[[#This Row],[TOTAL  (MMBTU)]]:OFFSET(DetailTable6[[#This Row],[TOTAL  (MMBTU)]],-11,0)))</f>
        <v>70388.788531794562</v>
      </c>
      <c r="W45"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0.91301322832773013</v>
      </c>
      <c r="X45"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70388.788531794562</v>
      </c>
      <c r="Y45" s="47">
        <f ca="1">IF(DetailTable6[Period]&lt;DetailTable6[Model Year],"N/A",IF((AND(DetailTable6[Period]=DetailTable6[Model Year],DetailTable6[Period] =OFFSET(DetailTable6[[#This Row],[Period]],1,0))),"N/A",SUM(DetailTable6[[#This Row],[TOTAL  (MMBTU)]]:OFFSET(DetailTable6[[#This Row],[TOTAL  (MMBTU)]],-11,0))))</f>
        <v>738800.78338369611</v>
      </c>
      <c r="Z45"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768730.09331971605</v>
      </c>
      <c r="AA45"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728270.61472394166</v>
      </c>
      <c r="AB45"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687811.13612816704</v>
      </c>
      <c r="AC45"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40459.478595774621</v>
      </c>
      <c r="AD45"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80918.957191549009</v>
      </c>
      <c r="AE45"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121378.43578732363</v>
      </c>
      <c r="AF45" s="35"/>
      <c r="AG45" s="35"/>
      <c r="AH45" s="35"/>
      <c r="AI45" s="35"/>
      <c r="AJ45" s="35"/>
      <c r="AK45" s="35"/>
      <c r="AL45" s="35"/>
      <c r="AM45" s="35"/>
      <c r="AN45" s="35"/>
    </row>
    <row r="46" spans="1:40" x14ac:dyDescent="0.25">
      <c r="A46" s="42">
        <v>40026</v>
      </c>
      <c r="B46" s="35">
        <v>5373164</v>
      </c>
      <c r="C46" s="35">
        <v>55001.995671864002</v>
      </c>
      <c r="D46" s="35">
        <v>113730</v>
      </c>
      <c r="E46" s="35">
        <v>11373</v>
      </c>
      <c r="F46" s="35">
        <v>234273.9</v>
      </c>
      <c r="G46" s="35">
        <v>3</v>
      </c>
      <c r="H46" s="35">
        <v>394</v>
      </c>
      <c r="I46" s="37">
        <v>2009</v>
      </c>
      <c r="J46" s="35">
        <f>DetailTable6[Electricity (MMBTU)]+DetailTable6[Natural Gas (MMBTU)]</f>
        <v>66374.995671864002</v>
      </c>
      <c r="K46" s="35">
        <v>2007</v>
      </c>
      <c r="L46" s="35">
        <v>2007</v>
      </c>
      <c r="M46" s="35">
        <v>2009</v>
      </c>
      <c r="N46"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6" s="36">
        <f>(0.070110579228 * DetailTable6[Production]) + (31.403056165309 * DetailTable6[CDD]) + 32028.73</f>
        <v>60826.612956134297</v>
      </c>
      <c r="P46" s="36">
        <f>(0.092469133403 * DetailTable6[Production]) + (7.498311362437 * DetailTable6[HDD]) + -7722.27</f>
        <v>13963.329446028391</v>
      </c>
      <c r="Q46" s="36">
        <f>DetailTable6[Modeled Electricity (MMBTU)]+DetailTable6[Modeled Natural Gas (MMBTU)]</f>
        <v>74789.942402162691</v>
      </c>
      <c r="R46"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-124495.93231378138</v>
      </c>
      <c r="S46" s="36">
        <f ca="1">IF(DetailTable6[Period]=DetailTable6[Model Year],"",DetailTable6[CUSUMHidden])</f>
        <v>-124495.93231378138</v>
      </c>
      <c r="T46"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5824.6172842702945</v>
      </c>
      <c r="U46"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2590.3294460283905</v>
      </c>
      <c r="V46" s="47">
        <f ca="1">IF(DetailTable6[Period]&lt;=DetailTable6[Model Year],"N/A",SUM(DetailTable6[[#This Row],[Total Modeled Energy Consumption (MMBTU)]]:OFFSET(DetailTable6[[#This Row],[Total Modeled Energy Consumption (MMBTU)]],-11,0))-SUM(DetailTable6[[#This Row],[TOTAL  (MMBTU)]]:OFFSET(DetailTable6[[#This Row],[TOTAL  (MMBTU)]],-11,0)))</f>
        <v>71702.162786862929</v>
      </c>
      <c r="W46"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0.91212987531038103</v>
      </c>
      <c r="X46"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71702.162786862929</v>
      </c>
      <c r="Y46" s="47">
        <f ca="1">IF(DetailTable6[Period]&lt;DetailTable6[Model Year],"N/A",IF((AND(DetailTable6[Period]=DetailTable6[Model Year],DetailTable6[Period] =OFFSET(DetailTable6[[#This Row],[Period]],1,0))),"N/A",SUM(DetailTable6[[#This Row],[TOTAL  (MMBTU)]]:OFFSET(DetailTable6[[#This Row],[TOTAL  (MMBTU)]],-11,0))))</f>
        <v>744299.44231082394</v>
      </c>
      <c r="Z46"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775201.52484280244</v>
      </c>
      <c r="AA46"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734401.44458791823</v>
      </c>
      <c r="AB46"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693601.36433303379</v>
      </c>
      <c r="AC46"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40800.080254884437</v>
      </c>
      <c r="AD46"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81600.160509768641</v>
      </c>
      <c r="AE46"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122400.24076465308</v>
      </c>
      <c r="AF46" s="35"/>
      <c r="AG46" s="35"/>
      <c r="AH46" s="35"/>
      <c r="AI46" s="35"/>
      <c r="AJ46" s="35"/>
      <c r="AK46" s="35"/>
      <c r="AL46" s="35"/>
      <c r="AM46" s="35"/>
      <c r="AN46" s="35"/>
    </row>
    <row r="47" spans="1:40" x14ac:dyDescent="0.25">
      <c r="A47" s="42">
        <v>40057</v>
      </c>
      <c r="B47" s="35">
        <v>5156702</v>
      </c>
      <c r="C47" s="35">
        <v>52786.198427052004</v>
      </c>
      <c r="D47" s="35">
        <v>118570</v>
      </c>
      <c r="E47" s="35">
        <v>11857</v>
      </c>
      <c r="F47" s="35">
        <v>240883</v>
      </c>
      <c r="G47" s="35">
        <v>159</v>
      </c>
      <c r="H47" s="35">
        <v>371</v>
      </c>
      <c r="I47" s="37">
        <v>2009</v>
      </c>
      <c r="J47" s="35">
        <f>DetailTable6[Electricity (MMBTU)]+DetailTable6[Natural Gas (MMBTU)]</f>
        <v>64643.198427052004</v>
      </c>
      <c r="K47" s="35">
        <v>2007</v>
      </c>
      <c r="L47" s="35">
        <v>2007</v>
      </c>
      <c r="M47" s="35">
        <v>2009</v>
      </c>
      <c r="N47"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7" s="36">
        <f>(0.070110579228 * DetailTable6[Production]) + (31.403056165309 * DetailTable6[CDD]) + 32028.73</f>
        <v>60567.710493507955</v>
      </c>
      <c r="P47" s="36">
        <f>(0.092469133403 * DetailTable6[Production]) + (7.498311362437 * DetailTable6[HDD]) + -7722.27</f>
        <v>15744.203768142332</v>
      </c>
      <c r="Q47" s="36">
        <f>DetailTable6[Modeled Electricity (MMBTU)]+DetailTable6[Modeled Natural Gas (MMBTU)]</f>
        <v>76311.914261650294</v>
      </c>
      <c r="R47"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-136164.64814837967</v>
      </c>
      <c r="S47" s="36">
        <f ca="1">IF(DetailTable6[Period]=DetailTable6[Model Year],"",DetailTable6[CUSUMHidden])</f>
        <v>-136164.64814837967</v>
      </c>
      <c r="T47"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7781.5120664559508</v>
      </c>
      <c r="U47"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3887.2037681423317</v>
      </c>
      <c r="V47" s="47">
        <f ca="1">IF(DetailTable6[Period]&lt;=DetailTable6[Model Year],"N/A",SUM(DetailTable6[[#This Row],[Total Modeled Energy Consumption (MMBTU)]]:OFFSET(DetailTable6[[#This Row],[Total Modeled Energy Consumption (MMBTU)]],-11,0))-SUM(DetailTable6[[#This Row],[TOTAL  (MMBTU)]]:OFFSET(DetailTable6[[#This Row],[TOTAL  (MMBTU)]],-11,0)))</f>
        <v>79459.581127338461</v>
      </c>
      <c r="W47"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0.90410617811562044</v>
      </c>
      <c r="X47"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79459.581127338461</v>
      </c>
      <c r="Y47" s="47">
        <f ca="1">IF(DetailTable6[Period]&lt;DetailTable6[Model Year],"N/A",IF((AND(DetailTable6[Period]=DetailTable6[Model Year],DetailTable6[Period] =OFFSET(DetailTable6[[#This Row],[Period]],1,0))),"N/A",SUM(DetailTable6[[#This Row],[TOTAL  (MMBTU)]]:OFFSET(DetailTable6[[#This Row],[TOTAL  (MMBTU)]],-11,0))))</f>
        <v>749160.86141945992</v>
      </c>
      <c r="Z47"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787189.42041945842</v>
      </c>
      <c r="AA47"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745758.39829211857</v>
      </c>
      <c r="AB47"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704327.3761647786</v>
      </c>
      <c r="AC47"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41431.022127339966</v>
      </c>
      <c r="AD47"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82862.044254679815</v>
      </c>
      <c r="AE47"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124293.06638201978</v>
      </c>
      <c r="AF47" s="35"/>
      <c r="AG47" s="35"/>
      <c r="AH47" s="35"/>
      <c r="AI47" s="35"/>
      <c r="AJ47" s="35"/>
      <c r="AK47" s="35"/>
      <c r="AL47" s="35"/>
      <c r="AM47" s="35"/>
      <c r="AN47" s="35"/>
    </row>
    <row r="48" spans="1:40" x14ac:dyDescent="0.25">
      <c r="A48" s="42">
        <v>40087</v>
      </c>
      <c r="B48" s="35">
        <v>5129761</v>
      </c>
      <c r="C48" s="35">
        <v>52510.418874185998</v>
      </c>
      <c r="D48" s="35">
        <v>153810</v>
      </c>
      <c r="E48" s="35">
        <v>15381</v>
      </c>
      <c r="F48" s="35">
        <v>253572</v>
      </c>
      <c r="G48" s="35">
        <v>374</v>
      </c>
      <c r="H48" s="35">
        <v>82</v>
      </c>
      <c r="I48" s="37">
        <v>2009</v>
      </c>
      <c r="J48" s="35">
        <f>DetailTable6[Electricity (MMBTU)]+DetailTable6[Natural Gas (MMBTU)]</f>
        <v>67891.418874185998</v>
      </c>
      <c r="K48" s="35">
        <v>2007</v>
      </c>
      <c r="L48" s="35">
        <v>2007</v>
      </c>
      <c r="M48" s="35">
        <v>2009</v>
      </c>
      <c r="N48"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8" s="36">
        <f>(0.070110579228 * DetailTable6[Production]) + (31.403056165309 * DetailTable6[CDD]) + 32028.73</f>
        <v>52381.860401557758</v>
      </c>
      <c r="P48" s="36">
        <f>(0.092469133403 * DetailTable6[Production]) + (7.498311362437 * DetailTable6[HDD]) + -7722.27</f>
        <v>18529.681544816955</v>
      </c>
      <c r="Q48" s="36">
        <f>DetailTable6[Modeled Electricity (MMBTU)]+DetailTable6[Modeled Natural Gas (MMBTU)]</f>
        <v>70911.541946374709</v>
      </c>
      <c r="R48"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-139184.77122056839</v>
      </c>
      <c r="S48" s="36">
        <f ca="1">IF(DetailTable6[Period]=DetailTable6[Model Year],"",DetailTable6[CUSUMHidden])</f>
        <v>-139184.77122056839</v>
      </c>
      <c r="T48"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-128.55847262823954</v>
      </c>
      <c r="U48"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3148.6815448169546</v>
      </c>
      <c r="V48" s="47">
        <f ca="1">IF(DetailTable6[Period]&lt;=DetailTable6[Model Year],"N/A",SUM(DetailTable6[[#This Row],[Total Modeled Energy Consumption (MMBTU)]]:OFFSET(DetailTable6[[#This Row],[Total Modeled Energy Consumption (MMBTU)]],-11,0))-SUM(DetailTable6[[#This Row],[TOTAL  (MMBTU)]]:OFFSET(DetailTable6[[#This Row],[TOTAL  (MMBTU)]],-11,0)))</f>
        <v>78077.707031594473</v>
      </c>
      <c r="W48"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0.90570466606968991</v>
      </c>
      <c r="X48"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78077.707031594473</v>
      </c>
      <c r="Y48" s="47">
        <f ca="1">IF(DetailTable6[Period]&lt;DetailTable6[Model Year],"N/A",IF((AND(DetailTable6[Period]=DetailTable6[Model Year],DetailTable6[Period] =OFFSET(DetailTable6[[#This Row],[Period]],1,0))),"N/A",SUM(DetailTable6[[#This Row],[TOTAL  (MMBTU)]]:OFFSET(DetailTable6[[#This Row],[TOTAL  (MMBTU)]],-11,0))))</f>
        <v>749934.70649141807</v>
      </c>
      <c r="Z48"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786611.79284686188</v>
      </c>
      <c r="AA48"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745211.17217071133</v>
      </c>
      <c r="AB48"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703810.55149456067</v>
      </c>
      <c r="AC48"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41400.620676150662</v>
      </c>
      <c r="AD48"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82801.241352301207</v>
      </c>
      <c r="AE48"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124201.86202845187</v>
      </c>
      <c r="AF48" s="35"/>
      <c r="AG48" s="35"/>
      <c r="AH48" s="35"/>
      <c r="AI48" s="35"/>
      <c r="AJ48" s="35"/>
      <c r="AK48" s="35"/>
      <c r="AL48" s="35"/>
      <c r="AM48" s="35"/>
      <c r="AN48" s="35"/>
    </row>
    <row r="49" spans="1:40" x14ac:dyDescent="0.25">
      <c r="A49" s="42">
        <v>40118</v>
      </c>
      <c r="B49" s="35">
        <v>4585918</v>
      </c>
      <c r="C49" s="35">
        <v>46943.410249068002</v>
      </c>
      <c r="D49" s="35">
        <v>176900</v>
      </c>
      <c r="E49" s="35">
        <v>17690</v>
      </c>
      <c r="F49" s="35">
        <v>210502</v>
      </c>
      <c r="G49" s="35">
        <v>884</v>
      </c>
      <c r="H49" s="35">
        <v>0</v>
      </c>
      <c r="I49" s="37">
        <v>2009</v>
      </c>
      <c r="J49" s="35">
        <f>DetailTable6[Electricity (MMBTU)]+DetailTable6[Natural Gas (MMBTU)]</f>
        <v>64633.410249068002</v>
      </c>
      <c r="K49" s="35">
        <v>2007</v>
      </c>
      <c r="L49" s="35">
        <v>2007</v>
      </c>
      <c r="M49" s="35">
        <v>2009</v>
      </c>
      <c r="N49"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49" s="36">
        <f>(0.070110579228 * DetailTable6[Production]) + (31.403056165309 * DetailTable6[CDD]) + 32028.73</f>
        <v>46787.147148652453</v>
      </c>
      <c r="P49" s="36">
        <f>(0.092469133403 * DetailTable6[Production]) + (7.498311362437 * DetailTable6[HDD]) + -7722.27</f>
        <v>18371.174763992614</v>
      </c>
      <c r="Q49" s="36">
        <f>DetailTable6[Modeled Electricity (MMBTU)]+DetailTable6[Modeled Natural Gas (MMBTU)]</f>
        <v>65158.321912645071</v>
      </c>
      <c r="R49"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-139709.68288414547</v>
      </c>
      <c r="S49" s="36">
        <f ca="1">IF(DetailTable6[Period]=DetailTable6[Model Year],"",DetailTable6[CUSUMHidden])</f>
        <v>-139709.68288414547</v>
      </c>
      <c r="T49"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-156.26310041554825</v>
      </c>
      <c r="U49"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681.17476399261432</v>
      </c>
      <c r="V49" s="47">
        <f ca="1">IF(DetailTable6[Period]&lt;=DetailTable6[Model Year],"N/A",SUM(DetailTable6[[#This Row],[Total Modeled Energy Consumption (MMBTU)]]:OFFSET(DetailTable6[[#This Row],[Total Modeled Energy Consumption (MMBTU)]],-11,0))-SUM(DetailTable6[[#This Row],[TOTAL  (MMBTU)]]:OFFSET(DetailTable6[[#This Row],[TOTAL  (MMBTU)]],-11,0)))</f>
        <v>76710.296592610073</v>
      </c>
      <c r="W49"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0.90748114012238335</v>
      </c>
      <c r="X49"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76710.296592610073</v>
      </c>
      <c r="Y49" s="47">
        <f ca="1">IF(DetailTable6[Period]&lt;DetailTable6[Model Year],"N/A",IF((AND(DetailTable6[Period]=DetailTable6[Model Year],DetailTable6[Period] =OFFSET(DetailTable6[[#This Row],[Period]],1,0))),"N/A",SUM(DetailTable6[[#This Row],[TOTAL  (MMBTU)]]:OFFSET(DetailTable6[[#This Row],[TOTAL  (MMBTU)]],-11,0))))</f>
        <v>752421.15502797801</v>
      </c>
      <c r="Z49"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787674.87903955858</v>
      </c>
      <c r="AA49"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746218.30645852932</v>
      </c>
      <c r="AB49"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704761.73387749982</v>
      </c>
      <c r="AC49"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41456.572581029497</v>
      </c>
      <c r="AD49"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82913.145162058761</v>
      </c>
      <c r="AE49"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124369.71774308826</v>
      </c>
      <c r="AF49" s="35"/>
      <c r="AG49" s="35"/>
      <c r="AH49" s="35"/>
      <c r="AI49" s="35"/>
      <c r="AJ49" s="35"/>
      <c r="AK49" s="35"/>
      <c r="AL49" s="35"/>
      <c r="AM49" s="35"/>
      <c r="AN49" s="35"/>
    </row>
    <row r="50" spans="1:40" x14ac:dyDescent="0.25">
      <c r="A50" s="42">
        <v>40148</v>
      </c>
      <c r="B50" s="35">
        <v>4192774</v>
      </c>
      <c r="C50" s="35">
        <v>42919.020785724002</v>
      </c>
      <c r="D50" s="35">
        <v>190570</v>
      </c>
      <c r="E50" s="35">
        <v>19057</v>
      </c>
      <c r="F50" s="35">
        <v>193889</v>
      </c>
      <c r="G50" s="35">
        <v>1499</v>
      </c>
      <c r="H50" s="35">
        <v>0</v>
      </c>
      <c r="I50" s="37">
        <v>2009</v>
      </c>
      <c r="J50" s="35">
        <f>DetailTable6[Electricity (MMBTU)]+DetailTable6[Natural Gas (MMBTU)]</f>
        <v>61976.020785724002</v>
      </c>
      <c r="K50" s="35">
        <v>2007</v>
      </c>
      <c r="L50" s="35">
        <v>2007</v>
      </c>
      <c r="M50" s="35">
        <v>2009</v>
      </c>
      <c r="N50" s="35" t="str">
        <f>IF(DetailTable6[Baseline Year]=DetailTable6[Model Year],IF(DetailTable6[Period]=DetailTable6[Model Year],"Model Year","Forecast"),IF(DetailTable6[Period]=DetailTable6[Model Year],"Model Year",IF(DetailTable6[Last Year]=DetailTable6[Model Year],"Backcast",IF(DetailTable6[Baseline Year]=DetailTable6[Model Year],"Forecast","Chaining"))))</f>
        <v>Forecast</v>
      </c>
      <c r="O50" s="36">
        <f>(0.070110579228 * DetailTable6[Production]) + (31.403056165309 * DetailTable6[CDD]) + 32028.73</f>
        <v>45622.400095937694</v>
      </c>
      <c r="P50" s="36">
        <f>(0.092469133403 * DetailTable6[Production]) + (7.498311362437 * DetailTable6[HDD]) + -7722.27</f>
        <v>21446.446538667329</v>
      </c>
      <c r="Q50" s="36">
        <f>DetailTable6[Modeled Electricity (MMBTU)]+DetailTable6[Modeled Natural Gas (MMBTU)]</f>
        <v>67068.846634605026</v>
      </c>
      <c r="R50" s="36">
        <f ca="1">IF(DetailTable6[Period]=DetailTable6[Model Year],IF(ISNUMBER(OFFSET(INDIRECT(ADDRESS(ROW(),COLUMN())),-1,0,1,1))=TRUE,OFFSET(INDIRECT(ADDRESS(ROW(),COLUMN())),-1,0,1,1),0),DetailTable6[TOTAL  (MMBTU)]-DetailTable6[Total Modeled Energy Consumption (MMBTU)]+IF(ISNUMBER(OFFSET(INDIRECT(ADDRESS(ROW(),COLUMN())),-1,0,1,1))=TRUE,OFFSET(INDIRECT(ADDRESS(ROW(),COLUMN())),-1,0,1,1),0))</f>
        <v>-144802.50873302651</v>
      </c>
      <c r="S50" s="36">
        <f ca="1">IF(DetailTable6[Period]=DetailTable6[Model Year],"",DetailTable6[CUSUMHidden])</f>
        <v>-144802.50873302651</v>
      </c>
      <c r="T50" s="36">
        <f ca="1">IF(DetailTable6[Baseline Year]=DetailTable6[Model Year],DetailTable6[Modeled Electricity (MMBTU)]-DetailTable6[Electricity (MMBTU)],IF(DetailTable6[Period]=DetailTable6[Model Year],IFERROR((OFFSET(INDIRECT(ADDRESS(ROW(),COLUMN())),-1,0,1,1)+((OFFSET(INDIRECT(ADDRESS(ROW(),COLUMN(DetailTable6[Electricity (MMBTU)]))),-1,0,1,1)-OFFSET(INDIRECT(ADDRESS(ROW(),COLUMN(DetailTable6[Modeled Electricity (MMBTU)]))),-1,0,1,1))-(DetailTable6[Electricity (MMBTU)]-DetailTable6[Modeled Electricity (MMBTU)]))),0),IF(DetailTable6[Last Year]=DetailTable6[Model Year],IFERROR((OFFSET(INDIRECT(ADDRESS(ROW(),COLUMN())),-1,0,1,1)+((OFFSET(INDIRECT(ADDRESS(ROW(),COLUMN(DetailTable6[Electricity (MMBTU)]))),-1,0,1,1)-OFFSET(INDIRECT(ADDRESS(ROW(),COLUMN(DetailTable6[Modeled Electricity (MMBTU)]))),-1,0,1,1))-(DetailTable6[Electricity (MMBTU)]-DetailTable6[Modeled Electricity (MMBTU)]))),0),IF(DetailTable6[Baseline Year]=DetailTable6[Model Year],DetailTable6[Modeled Electricity (MMBTU)]-DetailTable6[Electricity (MMBTU)],IF(DetailTable6[Period]&lt;DetailTable6[Model Year],IFERROR((OFFSET(INDIRECT(ADDRESS(ROW(),COLUMN())),-1,0,1,1)+((OFFSET(INDIRECT(ADDRESS(ROW(),COLUMN(DetailTable6[Electricity (MMBTU)]))),-1,0,1,1)-OFFSET(INDIRECT(ADDRESS(ROW(),COLUMN(DetailTable6[Modeled Electricity (MMBTU)]))),-1,0,1,1))-(DetailTable6[Electricity (MMBTU)]-DetailTable6[Modeled Electricity (MMBTU)]))),0),DetailTable6[Modeled Electricity (MMBTU)] - DetailTable6[Electricity (MMBTU)])))))</f>
        <v>2703.3793102136915</v>
      </c>
      <c r="U50" s="36">
        <f ca="1">IF(DetailTable6[Baseline Year]=DetailTable6[Model Year],DetailTable6[Modeled Natural Gas (MMBTU)]-DetailTable6[Natural Gas (MMBTU)],IF(DetailTable6[Period]=DetailTable6[Model Year],IFERROR((OFFSET(INDIRECT(ADDRESS(ROW(),COLUMN())),-1,0,1,1)+((OFFSET(INDIRECT(ADDRESS(ROW(),COLUMN(DetailTable6[Natural Gas (MMBTU)]))),-1,0,1,1)-OFFSET(INDIRECT(ADDRESS(ROW(),COLUMN(DetailTable6[Modeled Natural Gas (MMBTU)]))),-1,0,1,1))-(DetailTable6[Natural Gas (MMBTU)]-DetailTable6[Modeled Natural Gas (MMBTU)]))),0),IF(DetailTable6[Last Year]=DetailTable6[Model Year],IFERROR((OFFSET(INDIRECT(ADDRESS(ROW(),COLUMN())),-1,0,1,1)+((OFFSET(INDIRECT(ADDRESS(ROW(),COLUMN(DetailTable6[Natural Gas (MMBTU)]))),-1,0,1,1)-OFFSET(INDIRECT(ADDRESS(ROW(),COLUMN(DetailTable6[Modeled Natural Gas (MMBTU)]))),-1,0,1,1))-(DetailTable6[Natural Gas (MMBTU)]-DetailTable6[Modeled Natural Gas (MMBTU)]))),0),IF(DetailTable6[Baseline Year]=DetailTable6[Model Year],DetailTable6[Modeled Natural Gas (MMBTU)]-DetailTable6[Natural Gas (MMBTU)],IF(DetailTable6[Period]&lt;DetailTable6[Model Year],IFERROR((OFFSET(INDIRECT(ADDRESS(ROW(),COLUMN())),-1,0,1,1)+((OFFSET(INDIRECT(ADDRESS(ROW(),COLUMN(DetailTable6[Natural Gas (MMBTU)]))),-1,0,1,1)-OFFSET(INDIRECT(ADDRESS(ROW(),COLUMN(DetailTable6[Modeled Natural Gas (MMBTU)]))),-1,0,1,1))-(DetailTable6[Natural Gas (MMBTU)]-DetailTable6[Modeled Natural Gas (MMBTU)]))),0),DetailTable6[Modeled Natural Gas (MMBTU)] - DetailTable6[Natural Gas (MMBTU)])))))</f>
        <v>2389.4465386673292</v>
      </c>
      <c r="V50" s="47">
        <f ca="1">IF(DetailTable6[Period]&lt;=DetailTable6[Model Year],"N/A",SUM(DetailTable6[[#This Row],[Total Modeled Energy Consumption (MMBTU)]]:OFFSET(DetailTable6[[#This Row],[Total Modeled Energy Consumption (MMBTU)]],-11,0))-SUM(DetailTable6[[#This Row],[TOTAL  (MMBTU)]]:OFFSET(DetailTable6[[#This Row],[TOTAL  (MMBTU)]],-11,0)))</f>
        <v>78582.742840045947</v>
      </c>
      <c r="W50" s="49">
        <f ca="1">IF(DetailTable6[Period]&lt;DetailTable6[Model Year],"N/A",IF((AND(DetailTable6[Period]=DetailTable6[Model Year],DetailTable6[Period] =OFFSET(DetailTable6[[#This Row],[Period]],1,0))),"N/A",IF((DetailTable6[Adjustment Method]="Forecast"),SUM(DetailTable6[[#This Row],[TOTAL  (MMBTU)]]:OFFSET(DetailTable6[[#This Row],[TOTAL  (MMBTU)]],-11,0))/SUM(DetailTable6[[#This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(MMBTU)]],-11,0))*SUMIF(DetailTable6[Period],"2007",DetailTable6[Total Modeled Energy Consumption (MMBTU)])/SUMIF(DetailTable6[Period],"2007",DetailTable6[TOTAL  (MMBTU)]))))</f>
        <v>0.90496617057272588</v>
      </c>
      <c r="X50" s="47">
        <f ca="1">IF(DetailTable6[Period]&lt;=DetailTable6[Model Year],"N/A",IF((DetailTable6[Adjustment Method]="Forecast"),SUM(DetailTable6[[#This Row],[Total Modeled Energy Consumption (MMBTU)]]:OFFSET(DetailTable6[[#This Row],[Total Modeled Energy Consumption (MMBTU)]],-11,0))-SUM(DetailTable6[[#This Row],[TOTAL  (MMBTU)]]:OFFSET(DetailTable6[[#This Row],[TOTAL  (MMBTU)]],-11,0)),SUM(DetailTable6[[#This Row],[Total Modeled Energy Consumption (MMBTU)]]:OFFSET(DetailTable6[[#This Row],[Total Modeled Energy Consumption (MMBTU)]],-11,0))-SUM(DetailTable6[[#This Row],[TOTAL  (MMBTU)]]:OFFSET(DetailTable6[[#This Row],[TOTAL  (MMBTU)]],-11,0))+SUMIF(DetailTable6[Period],"2007",DetailTable6[TOTAL  (MMBTU)])-SUMIF(DetailTable6[Period],"2007",DetailTable6[Total Modeled Energy Consumption (MMBTU)])))</f>
        <v>78582.742840045947</v>
      </c>
      <c r="Y50" s="47">
        <f ca="1">IF(DetailTable6[Period]&lt;DetailTable6[Model Year],"N/A",IF((AND(DetailTable6[Period]=DetailTable6[Model Year],DetailTable6[Period] =OFFSET(DetailTable6[[#This Row],[Period]],1,0))),"N/A",SUM(DetailTable6[[#This Row],[TOTAL  (MMBTU)]]:OFFSET(DetailTable6[[#This Row],[TOTAL  (MMBTU)]],-11,0))))</f>
        <v>748309.56817834207</v>
      </c>
      <c r="Z50" s="47">
        <f ca="1">IF(DetailTable6[Period]&lt;DetailTable6[Model Year],"N/A",IF((AND(DetailTable6[Period]=DetailTable6[Model Year],DetailTable6[Period] =OFFSET(DetailTable6[[#This Row],[Period]],1,0))),"N/A",IF((DetailTable6[Adjustment Method]="Forecast"),(1-0.05)*SUM(DetailTable6[[#This Row],[Total Modeled Energy Consumption (MMBTU)]]:OFFSET(DetailTable6[[#This Row],[Total Modeled Energy Consumption (MMBTU)]],-11,0)),(1-0.05)*SUM(DetailTable6[[#This Row],[Total Modeled Energy Consumption (MMBTU)]]:OFFSET(DetailTable6[[#This Row],[Total Modeled Energy Consumption (MMBTU)]],-11,0))*SUMIF(DetailTable6[Period],"2007",DetailTable6[TOTAL  (MMBTU)])/SUMIF(DetailTable6[Period],"2007",DetailTable6[Total Modeled Energy Consumption (MMBTU)]))))</f>
        <v>785547.69546746858</v>
      </c>
      <c r="AA50" s="47">
        <f ca="1">IF(DetailTable6[Period]&lt;DetailTable6[Model Year],"N/A",IF((AND(DetailTable6[Period]=DetailTable6[Model Year],DetailTable6[Period] =OFFSET(DetailTable6[[#This Row],[Period]],1,0))),"N/A",IF((DetailTable6[Adjustment Method]="Forecast"),(1-0.1)*SUM(DetailTable6[[#This Row],[Total Modeled Energy Consumption (MMBTU)]]:OFFSET(DetailTable6[[#This Row],[Total Modeled Energy Consumption (MMBTU)]],-11,0)),(1-0.1)*SUM(DetailTable6[[#This Row],[Total Modeled Energy Consumption (MMBTU)]]:OFFSET(DetailTable6[[#This Row],[Total Modeled Energy Consumption (MMBTU)]],-11,0))*SUMIF(DetailTable6[Period],"2007",DetailTable6[TOTAL  (MMBTU)])/SUMIF(DetailTable6[Period],"2007",DetailTable6[Total Modeled Energy Consumption (MMBTU)]))))</f>
        <v>744203.07991654926</v>
      </c>
      <c r="AB50" s="47">
        <f ca="1">IF(DetailTable6[Period]&lt;DetailTable6[Model Year],"N/A",IF((AND(DetailTable6[Period]=DetailTable6[Model Year],DetailTable6[Period] =OFFSET(DetailTable6[[#This Row],[Period]],1,0))),"N/A",IF((DetailTable6[Adjustment Method]="Forecast"),(1-0.15)*SUM(DetailTable6[[#This Row],[Total Modeled Energy Consumption (MMBTU)]]:OFFSET(DetailTable6[[#This Row],[Total Modeled Energy Consumption (MMBTU)]],-11,0)),(1-0.15)*SUM(DetailTable6[[#This Row],[Total Modeled Energy Consumption (MMBTU)]]:OFFSET(DetailTable6[[#This Row],[Total Modeled Energy Consumption (MMBTU)]],-11,0))*SUMIF(DetailTable6[Period],"2007",DetailTable6[TOTAL  (MMBTU)])/SUMIF(DetailTable6[Period],"2007",DetailTable6[Total Modeled Energy Consumption (MMBTU)]))))</f>
        <v>702858.46436562983</v>
      </c>
      <c r="AC50"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5% improvement target],SUM(DetailTable6[[#This Row],[Total Modeled Energy Consumption (MMBTU)]]:OFFSET(DetailTable6[[#This Row],[Total Modeled Energy Consumption (MMBTU)]],-11,0))-DetailTable6[For SEP Only: Trailing Twelve Month Actual Energy Consumption to meet 5% improvement target]+SUMIF(DetailTable6[Period],"2007",DetailTable6[TOTAL  (MMBTU)])/SUMIF(DetailTable6[Period],"2007",DetailTable6[Total Modeled Energy Consumption (MMBTU)])))</f>
        <v>41344.615550919436</v>
      </c>
      <c r="AD50"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10% improvement target],SUM(DetailTable6[[#This Row],[Total Modeled Energy Consumption (MMBTU)]]:OFFSET(DetailTable6[[#This Row],[Total Modeled Energy Consumption (MMBTU)]],-11,0))-DetailTable6[For SEP Only: Trailing Twelve Month Actual Energy Consumption to meet 10% improvement target]+SUMIF(DetailTable6[Period],"2007",DetailTable6[TOTAL  (MMBTU)])/SUMIF(DetailTable6[Period],"2007",DetailTable6[Total Modeled Energy Consumption (MMBTU)])))</f>
        <v>82689.231101838755</v>
      </c>
      <c r="AE50" s="47">
        <f ca="1">IF(DetailTable6[Period]&lt;=DetailTable6[Model Year],"N/A",IF((DetailTable6[Adjustment Method]="Forecast"),SUM(DetailTable6[[#This Row],[Total Modeled Energy Consumption (MMBTU)]]:OFFSET(DetailTable6[[#This Row],[Total Modeled Energy Consumption (MMBTU)]],-11,0))-DetailTable6[For SEP Only: Trailing Twelve Month Actual Energy Consumption to meet 15% improvement target],SUM(DetailTable6[[#This Row],[Total Modeled Energy Consumption (MMBTU)]]:OFFSET(DetailTable6[[#This Row],[Total Modeled Energy Consumption (MMBTU)]],-11,0))-DetailTable6[For SEP Only: Trailing Twelve Month Actual Energy Consumption to meet 15% improvement target]+SUMIF(DetailTable6[Period],"2007",DetailTable6[TOTAL  (MMBTU)])/SUMIF(DetailTable6[Period],"2007",DetailTable6[Total Modeled Energy Consumption (MMBTU)])))</f>
        <v>124033.84665275819</v>
      </c>
      <c r="AF50" s="35"/>
      <c r="AG50" s="35"/>
      <c r="AH50" s="35"/>
      <c r="AI50" s="35"/>
      <c r="AJ50" s="35"/>
      <c r="AK50" s="35"/>
      <c r="AL50" s="35"/>
      <c r="AM50" s="35"/>
      <c r="AN50" s="35"/>
    </row>
    <row r="51" spans="1:40" x14ac:dyDescent="0.25">
      <c r="B51" s="35"/>
      <c r="C51" s="35"/>
      <c r="D51" s="35"/>
      <c r="E51" s="35"/>
      <c r="F51" s="35"/>
      <c r="G51" s="35"/>
      <c r="H51" s="35"/>
      <c r="I51" s="37"/>
      <c r="J51" s="35"/>
      <c r="K51" s="35"/>
      <c r="L51" s="35"/>
      <c r="M51" s="35"/>
      <c r="N51" s="35"/>
      <c r="O51" s="35"/>
      <c r="P51" s="35"/>
      <c r="Q51" s="35"/>
      <c r="R51" s="35"/>
      <c r="S51" s="35"/>
      <c r="T51" s="35"/>
      <c r="U51" s="35"/>
      <c r="V51" s="35"/>
      <c r="W51" s="35"/>
      <c r="X51" s="35"/>
      <c r="Y51" s="35"/>
      <c r="Z51" s="35"/>
      <c r="AA51" s="35"/>
      <c r="AB51" s="35"/>
      <c r="AC51" s="35"/>
      <c r="AD51" s="35"/>
    </row>
    <row r="52" spans="1:40" x14ac:dyDescent="0.25">
      <c r="B52" s="35"/>
      <c r="C52" s="35"/>
      <c r="D52" s="35"/>
      <c r="E52" s="35"/>
      <c r="F52" s="35"/>
      <c r="G52" s="35"/>
      <c r="H52" s="35"/>
      <c r="I52" s="37"/>
      <c r="J52" s="35"/>
      <c r="K52" s="35"/>
      <c r="L52" s="35"/>
      <c r="M52" s="35"/>
      <c r="N52" s="35"/>
      <c r="O52" s="35"/>
      <c r="P52" s="35"/>
      <c r="Q52" s="35"/>
      <c r="R52" s="35"/>
      <c r="S52" s="35"/>
      <c r="T52" s="35"/>
      <c r="U52" s="35"/>
      <c r="V52" s="35"/>
      <c r="W52" s="35"/>
      <c r="X52" s="35"/>
      <c r="Y52" s="35"/>
      <c r="Z52" s="35"/>
      <c r="AA52" s="35"/>
      <c r="AB52" s="35"/>
      <c r="AC52" s="35"/>
      <c r="AD52" s="35"/>
    </row>
    <row r="53" spans="1:40" x14ac:dyDescent="0.25">
      <c r="B53" s="35"/>
      <c r="C53" s="35"/>
      <c r="D53" s="35"/>
      <c r="E53" s="35"/>
      <c r="F53" s="35"/>
      <c r="G53" s="35"/>
      <c r="H53" s="35"/>
      <c r="I53" s="37"/>
      <c r="J53" s="35"/>
      <c r="K53" s="35"/>
      <c r="L53" s="35"/>
      <c r="M53" s="35"/>
      <c r="N53" s="35"/>
      <c r="O53" s="35"/>
      <c r="P53" s="35"/>
      <c r="Q53" s="35"/>
      <c r="R53" s="35"/>
      <c r="S53" s="35"/>
      <c r="T53" s="35"/>
      <c r="U53" s="35"/>
      <c r="V53" s="35"/>
      <c r="W53" s="35"/>
      <c r="X53" s="35"/>
      <c r="Y53" s="35"/>
      <c r="Z53" s="35"/>
      <c r="AA53" s="35"/>
      <c r="AB53" s="35"/>
      <c r="AC53" s="35"/>
      <c r="AD53" s="35"/>
    </row>
    <row r="54" spans="1:40" x14ac:dyDescent="0.25">
      <c r="B54" s="35"/>
      <c r="C54" s="35"/>
      <c r="D54" s="35"/>
      <c r="E54" s="35"/>
      <c r="F54" s="35"/>
      <c r="G54" s="35"/>
      <c r="H54" s="35"/>
      <c r="I54" s="37"/>
      <c r="J54" s="35"/>
      <c r="K54" s="35"/>
      <c r="L54" s="35"/>
      <c r="M54" s="35"/>
      <c r="N54" s="35"/>
      <c r="O54" s="35"/>
      <c r="P54" s="35"/>
      <c r="Q54" s="35"/>
      <c r="R54" s="35"/>
      <c r="S54" s="35"/>
      <c r="T54" s="35"/>
      <c r="U54" s="35"/>
      <c r="V54" s="35"/>
      <c r="W54" s="35"/>
      <c r="X54" s="35"/>
      <c r="Y54" s="35"/>
      <c r="Z54" s="35"/>
      <c r="AA54" s="35"/>
      <c r="AB54" s="35"/>
      <c r="AC54" s="35"/>
      <c r="AD54" s="35"/>
    </row>
    <row r="55" spans="1:40" x14ac:dyDescent="0.25">
      <c r="B55" s="35"/>
      <c r="C55" s="35"/>
      <c r="D55" s="35"/>
      <c r="E55" s="35"/>
      <c r="F55" s="35"/>
      <c r="G55" s="35"/>
      <c r="H55" s="35"/>
      <c r="I55" s="37"/>
      <c r="J55" s="35"/>
      <c r="K55" s="35"/>
      <c r="L55" s="35"/>
      <c r="M55" s="35"/>
      <c r="N55" s="35"/>
      <c r="O55" s="35"/>
      <c r="P55" s="35"/>
      <c r="Q55" s="35"/>
      <c r="R55" s="35"/>
      <c r="S55" s="35"/>
      <c r="T55" s="35"/>
      <c r="U55" s="35"/>
      <c r="V55" s="35"/>
      <c r="W55" s="35"/>
      <c r="X55" s="35"/>
      <c r="Y55" s="35"/>
      <c r="Z55" s="35"/>
      <c r="AA55" s="35"/>
      <c r="AB55" s="35"/>
      <c r="AC55" s="35"/>
      <c r="AD55" s="35"/>
    </row>
    <row r="56" spans="1:40" x14ac:dyDescent="0.25">
      <c r="B56" s="35"/>
      <c r="C56" s="35"/>
      <c r="D56" s="35"/>
      <c r="E56" s="35"/>
      <c r="F56" s="35"/>
      <c r="G56" s="35"/>
      <c r="H56" s="35"/>
      <c r="I56" s="37"/>
      <c r="J56" s="35"/>
      <c r="K56" s="35"/>
      <c r="L56" s="35"/>
      <c r="M56" s="35"/>
      <c r="N56" s="35"/>
      <c r="O56" s="35"/>
      <c r="P56" s="35"/>
      <c r="Q56" s="35"/>
      <c r="R56" s="35"/>
      <c r="S56" s="35"/>
      <c r="T56" s="35"/>
      <c r="U56" s="35"/>
      <c r="V56" s="35"/>
      <c r="W56" s="35"/>
      <c r="X56" s="35"/>
      <c r="Y56" s="35"/>
      <c r="Z56" s="35"/>
      <c r="AA56" s="35"/>
      <c r="AB56" s="35"/>
      <c r="AC56" s="35"/>
      <c r="AD56" s="35"/>
    </row>
    <row r="57" spans="1:40" x14ac:dyDescent="0.25">
      <c r="B57" s="35"/>
      <c r="C57" s="35"/>
      <c r="D57" s="35"/>
      <c r="E57" s="35"/>
      <c r="F57" s="35"/>
      <c r="G57" s="35"/>
      <c r="H57" s="35"/>
      <c r="I57" s="37"/>
      <c r="J57" s="35"/>
      <c r="K57" s="35"/>
      <c r="L57" s="35"/>
      <c r="M57" s="35"/>
      <c r="N57" s="35"/>
      <c r="O57" s="35"/>
      <c r="P57" s="35"/>
      <c r="Q57" s="35"/>
      <c r="R57" s="35"/>
      <c r="S57" s="35"/>
      <c r="T57" s="35"/>
      <c r="U57" s="35"/>
      <c r="V57" s="35"/>
      <c r="W57" s="35"/>
      <c r="X57" s="35"/>
      <c r="Y57" s="35"/>
      <c r="Z57" s="35"/>
      <c r="AA57" s="35"/>
      <c r="AB57" s="35"/>
      <c r="AC57" s="35"/>
      <c r="AD57" s="35"/>
    </row>
    <row r="58" spans="1:40" x14ac:dyDescent="0.25">
      <c r="B58" s="35"/>
      <c r="C58" s="35"/>
      <c r="D58" s="35"/>
      <c r="E58" s="35"/>
      <c r="F58" s="35"/>
      <c r="G58" s="35"/>
      <c r="H58" s="35"/>
      <c r="I58" s="37"/>
      <c r="J58" s="35"/>
      <c r="K58" s="35"/>
      <c r="L58" s="35"/>
      <c r="M58" s="35"/>
      <c r="N58" s="35"/>
      <c r="O58" s="35"/>
      <c r="P58" s="35"/>
      <c r="Q58" s="35"/>
      <c r="R58" s="35"/>
      <c r="S58" s="35"/>
      <c r="T58" s="35"/>
      <c r="U58" s="35"/>
      <c r="V58" s="35"/>
      <c r="W58" s="35"/>
      <c r="X58" s="35"/>
      <c r="Y58" s="35"/>
      <c r="Z58" s="35"/>
      <c r="AA58" s="35"/>
      <c r="AB58" s="35"/>
      <c r="AC58" s="35"/>
      <c r="AD58" s="35"/>
    </row>
    <row r="59" spans="1:40" x14ac:dyDescent="0.25">
      <c r="B59" s="35"/>
      <c r="C59" s="35"/>
      <c r="D59" s="35"/>
      <c r="E59" s="35"/>
      <c r="F59" s="35"/>
      <c r="G59" s="35"/>
      <c r="H59" s="35"/>
      <c r="I59" s="37"/>
      <c r="J59" s="35"/>
      <c r="K59" s="35"/>
      <c r="L59" s="35"/>
      <c r="M59" s="35"/>
      <c r="N59" s="35"/>
      <c r="O59" s="35"/>
      <c r="P59" s="35"/>
      <c r="Q59" s="35"/>
      <c r="R59" s="35"/>
      <c r="S59" s="35"/>
      <c r="T59" s="35"/>
      <c r="U59" s="35"/>
      <c r="V59" s="35"/>
      <c r="W59" s="35"/>
      <c r="X59" s="35"/>
      <c r="Y59" s="35"/>
      <c r="Z59" s="35"/>
      <c r="AA59" s="35"/>
      <c r="AB59" s="35"/>
      <c r="AC59" s="35"/>
      <c r="AD59" s="35"/>
    </row>
    <row r="60" spans="1:40" x14ac:dyDescent="0.25">
      <c r="B60" s="35"/>
      <c r="C60" s="35"/>
      <c r="D60" s="35"/>
      <c r="E60" s="35"/>
      <c r="F60" s="35"/>
      <c r="G60" s="35"/>
      <c r="H60" s="35"/>
      <c r="I60" s="37"/>
      <c r="J60" s="35"/>
      <c r="K60" s="35"/>
      <c r="L60" s="35"/>
      <c r="M60" s="35"/>
      <c r="N60" s="35"/>
      <c r="O60" s="35"/>
      <c r="P60" s="35"/>
      <c r="Q60" s="35"/>
      <c r="R60" s="35"/>
      <c r="S60" s="35"/>
      <c r="T60" s="35"/>
      <c r="U60" s="35"/>
      <c r="V60" s="35"/>
      <c r="W60" s="35"/>
      <c r="X60" s="35"/>
      <c r="Y60" s="35"/>
      <c r="Z60" s="35"/>
      <c r="AA60" s="35"/>
      <c r="AB60" s="35"/>
      <c r="AC60" s="35"/>
      <c r="AD60" s="35"/>
    </row>
    <row r="61" spans="1:40" x14ac:dyDescent="0.25">
      <c r="B61" s="35"/>
      <c r="C61" s="35"/>
      <c r="D61" s="35"/>
      <c r="E61" s="35"/>
      <c r="F61" s="35"/>
      <c r="G61" s="35"/>
      <c r="H61" s="35"/>
      <c r="I61" s="37"/>
      <c r="J61" s="35"/>
      <c r="K61" s="35"/>
      <c r="L61" s="35"/>
      <c r="M61" s="35"/>
      <c r="N61" s="35"/>
      <c r="O61" s="35"/>
      <c r="P61" s="35"/>
      <c r="Q61" s="35"/>
      <c r="R61" s="35"/>
      <c r="S61" s="35"/>
      <c r="T61" s="35"/>
      <c r="U61" s="35"/>
      <c r="V61" s="35"/>
      <c r="W61" s="35"/>
      <c r="X61" s="35"/>
      <c r="Y61" s="35"/>
      <c r="Z61" s="35"/>
      <c r="AA61" s="35"/>
      <c r="AB61" s="35"/>
      <c r="AC61" s="35"/>
      <c r="AD61" s="35"/>
    </row>
    <row r="62" spans="1:40" x14ac:dyDescent="0.25">
      <c r="B62" s="35"/>
      <c r="C62" s="35"/>
      <c r="D62" s="35"/>
      <c r="E62" s="35"/>
      <c r="F62" s="35"/>
      <c r="G62" s="35"/>
      <c r="H62" s="35"/>
      <c r="I62" s="37"/>
      <c r="J62" s="35"/>
      <c r="K62" s="35"/>
      <c r="L62" s="35"/>
      <c r="M62" s="35"/>
      <c r="N62" s="35"/>
      <c r="O62" s="35"/>
      <c r="P62" s="35"/>
      <c r="Q62" s="35"/>
      <c r="R62" s="35"/>
      <c r="S62" s="35"/>
      <c r="T62" s="35"/>
      <c r="U62" s="35"/>
      <c r="V62" s="35"/>
      <c r="W62" s="35"/>
      <c r="X62" s="35"/>
      <c r="Y62" s="35"/>
      <c r="Z62" s="35"/>
      <c r="AA62" s="35"/>
      <c r="AB62" s="35"/>
      <c r="AC62" s="35"/>
      <c r="AD62" s="35"/>
    </row>
    <row r="63" spans="1:40" x14ac:dyDescent="0.25">
      <c r="B63" s="35"/>
      <c r="C63" s="35"/>
      <c r="D63" s="35"/>
      <c r="E63" s="35"/>
      <c r="F63" s="35"/>
      <c r="G63" s="35"/>
      <c r="H63" s="35"/>
      <c r="I63" s="37"/>
      <c r="J63" s="35"/>
      <c r="K63" s="35"/>
      <c r="L63" s="35"/>
      <c r="M63" s="35"/>
      <c r="N63" s="35"/>
      <c r="O63" s="35"/>
      <c r="P63" s="35"/>
      <c r="Q63" s="35"/>
      <c r="R63" s="35"/>
      <c r="S63" s="35"/>
      <c r="T63" s="35"/>
      <c r="U63" s="35"/>
      <c r="V63" s="35"/>
      <c r="W63" s="35"/>
      <c r="X63" s="35"/>
      <c r="Y63" s="35"/>
      <c r="Z63" s="35"/>
      <c r="AA63" s="35"/>
      <c r="AB63" s="35"/>
      <c r="AC63" s="35"/>
      <c r="AD63" s="35"/>
    </row>
    <row r="64" spans="1:40" x14ac:dyDescent="0.25">
      <c r="B64" s="35"/>
      <c r="C64" s="35"/>
      <c r="D64" s="35"/>
      <c r="E64" s="35"/>
      <c r="F64" s="35"/>
      <c r="G64" s="35"/>
      <c r="H64" s="35"/>
      <c r="I64" s="37"/>
      <c r="J64" s="35"/>
      <c r="K64" s="35"/>
      <c r="L64" s="35"/>
      <c r="M64" s="35"/>
      <c r="N64" s="35"/>
      <c r="O64" s="35"/>
      <c r="P64" s="35"/>
      <c r="Q64" s="35"/>
      <c r="R64" s="35"/>
      <c r="S64" s="35"/>
      <c r="T64" s="35"/>
      <c r="U64" s="35"/>
      <c r="V64" s="35"/>
      <c r="W64" s="35"/>
      <c r="X64" s="35"/>
      <c r="Y64" s="35"/>
      <c r="Z64" s="35"/>
      <c r="AA64" s="35"/>
      <c r="AB64" s="35"/>
      <c r="AC64" s="35"/>
      <c r="AD64" s="35"/>
    </row>
    <row r="65" spans="2:30" x14ac:dyDescent="0.25">
      <c r="B65" s="35"/>
      <c r="C65" s="35"/>
      <c r="D65" s="35"/>
      <c r="E65" s="35"/>
      <c r="F65" s="35"/>
      <c r="G65" s="35"/>
      <c r="H65" s="35"/>
      <c r="I65" s="37"/>
      <c r="J65" s="35"/>
      <c r="K65" s="35"/>
      <c r="L65" s="35"/>
      <c r="M65" s="35"/>
      <c r="N65" s="35"/>
      <c r="O65" s="35"/>
      <c r="P65" s="35"/>
      <c r="Q65" s="35"/>
      <c r="R65" s="35"/>
      <c r="S65" s="35"/>
      <c r="T65" s="35"/>
      <c r="U65" s="35"/>
      <c r="V65" s="35"/>
      <c r="W65" s="35"/>
      <c r="X65" s="35"/>
      <c r="Y65" s="35"/>
      <c r="Z65" s="35"/>
      <c r="AA65" s="35"/>
      <c r="AB65" s="35"/>
      <c r="AC65" s="35"/>
      <c r="AD65" s="35"/>
    </row>
    <row r="66" spans="2:30" x14ac:dyDescent="0.25">
      <c r="B66" s="35"/>
      <c r="C66" s="35"/>
      <c r="D66" s="35"/>
      <c r="E66" s="35"/>
      <c r="F66" s="35"/>
      <c r="G66" s="35"/>
      <c r="H66" s="35"/>
      <c r="I66" s="37"/>
      <c r="J66" s="35"/>
      <c r="K66" s="35"/>
      <c r="L66" s="35"/>
      <c r="M66" s="35"/>
      <c r="N66" s="35"/>
      <c r="O66" s="35"/>
      <c r="P66" s="35"/>
      <c r="Q66" s="35"/>
      <c r="R66" s="35"/>
      <c r="S66" s="35"/>
      <c r="T66" s="35"/>
      <c r="U66" s="35"/>
      <c r="V66" s="35"/>
      <c r="W66" s="35"/>
      <c r="X66" s="35"/>
      <c r="Y66" s="35"/>
      <c r="Z66" s="35"/>
      <c r="AA66" s="35"/>
      <c r="AB66" s="35"/>
      <c r="AC66" s="35"/>
      <c r="AD66" s="35"/>
    </row>
    <row r="67" spans="2:30" x14ac:dyDescent="0.25">
      <c r="B67" s="35"/>
      <c r="C67" s="35"/>
      <c r="D67" s="35"/>
      <c r="E67" s="35"/>
      <c r="F67" s="35"/>
      <c r="G67" s="35"/>
      <c r="H67" s="35"/>
      <c r="I67" s="37"/>
      <c r="J67" s="35"/>
      <c r="K67" s="35"/>
      <c r="L67" s="35"/>
      <c r="M67" s="35"/>
      <c r="N67" s="35"/>
      <c r="O67" s="35"/>
      <c r="P67" s="35"/>
      <c r="Q67" s="35"/>
      <c r="R67" s="35"/>
      <c r="S67" s="35"/>
      <c r="T67" s="35"/>
      <c r="U67" s="35"/>
      <c r="V67" s="35"/>
      <c r="W67" s="35"/>
      <c r="X67" s="35"/>
      <c r="Y67" s="35"/>
      <c r="Z67" s="35"/>
      <c r="AA67" s="35"/>
      <c r="AB67" s="35"/>
      <c r="AC67" s="35"/>
      <c r="AD67" s="35"/>
    </row>
    <row r="68" spans="2:30" x14ac:dyDescent="0.25">
      <c r="B68" s="35"/>
      <c r="C68" s="35"/>
      <c r="D68" s="35"/>
      <c r="E68" s="35"/>
      <c r="F68" s="35"/>
      <c r="G68" s="35"/>
      <c r="H68" s="35"/>
      <c r="I68" s="37"/>
      <c r="J68" s="35"/>
      <c r="K68" s="35"/>
      <c r="L68" s="35"/>
      <c r="M68" s="35"/>
      <c r="N68" s="35"/>
      <c r="O68" s="35"/>
      <c r="P68" s="35"/>
      <c r="Q68" s="35"/>
      <c r="R68" s="35"/>
      <c r="S68" s="35"/>
      <c r="T68" s="35"/>
      <c r="U68" s="35"/>
      <c r="V68" s="35"/>
      <c r="W68" s="35"/>
      <c r="X68" s="35"/>
      <c r="Y68" s="35"/>
      <c r="Z68" s="35"/>
      <c r="AA68" s="35"/>
      <c r="AB68" s="35"/>
      <c r="AC68" s="35"/>
      <c r="AD68" s="35"/>
    </row>
    <row r="69" spans="2:30" x14ac:dyDescent="0.25">
      <c r="B69" s="35"/>
      <c r="C69" s="35"/>
      <c r="D69" s="35"/>
      <c r="E69" s="35"/>
      <c r="F69" s="35"/>
      <c r="G69" s="35"/>
      <c r="H69" s="35"/>
      <c r="I69" s="37"/>
      <c r="J69" s="35"/>
      <c r="K69" s="35"/>
      <c r="L69" s="35"/>
      <c r="M69" s="35"/>
      <c r="N69" s="35"/>
      <c r="O69" s="35"/>
      <c r="P69" s="35"/>
      <c r="Q69" s="35"/>
      <c r="R69" s="35"/>
      <c r="S69" s="35"/>
      <c r="T69" s="35"/>
      <c r="U69" s="35"/>
      <c r="V69" s="35"/>
      <c r="W69" s="35"/>
      <c r="X69" s="35"/>
      <c r="Y69" s="35"/>
      <c r="Z69" s="35"/>
      <c r="AA69" s="35"/>
      <c r="AB69" s="35"/>
      <c r="AC69" s="35"/>
      <c r="AD69" s="35"/>
    </row>
    <row r="70" spans="2:30" x14ac:dyDescent="0.25">
      <c r="B70" s="35"/>
      <c r="C70" s="35"/>
      <c r="D70" s="35"/>
      <c r="E70" s="35"/>
      <c r="F70" s="35"/>
      <c r="G70" s="35"/>
      <c r="H70" s="35"/>
      <c r="I70" s="37"/>
      <c r="J70" s="35"/>
      <c r="K70" s="35"/>
      <c r="L70" s="35"/>
      <c r="M70" s="35"/>
      <c r="N70" s="35"/>
      <c r="O70" s="35"/>
      <c r="P70" s="35"/>
      <c r="Q70" s="35"/>
      <c r="R70" s="35"/>
      <c r="S70" s="35"/>
      <c r="T70" s="35"/>
      <c r="U70" s="35"/>
      <c r="V70" s="35"/>
      <c r="W70" s="35"/>
      <c r="X70" s="35"/>
      <c r="Y70" s="35"/>
      <c r="Z70" s="35"/>
      <c r="AA70" s="35"/>
      <c r="AB70" s="35"/>
      <c r="AC70" s="35"/>
      <c r="AD70" s="35"/>
    </row>
    <row r="71" spans="2:30" x14ac:dyDescent="0.25">
      <c r="B71" s="35"/>
      <c r="C71" s="35"/>
      <c r="D71" s="35"/>
      <c r="E71" s="35"/>
      <c r="F71" s="35"/>
      <c r="G71" s="35"/>
      <c r="H71" s="35"/>
      <c r="I71" s="37"/>
      <c r="J71" s="35"/>
      <c r="K71" s="35"/>
      <c r="L71" s="35"/>
      <c r="M71" s="35"/>
      <c r="N71" s="35"/>
      <c r="O71" s="35"/>
      <c r="P71" s="35"/>
      <c r="Q71" s="35"/>
      <c r="R71" s="35"/>
      <c r="S71" s="35"/>
      <c r="T71" s="35"/>
      <c r="U71" s="35"/>
      <c r="V71" s="35"/>
      <c r="W71" s="35"/>
      <c r="X71" s="35"/>
      <c r="Y71" s="35"/>
      <c r="Z71" s="35"/>
      <c r="AA71" s="35"/>
      <c r="AB71" s="35"/>
      <c r="AC71" s="35"/>
      <c r="AD71" s="35"/>
    </row>
    <row r="72" spans="2:30" x14ac:dyDescent="0.25">
      <c r="B72" s="35"/>
      <c r="C72" s="35"/>
      <c r="D72" s="35"/>
      <c r="E72" s="35"/>
      <c r="F72" s="35"/>
      <c r="G72" s="35"/>
      <c r="H72" s="35"/>
      <c r="I72" s="37"/>
      <c r="J72" s="35"/>
      <c r="K72" s="35"/>
      <c r="L72" s="35"/>
      <c r="M72" s="35"/>
      <c r="N72" s="35"/>
      <c r="O72" s="35"/>
      <c r="P72" s="35"/>
      <c r="Q72" s="35"/>
      <c r="R72" s="35"/>
      <c r="S72" s="35"/>
      <c r="T72" s="35"/>
      <c r="U72" s="35"/>
      <c r="V72" s="35"/>
      <c r="W72" s="35"/>
      <c r="X72" s="35"/>
      <c r="Y72" s="35"/>
      <c r="Z72" s="35"/>
      <c r="AA72" s="35"/>
      <c r="AB72" s="35"/>
      <c r="AC72" s="35"/>
      <c r="AD72" s="35"/>
    </row>
    <row r="73" spans="2:30" x14ac:dyDescent="0.25">
      <c r="B73" s="35"/>
      <c r="C73" s="35"/>
      <c r="D73" s="35"/>
      <c r="E73" s="35"/>
      <c r="F73" s="35"/>
      <c r="G73" s="35"/>
      <c r="H73" s="35"/>
      <c r="I73" s="37"/>
      <c r="J73" s="35"/>
      <c r="K73" s="35"/>
      <c r="L73" s="35"/>
      <c r="M73" s="35"/>
      <c r="N73" s="35"/>
      <c r="O73" s="35"/>
      <c r="P73" s="35"/>
      <c r="Q73" s="35"/>
      <c r="R73" s="35"/>
      <c r="S73" s="35"/>
      <c r="T73" s="35"/>
      <c r="U73" s="35"/>
      <c r="V73" s="35"/>
      <c r="W73" s="35"/>
      <c r="X73" s="35"/>
      <c r="Y73" s="35"/>
      <c r="Z73" s="35"/>
      <c r="AA73" s="35"/>
      <c r="AB73" s="35"/>
      <c r="AC73" s="35"/>
      <c r="AD73" s="35"/>
    </row>
    <row r="74" spans="2:30" x14ac:dyDescent="0.25">
      <c r="B74" s="35"/>
      <c r="C74" s="35"/>
      <c r="D74" s="35"/>
      <c r="E74" s="35"/>
      <c r="F74" s="35"/>
      <c r="G74" s="35"/>
      <c r="H74" s="35"/>
      <c r="I74" s="37"/>
      <c r="J74" s="35"/>
      <c r="K74" s="35"/>
      <c r="L74" s="35"/>
      <c r="M74" s="35"/>
      <c r="N74" s="35"/>
      <c r="O74" s="35"/>
      <c r="P74" s="35"/>
      <c r="Q74" s="35"/>
      <c r="R74" s="35"/>
      <c r="S74" s="35"/>
      <c r="T74" s="35"/>
      <c r="U74" s="35"/>
      <c r="V74" s="35"/>
      <c r="W74" s="35"/>
      <c r="X74" s="35"/>
      <c r="Y74" s="35"/>
      <c r="Z74" s="35"/>
      <c r="AA74" s="35"/>
      <c r="AB74" s="35"/>
      <c r="AC74" s="35"/>
      <c r="AD74" s="35"/>
    </row>
    <row r="75" spans="2:30" x14ac:dyDescent="0.25">
      <c r="B75" s="35"/>
      <c r="C75" s="35"/>
      <c r="D75" s="35"/>
      <c r="E75" s="35"/>
      <c r="F75" s="35"/>
      <c r="G75" s="35"/>
      <c r="H75" s="35"/>
      <c r="I75" s="37"/>
      <c r="J75" s="35"/>
      <c r="K75" s="35"/>
      <c r="L75" s="35"/>
      <c r="M75" s="35"/>
      <c r="N75" s="35"/>
      <c r="O75" s="35"/>
      <c r="P75" s="35"/>
      <c r="Q75" s="35"/>
      <c r="R75" s="35"/>
      <c r="S75" s="35"/>
      <c r="T75" s="35"/>
      <c r="U75" s="35"/>
      <c r="V75" s="35"/>
      <c r="W75" s="35"/>
      <c r="X75" s="35"/>
      <c r="Y75" s="35"/>
      <c r="Z75" s="35"/>
      <c r="AA75" s="35"/>
      <c r="AB75" s="35"/>
      <c r="AC75" s="35"/>
      <c r="AD75" s="35"/>
    </row>
    <row r="76" spans="2:30" x14ac:dyDescent="0.25">
      <c r="B76" s="35"/>
      <c r="C76" s="35"/>
      <c r="D76" s="35"/>
      <c r="E76" s="35"/>
      <c r="F76" s="35"/>
      <c r="G76" s="35"/>
      <c r="H76" s="35"/>
      <c r="I76" s="37"/>
      <c r="J76" s="35"/>
      <c r="K76" s="35"/>
      <c r="L76" s="35"/>
      <c r="M76" s="35"/>
      <c r="N76" s="35"/>
      <c r="O76" s="35"/>
      <c r="P76" s="35"/>
      <c r="Q76" s="35"/>
      <c r="R76" s="35"/>
      <c r="S76" s="35"/>
      <c r="T76" s="35"/>
      <c r="U76" s="35"/>
      <c r="V76" s="35"/>
      <c r="W76" s="35"/>
      <c r="X76" s="35"/>
      <c r="Y76" s="35"/>
      <c r="Z76" s="35"/>
      <c r="AA76" s="35"/>
      <c r="AB76" s="35"/>
      <c r="AC76" s="35"/>
      <c r="AD76" s="35"/>
    </row>
    <row r="77" spans="2:30" x14ac:dyDescent="0.25">
      <c r="B77" s="35"/>
      <c r="C77" s="35"/>
      <c r="D77" s="35"/>
      <c r="E77" s="35"/>
      <c r="F77" s="35"/>
      <c r="G77" s="35"/>
      <c r="H77" s="35"/>
      <c r="I77" s="37"/>
      <c r="J77" s="35"/>
      <c r="K77" s="35"/>
      <c r="L77" s="35"/>
      <c r="M77" s="35"/>
      <c r="N77" s="35"/>
      <c r="O77" s="35"/>
      <c r="P77" s="35"/>
      <c r="Q77" s="35"/>
      <c r="R77" s="35"/>
      <c r="S77" s="35"/>
      <c r="T77" s="35"/>
      <c r="U77" s="35"/>
      <c r="V77" s="35"/>
      <c r="W77" s="35"/>
      <c r="X77" s="35"/>
      <c r="Y77" s="35"/>
      <c r="Z77" s="35"/>
      <c r="AA77" s="35"/>
      <c r="AB77" s="35"/>
      <c r="AC77" s="35"/>
      <c r="AD77" s="35"/>
    </row>
    <row r="78" spans="2:30" x14ac:dyDescent="0.25">
      <c r="B78" s="35"/>
      <c r="C78" s="35"/>
      <c r="D78" s="35"/>
      <c r="E78" s="35"/>
      <c r="F78" s="35"/>
      <c r="G78" s="35"/>
      <c r="H78" s="35"/>
      <c r="I78" s="37"/>
      <c r="J78" s="35"/>
      <c r="K78" s="35"/>
      <c r="L78" s="35"/>
      <c r="M78" s="35"/>
      <c r="N78" s="35"/>
      <c r="O78" s="35"/>
      <c r="P78" s="35"/>
      <c r="Q78" s="35"/>
      <c r="R78" s="35"/>
      <c r="S78" s="35"/>
      <c r="T78" s="35"/>
      <c r="U78" s="35"/>
      <c r="V78" s="35"/>
      <c r="W78" s="35"/>
      <c r="X78" s="35"/>
      <c r="Y78" s="35"/>
      <c r="Z78" s="35"/>
      <c r="AA78" s="35"/>
      <c r="AB78" s="35"/>
      <c r="AC78" s="35"/>
      <c r="AD78" s="35"/>
    </row>
    <row r="79" spans="2:30" x14ac:dyDescent="0.25">
      <c r="B79" s="35"/>
      <c r="C79" s="35"/>
      <c r="D79" s="35"/>
      <c r="E79" s="35"/>
      <c r="F79" s="35"/>
      <c r="G79" s="35"/>
      <c r="H79" s="35"/>
      <c r="I79" s="37"/>
      <c r="J79" s="35"/>
      <c r="K79" s="35"/>
      <c r="L79" s="35"/>
      <c r="M79" s="35"/>
      <c r="N79" s="35"/>
      <c r="O79" s="35"/>
      <c r="P79" s="35"/>
      <c r="Q79" s="35"/>
      <c r="R79" s="35"/>
      <c r="S79" s="35"/>
      <c r="T79" s="35"/>
      <c r="U79" s="35"/>
      <c r="V79" s="35"/>
      <c r="W79" s="35"/>
      <c r="X79" s="35"/>
      <c r="Y79" s="35"/>
      <c r="Z79" s="35"/>
      <c r="AA79" s="35"/>
      <c r="AB79" s="35"/>
      <c r="AC79" s="35"/>
      <c r="AD79" s="35"/>
    </row>
    <row r="80" spans="2:30" x14ac:dyDescent="0.25">
      <c r="B80" s="35"/>
      <c r="C80" s="35"/>
      <c r="D80" s="35"/>
      <c r="E80" s="35"/>
      <c r="F80" s="35"/>
      <c r="G80" s="35"/>
      <c r="H80" s="35"/>
      <c r="I80" s="37"/>
      <c r="J80" s="35"/>
      <c r="K80" s="35"/>
      <c r="L80" s="35"/>
      <c r="M80" s="35"/>
      <c r="N80" s="35"/>
      <c r="O80" s="35"/>
      <c r="P80" s="35"/>
      <c r="Q80" s="35"/>
      <c r="R80" s="35"/>
      <c r="S80" s="35"/>
      <c r="T80" s="35"/>
      <c r="U80" s="35"/>
      <c r="V80" s="35"/>
      <c r="W80" s="35"/>
      <c r="X80" s="35"/>
      <c r="Y80" s="35"/>
      <c r="Z80" s="35"/>
      <c r="AA80" s="35"/>
      <c r="AB80" s="35"/>
      <c r="AC80" s="35"/>
      <c r="AD80" s="35"/>
    </row>
    <row r="81" spans="2:30" x14ac:dyDescent="0.25">
      <c r="B81" s="35"/>
      <c r="C81" s="35"/>
      <c r="D81" s="35"/>
      <c r="E81" s="35"/>
      <c r="F81" s="35"/>
      <c r="G81" s="35"/>
      <c r="H81" s="35"/>
      <c r="I81" s="37"/>
      <c r="J81" s="35"/>
      <c r="K81" s="35"/>
      <c r="L81" s="35"/>
      <c r="M81" s="35"/>
      <c r="N81" s="35"/>
      <c r="O81" s="35"/>
      <c r="P81" s="35"/>
      <c r="Q81" s="35"/>
      <c r="R81" s="35"/>
      <c r="S81" s="35"/>
      <c r="T81" s="35"/>
      <c r="U81" s="35"/>
      <c r="V81" s="35"/>
      <c r="W81" s="35"/>
      <c r="X81" s="35"/>
      <c r="Y81" s="35"/>
      <c r="Z81" s="35"/>
      <c r="AA81" s="35"/>
      <c r="AB81" s="35"/>
      <c r="AC81" s="35"/>
      <c r="AD81" s="35"/>
    </row>
    <row r="82" spans="2:30" x14ac:dyDescent="0.25">
      <c r="B82" s="35"/>
      <c r="C82" s="35"/>
      <c r="D82" s="35"/>
      <c r="E82" s="35"/>
      <c r="F82" s="35"/>
      <c r="G82" s="35"/>
      <c r="H82" s="35"/>
      <c r="I82" s="37"/>
      <c r="J82" s="35"/>
      <c r="K82" s="35"/>
      <c r="L82" s="35"/>
      <c r="M82" s="35"/>
      <c r="N82" s="35"/>
      <c r="O82" s="35"/>
      <c r="P82" s="35"/>
      <c r="Q82" s="35"/>
      <c r="R82" s="35"/>
      <c r="S82" s="35"/>
      <c r="T82" s="35"/>
      <c r="U82" s="35"/>
      <c r="V82" s="35"/>
      <c r="W82" s="35"/>
      <c r="X82" s="35"/>
      <c r="Y82" s="35"/>
      <c r="Z82" s="35"/>
      <c r="AA82" s="35"/>
      <c r="AB82" s="35"/>
      <c r="AC82" s="35"/>
      <c r="AD82" s="35"/>
    </row>
    <row r="83" spans="2:30" x14ac:dyDescent="0.25">
      <c r="B83" s="35"/>
      <c r="C83" s="35"/>
      <c r="D83" s="35"/>
      <c r="E83" s="35"/>
      <c r="F83" s="35"/>
      <c r="G83" s="35"/>
      <c r="H83" s="35"/>
      <c r="I83" s="37"/>
      <c r="J83" s="35"/>
      <c r="K83" s="35"/>
      <c r="L83" s="35"/>
      <c r="M83" s="35"/>
      <c r="N83" s="35"/>
      <c r="O83" s="35"/>
      <c r="P83" s="35"/>
      <c r="Q83" s="35"/>
      <c r="R83" s="35"/>
      <c r="S83" s="35"/>
      <c r="T83" s="35"/>
      <c r="U83" s="35"/>
      <c r="V83" s="35"/>
      <c r="W83" s="35"/>
      <c r="X83" s="35"/>
      <c r="Y83" s="35"/>
      <c r="Z83" s="35"/>
      <c r="AA83" s="35"/>
      <c r="AB83" s="35"/>
      <c r="AC83" s="35"/>
      <c r="AD83" s="35"/>
    </row>
    <row r="84" spans="2:30" x14ac:dyDescent="0.25">
      <c r="B84" s="35"/>
      <c r="C84" s="35"/>
      <c r="D84" s="35"/>
      <c r="E84" s="35"/>
      <c r="F84" s="35"/>
      <c r="G84" s="35"/>
      <c r="H84" s="35"/>
      <c r="I84" s="37"/>
      <c r="J84" s="35"/>
      <c r="K84" s="35"/>
      <c r="L84" s="35"/>
      <c r="M84" s="35"/>
      <c r="N84" s="35"/>
      <c r="O84" s="35"/>
      <c r="P84" s="35"/>
      <c r="Q84" s="35"/>
      <c r="R84" s="35"/>
      <c r="S84" s="35"/>
      <c r="T84" s="35"/>
      <c r="U84" s="35"/>
      <c r="V84" s="35"/>
      <c r="W84" s="35"/>
      <c r="X84" s="35"/>
      <c r="Y84" s="35"/>
      <c r="Z84" s="35"/>
      <c r="AA84" s="35"/>
      <c r="AB84" s="35"/>
      <c r="AC84" s="35"/>
      <c r="AD84" s="35"/>
    </row>
    <row r="85" spans="2:30" x14ac:dyDescent="0.25">
      <c r="B85" s="35"/>
      <c r="C85" s="35"/>
      <c r="D85" s="35"/>
      <c r="E85" s="35"/>
      <c r="F85" s="35"/>
      <c r="G85" s="35"/>
      <c r="H85" s="35"/>
      <c r="I85" s="37"/>
      <c r="J85" s="35"/>
      <c r="K85" s="35"/>
      <c r="L85" s="35"/>
      <c r="M85" s="35"/>
      <c r="N85" s="35"/>
      <c r="O85" s="35"/>
      <c r="P85" s="35"/>
      <c r="Q85" s="35"/>
      <c r="R85" s="35"/>
      <c r="S85" s="35"/>
      <c r="T85" s="35"/>
      <c r="U85" s="35"/>
      <c r="V85" s="35"/>
      <c r="W85" s="35"/>
      <c r="X85" s="35"/>
      <c r="Y85" s="35"/>
      <c r="Z85" s="35"/>
      <c r="AA85" s="35"/>
      <c r="AB85" s="35"/>
      <c r="AC85" s="35"/>
      <c r="AD85" s="35"/>
    </row>
    <row r="86" spans="2:30" x14ac:dyDescent="0.25">
      <c r="B86" s="35"/>
      <c r="C86" s="35"/>
      <c r="D86" s="35"/>
      <c r="E86" s="35"/>
      <c r="F86" s="35"/>
      <c r="G86" s="35"/>
      <c r="H86" s="35"/>
      <c r="I86" s="37"/>
      <c r="J86" s="35"/>
      <c r="K86" s="35"/>
      <c r="L86" s="35"/>
      <c r="M86" s="35"/>
      <c r="N86" s="35"/>
      <c r="O86" s="35"/>
      <c r="P86" s="35"/>
      <c r="Q86" s="35"/>
      <c r="R86" s="35"/>
      <c r="S86" s="35"/>
      <c r="T86" s="35"/>
      <c r="U86" s="35"/>
      <c r="V86" s="35"/>
      <c r="W86" s="35"/>
      <c r="X86" s="35"/>
      <c r="Y86" s="35"/>
      <c r="Z86" s="35"/>
      <c r="AA86" s="35"/>
      <c r="AB86" s="35"/>
      <c r="AC86" s="35"/>
      <c r="AD86" s="35"/>
    </row>
  </sheetData>
  <mergeCells count="2">
    <mergeCell ref="A3:I3"/>
    <mergeCell ref="A5:G5"/>
  </mergeCells>
  <pageMargins left="0.7" right="0.7" top="0.75" bottom="0.75" header="0.3" footer="0.3"/>
  <customProperties>
    <customPr name="HasEnPITables" r:id="rId1"/>
    <customPr name="SheetGUID" r:id="rId2"/>
  </customProperties>
  <drawing r:id="rId3"/>
  <tableParts count="2">
    <tablePart r:id="rId4"/>
    <tablePart r:id="rId5"/>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2DBAE4-9ED9-4317-9A3A-77F9DA22982D}">
  <sheetPr>
    <tabColor rgb="FF008000"/>
  </sheetPr>
  <dimension ref="A1:N34"/>
  <sheetViews>
    <sheetView workbookViewId="0">
      <selection activeCell="B9" sqref="B9:D21"/>
    </sheetView>
  </sheetViews>
  <sheetFormatPr defaultRowHeight="15" x14ac:dyDescent="0.25"/>
  <cols>
    <col min="1" max="1" width="55.42578125" bestFit="1" customWidth="1"/>
    <col min="2" max="2" width="11.28515625" bestFit="1" customWidth="1"/>
    <col min="3" max="4" width="9.5703125" bestFit="1" customWidth="1"/>
  </cols>
  <sheetData>
    <row r="1" spans="1:8" ht="19.5" x14ac:dyDescent="0.3">
      <c r="A1" s="117" t="s">
        <v>83</v>
      </c>
      <c r="B1" s="117"/>
      <c r="C1" s="117"/>
      <c r="D1" s="117"/>
      <c r="E1" s="117"/>
      <c r="F1" s="117"/>
      <c r="G1" s="117"/>
      <c r="H1" s="117"/>
    </row>
    <row r="2" spans="1:8" ht="60" customHeight="1" x14ac:dyDescent="0.25">
      <c r="A2" s="118" t="s">
        <v>84</v>
      </c>
      <c r="B2" s="118"/>
      <c r="C2" s="118"/>
      <c r="D2" s="118"/>
      <c r="E2" s="118"/>
      <c r="F2" s="118"/>
      <c r="G2" s="118"/>
      <c r="H2" s="118"/>
    </row>
    <row r="4" spans="1:8" x14ac:dyDescent="0.25">
      <c r="A4" s="43" t="s">
        <v>88</v>
      </c>
      <c r="B4" s="43" t="s">
        <v>85</v>
      </c>
      <c r="C4" s="43" t="s">
        <v>86</v>
      </c>
      <c r="D4" s="43" t="s">
        <v>87</v>
      </c>
    </row>
    <row r="5" spans="1:8" x14ac:dyDescent="0.25">
      <c r="A5" s="62" t="s">
        <v>89</v>
      </c>
      <c r="B5" s="63">
        <f>SUMIF(DetailTable6[Period],AnnualTable8[#Headers],DetailTable6[Electricity (MMBTU)])</f>
        <v>596809.11574053485</v>
      </c>
      <c r="C5" s="63">
        <f>SUMIF(DetailTable6[Period],AnnualTable8[#Headers],DetailTable6[Electricity (MMBTU)])</f>
        <v>537420.07302877796</v>
      </c>
      <c r="D5" s="63">
        <f>SUMIF(DetailTable6[Period],AnnualTable8[#Headers],DetailTable6[Electricity (MMBTU)])</f>
        <v>565924.56817834207</v>
      </c>
    </row>
    <row r="6" spans="1:8" x14ac:dyDescent="0.25">
      <c r="A6" s="62" t="s">
        <v>90</v>
      </c>
      <c r="B6" s="63">
        <f>SUMIF(DetailTable6[Period],AnnualTable8[#Headers],DetailTable6[Natural Gas (MMBTU)])</f>
        <v>228995.8</v>
      </c>
      <c r="C6" s="63">
        <f>SUMIF(DetailTable6[Period],AnnualTable8[#Headers],DetailTable6[Natural Gas (MMBTU)])</f>
        <v>180753</v>
      </c>
      <c r="D6" s="63">
        <f>SUMIF(DetailTable6[Period],AnnualTable8[#Headers],DetailTable6[Natural Gas (MMBTU)])</f>
        <v>182385</v>
      </c>
    </row>
    <row r="7" spans="1:8" x14ac:dyDescent="0.25">
      <c r="A7" s="62" t="s">
        <v>47</v>
      </c>
      <c r="B7" s="63">
        <f>SUMIF(DetailTable6[Period],AnnualTable8[#Headers],DetailTable6[TOTAL  (MMBTU)])</f>
        <v>825804.9157405349</v>
      </c>
      <c r="C7" s="63">
        <f>SUMIF(DetailTable6[Period],AnnualTable8[#Headers],DetailTable6[TOTAL  (MMBTU)])</f>
        <v>718173.07302877784</v>
      </c>
      <c r="D7" s="63">
        <f>SUMIF(DetailTable6[Period],AnnualTable8[#Headers],DetailTable6[TOTAL  (MMBTU)])</f>
        <v>748309.56817834207</v>
      </c>
    </row>
    <row r="8" spans="1:8" x14ac:dyDescent="0.25">
      <c r="A8" s="64" t="s">
        <v>88</v>
      </c>
      <c r="B8" s="65" t="s">
        <v>88</v>
      </c>
      <c r="C8" s="65" t="s">
        <v>88</v>
      </c>
      <c r="D8" s="65" t="s">
        <v>88</v>
      </c>
    </row>
    <row r="9" spans="1:8" x14ac:dyDescent="0.25">
      <c r="A9" s="62" t="s">
        <v>51</v>
      </c>
      <c r="B9" s="67" t="s">
        <v>49</v>
      </c>
      <c r="C9" s="67" t="s">
        <v>91</v>
      </c>
      <c r="D9" s="67" t="s">
        <v>91</v>
      </c>
    </row>
    <row r="10" spans="1:8" x14ac:dyDescent="0.25">
      <c r="A10" s="62" t="s">
        <v>52</v>
      </c>
      <c r="B10" s="66">
        <f>SUMIF(DetailTable6[Period],AnnualTable8[#Headers],DetailTable6[Modeled Electricity (MMBTU)])</f>
        <v>596809.1690107435</v>
      </c>
      <c r="C10" s="66">
        <f>SUMIF(DetailTable6[Period],AnnualTable8[#Headers],DetailTable6[Modeled Electricity (MMBTU)])</f>
        <v>579331.18201841344</v>
      </c>
      <c r="D10" s="66">
        <f>SUMIF(DetailTable6[Period],AnnualTable8[#Headers],DetailTable6[Modeled Electricity (MMBTU)])</f>
        <v>621262.21185907687</v>
      </c>
    </row>
    <row r="11" spans="1:8" x14ac:dyDescent="0.25">
      <c r="A11" s="62" t="s">
        <v>92</v>
      </c>
      <c r="B11" s="66">
        <f>INDEX(AnnualTable8[], MATCH("Modeled Electricity (MMBTU)",AnnualTable8[[ ]],0),) - INDEX(AnnualTable8[], MATCH("Actual Electricity (MMBTU)",AnnualTable8[[ ]],0),)</f>
        <v>5.3270208649337292E-2</v>
      </c>
      <c r="C11" s="66">
        <f>INDEX(AnnualTable8[], MATCH("Modeled Electricity (MMBTU)",AnnualTable8[[ ]],0),) - INDEX(AnnualTable8[], MATCH("Actual Electricity (MMBTU)",AnnualTable8[[ ]],0),)</f>
        <v>41911.108989635482</v>
      </c>
      <c r="D11" s="66">
        <f>INDEX(AnnualTable8[], MATCH("Modeled Electricity (MMBTU)",AnnualTable8[[ ]],0),) - INDEX(AnnualTable8[], MATCH("Actual Electricity (MMBTU)",AnnualTable8[[ ]],0),)</f>
        <v>55337.643680734793</v>
      </c>
    </row>
    <row r="12" spans="1:8" x14ac:dyDescent="0.25">
      <c r="A12" s="62" t="s">
        <v>53</v>
      </c>
      <c r="B12" s="66">
        <f>SUMIF(DetailTable6[Period],AnnualTable8[#Headers],DetailTable6[Modeled Natural Gas (MMBTU)])</f>
        <v>228995.83853934522</v>
      </c>
      <c r="C12" s="66">
        <f>SUMIF(DetailTable6[Period],AnnualTable8[#Headers],DetailTable6[Modeled Natural Gas (MMBTU)])</f>
        <v>205061.65690334476</v>
      </c>
      <c r="D12" s="66">
        <f>SUMIF(DetailTable6[Period],AnnualTable8[#Headers],DetailTable6[Modeled Natural Gas (MMBTU)])</f>
        <v>205630.09915931124</v>
      </c>
    </row>
    <row r="13" spans="1:8" x14ac:dyDescent="0.25">
      <c r="A13" s="62" t="s">
        <v>93</v>
      </c>
      <c r="B13" s="66">
        <f>INDEX(AnnualTable8[], MATCH("Modeled Natural Gas (MMBTU)",AnnualTable8[[ ]],0),) - INDEX(AnnualTable8[], MATCH("Actual Natural Gas (MMBTU)",AnnualTable8[[ ]],0),)</f>
        <v>3.8539345230674371E-2</v>
      </c>
      <c r="C13" s="66">
        <f>INDEX(AnnualTable8[], MATCH("Modeled Natural Gas (MMBTU)",AnnualTable8[[ ]],0),) - INDEX(AnnualTable8[], MATCH("Actual Natural Gas (MMBTU)",AnnualTable8[[ ]],0),)</f>
        <v>24308.656903344759</v>
      </c>
      <c r="D13" s="66">
        <f>INDEX(AnnualTable8[], MATCH("Modeled Natural Gas (MMBTU)",AnnualTable8[[ ]],0),) - INDEX(AnnualTable8[], MATCH("Actual Natural Gas (MMBTU)",AnnualTable8[[ ]],0),)</f>
        <v>23245.099159311241</v>
      </c>
    </row>
    <row r="14" spans="1:8" x14ac:dyDescent="0.25">
      <c r="A14" s="62" t="s">
        <v>54</v>
      </c>
      <c r="B14" s="66">
        <f>SUMIF(DetailTable6[Period],AnnualTable8[#Headers],DetailTable6[Total Modeled Energy Consumption (MMBTU)])</f>
        <v>825805.00755008881</v>
      </c>
      <c r="C14" s="66">
        <f>SUMIF(DetailTable6[Period],AnnualTable8[#Headers],DetailTable6[Total Modeled Energy Consumption (MMBTU)])</f>
        <v>784392.83892175835</v>
      </c>
      <c r="D14" s="66">
        <f>SUMIF(DetailTable6[Period],AnnualTable8[#Headers],DetailTable6[Total Modeled Energy Consumption (MMBTU)])</f>
        <v>826892.31101838802</v>
      </c>
    </row>
    <row r="15" spans="1:8" hidden="1" x14ac:dyDescent="0.25">
      <c r="A15" s="68" t="s">
        <v>94</v>
      </c>
      <c r="B15" s="69">
        <f xml:space="preserve"> 1</f>
        <v>1</v>
      </c>
      <c r="C15" s="69">
        <f>IFERROR((INDEX(AnnualTable8[],MATCH("TOTAL  (MMBTU)",AnnualTable8[[ ]],0),)/1)*(1/INDEX(AnnualTable8[],MATCH("Total Modeled Energy Consumption (MMBTU)",AnnualTable8[[ ]],0),)),1)</f>
        <v>0.9155783140702719</v>
      </c>
      <c r="D15" s="69">
        <f>IFERROR((INDEX(AnnualTable8[],MATCH("TOTAL  (MMBTU)",AnnualTable8[[ ]],0),)/1)*(1/INDEX(AnnualTable8[],MATCH("Total Modeled Energy Consumption (MMBTU)",AnnualTable8[[ ]],0),)),1)</f>
        <v>0.90496617057272599</v>
      </c>
    </row>
    <row r="16" spans="1:8" x14ac:dyDescent="0.25">
      <c r="A16" s="70" t="s">
        <v>95</v>
      </c>
      <c r="B16" s="71">
        <v>0</v>
      </c>
      <c r="C16" s="71">
        <f t="shared" ref="C16:D16" ca="1" si="0">(1 - OFFSET(INDIRECT(ADDRESS(ROW(), COLUMN())),-1,0,1,1))</f>
        <v>8.4421685929728096E-2</v>
      </c>
      <c r="D16" s="71">
        <f t="shared" ca="1" si="0"/>
        <v>9.5033829427274008E-2</v>
      </c>
    </row>
    <row r="17" spans="1:14" x14ac:dyDescent="0.25">
      <c r="A17" s="70" t="s">
        <v>96</v>
      </c>
      <c r="B17" s="71">
        <v>0</v>
      </c>
      <c r="C17" s="71">
        <f t="shared" ref="C17:D17" ca="1" si="1">OFFSET(INDIRECT(ADDRESS(ROW(), COLUMN())),-1,0,1,1) - OFFSET(INDIRECT(ADDRESS(ROW(), COLUMN())),-1,-1,1,1)</f>
        <v>8.4421685929728096E-2</v>
      </c>
      <c r="D17" s="71">
        <f t="shared" ca="1" si="1"/>
        <v>1.0612143497545912E-2</v>
      </c>
    </row>
    <row r="18" spans="1:14" x14ac:dyDescent="0.25">
      <c r="A18" s="62" t="s">
        <v>97</v>
      </c>
      <c r="B18" s="66">
        <v>0</v>
      </c>
      <c r="C18" s="66">
        <f>INDEX(AnnualTable8[],MATCH("Total Modeled Energy Consumption (MMBTU)",AnnualTable8[[ ]],0),)-INDEX(AnnualTable8[],MATCH("TOTAL  (MMBTU)",AnnualTable8[[ ]],0),)</f>
        <v>66219.765892980504</v>
      </c>
      <c r="D18" s="66">
        <f>INDEX(AnnualTable8[],MATCH("Total Modeled Energy Consumption (MMBTU)",AnnualTable8[[ ]],0),)-INDEX(AnnualTable8[],MATCH("TOTAL  (MMBTU)",AnnualTable8[[ ]],0),)</f>
        <v>78582.742840045947</v>
      </c>
    </row>
    <row r="19" spans="1:14" x14ac:dyDescent="0.25">
      <c r="A19" s="62" t="s">
        <v>98</v>
      </c>
      <c r="B19" s="66">
        <v>0</v>
      </c>
      <c r="C19" s="66">
        <f t="shared" ref="C19:D19" ca="1" si="2">OFFSET(INDIRECT(ADDRESS(ROW(), COLUMN())),0,-1,1,1) + OFFSET(INDIRECT(ADDRESS(ROW(), COLUMN())),-1,0,1,1)</f>
        <v>66219.765892980504</v>
      </c>
      <c r="D19" s="66">
        <f t="shared" ca="1" si="2"/>
        <v>144802.50873302645</v>
      </c>
    </row>
    <row r="20" spans="1:14" x14ac:dyDescent="0.25">
      <c r="A20" s="62" t="s">
        <v>99</v>
      </c>
      <c r="B20" s="66">
        <v>0</v>
      </c>
      <c r="C20" s="66">
        <f t="shared" ref="C20:D20" ca="1" si="3">OFFSET(INDIRECT(ADDRESS(ROW(), COLUMN())),-2,0,1,1) - OFFSET(INDIRECT(ADDRESS(ROW(), COLUMN())),-2,-1,1,1)</f>
        <v>66219.765892980504</v>
      </c>
      <c r="D20" s="66">
        <f t="shared" ca="1" si="3"/>
        <v>12362.976947065443</v>
      </c>
    </row>
    <row r="21" spans="1:14" x14ac:dyDescent="0.25">
      <c r="A21" s="62" t="s">
        <v>100</v>
      </c>
      <c r="B21" s="66">
        <v>0</v>
      </c>
      <c r="C21" s="66">
        <f ca="1">(INDEX(AnnualTable8[],MATCH("TOTAL  (MMBTU)",AnnualTable8[[ ]],0),) + OFFSET(INDIRECT(ADDRESS(ROW(),COLUMN())),-3,0,1,1)) - (INDEX(AnnualTable8[],MATCH("TOTAL  (MMBTU)",AnnualTable8[[ ]],0),2))</f>
        <v>-41412.07681877655</v>
      </c>
      <c r="D21" s="66">
        <f ca="1">(INDEX(AnnualTable8[],MATCH("TOTAL  (MMBTU)",AnnualTable8[[ ]],0),) + OFFSET(INDIRECT(ADDRESS(ROW(),COLUMN())),-3,0,1,1)) - (INDEX(AnnualTable8[],MATCH("TOTAL  (MMBTU)",AnnualTable8[[ ]],0),2))</f>
        <v>1087.3952778531238</v>
      </c>
    </row>
    <row r="23" spans="1:14" ht="268.35000000000002" customHeight="1" x14ac:dyDescent="0.25"/>
    <row r="25" spans="1:14" hidden="1" x14ac:dyDescent="0.25">
      <c r="A25" s="119" t="s">
        <v>101</v>
      </c>
      <c r="B25" s="112"/>
      <c r="C25" s="112"/>
      <c r="D25" s="112"/>
      <c r="E25" s="112"/>
      <c r="F25" s="112"/>
      <c r="G25" s="112"/>
      <c r="H25" s="112"/>
      <c r="I25" s="112"/>
      <c r="J25" s="112"/>
      <c r="K25" s="112"/>
      <c r="L25" s="112"/>
    </row>
    <row r="27" spans="1:14" x14ac:dyDescent="0.25">
      <c r="A27" t="s">
        <v>102</v>
      </c>
      <c r="B27" t="s">
        <v>14</v>
      </c>
      <c r="C27" t="s">
        <v>15</v>
      </c>
      <c r="D27" t="s">
        <v>19</v>
      </c>
      <c r="E27" t="s">
        <v>20</v>
      </c>
      <c r="F27" t="s">
        <v>21</v>
      </c>
      <c r="G27" t="s">
        <v>22</v>
      </c>
      <c r="H27" t="s">
        <v>26</v>
      </c>
    </row>
    <row r="29" spans="1:14" x14ac:dyDescent="0.25">
      <c r="A29" s="73" t="s">
        <v>103</v>
      </c>
      <c r="B29" s="73" t="b">
        <v>1</v>
      </c>
      <c r="C29" s="73" t="s">
        <v>5</v>
      </c>
      <c r="D29" s="73">
        <v>1.4091994620781E-2</v>
      </c>
      <c r="E29" s="73">
        <v>0.69159450079697604</v>
      </c>
      <c r="F29" s="73">
        <v>0.62305994541852605</v>
      </c>
      <c r="G29" s="73">
        <v>5.0239986062007597E-3</v>
      </c>
      <c r="H29" s="73" t="s">
        <v>27</v>
      </c>
      <c r="I29" s="73"/>
      <c r="J29" s="73"/>
      <c r="K29" s="73"/>
      <c r="L29" s="73"/>
      <c r="M29" s="73"/>
      <c r="N29" s="73"/>
    </row>
    <row r="30" spans="1:14" x14ac:dyDescent="0.25">
      <c r="A30" s="73"/>
      <c r="B30" s="73"/>
      <c r="C30" s="73" t="s">
        <v>6</v>
      </c>
      <c r="D30" s="73">
        <v>5.4000866500257304E-3</v>
      </c>
      <c r="E30" s="73"/>
      <c r="F30" s="73"/>
      <c r="G30" s="73"/>
      <c r="H30" s="73"/>
      <c r="I30" s="73"/>
      <c r="J30" s="73"/>
      <c r="K30" s="73"/>
      <c r="L30" s="73"/>
      <c r="M30" s="73"/>
      <c r="N30" s="73"/>
    </row>
    <row r="31" spans="1:14" x14ac:dyDescent="0.25">
      <c r="A31" s="73"/>
      <c r="B31" s="73"/>
      <c r="C31" s="73"/>
      <c r="D31" s="73"/>
      <c r="E31" s="73"/>
      <c r="F31" s="73"/>
      <c r="G31" s="73"/>
      <c r="H31" s="73"/>
      <c r="I31" s="73"/>
      <c r="J31" s="73"/>
      <c r="K31" s="73"/>
      <c r="L31" s="73"/>
      <c r="M31" s="73"/>
      <c r="N31" s="73"/>
    </row>
    <row r="32" spans="1:14" x14ac:dyDescent="0.25">
      <c r="A32" s="73" t="s">
        <v>104</v>
      </c>
      <c r="B32" s="73" t="b">
        <v>1</v>
      </c>
      <c r="C32" s="73" t="s">
        <v>5</v>
      </c>
      <c r="D32" s="73">
        <v>8.3072188613475398E-4</v>
      </c>
      <c r="E32" s="73">
        <v>0.93741731355500202</v>
      </c>
      <c r="F32" s="73">
        <v>0.92351004990055796</v>
      </c>
      <c r="G32" s="74">
        <v>3.83746041386656E-6</v>
      </c>
      <c r="H32" s="73" t="s">
        <v>40</v>
      </c>
      <c r="I32" s="73"/>
      <c r="J32" s="73"/>
      <c r="K32" s="73"/>
      <c r="L32" s="73"/>
      <c r="M32" s="73"/>
      <c r="N32" s="73"/>
    </row>
    <row r="33" spans="1:14" x14ac:dyDescent="0.25">
      <c r="A33" s="73"/>
      <c r="B33" s="73"/>
      <c r="C33" s="73" t="s">
        <v>6</v>
      </c>
      <c r="D33" s="74">
        <v>3.9583149651753399E-6</v>
      </c>
      <c r="E33" s="73"/>
      <c r="F33" s="73"/>
      <c r="G33" s="73"/>
      <c r="H33" s="73"/>
      <c r="I33" s="73"/>
      <c r="J33" s="73"/>
      <c r="K33" s="73"/>
      <c r="L33" s="73"/>
      <c r="M33" s="73"/>
      <c r="N33" s="73"/>
    </row>
    <row r="34" spans="1:14" x14ac:dyDescent="0.25">
      <c r="A34" s="73"/>
      <c r="B34" s="73"/>
      <c r="C34" s="73"/>
      <c r="D34" s="73"/>
      <c r="E34" s="73"/>
      <c r="F34" s="73"/>
      <c r="G34" s="73"/>
      <c r="H34" s="73"/>
      <c r="I34" s="73"/>
      <c r="J34" s="73"/>
      <c r="K34" s="73"/>
      <c r="L34" s="73"/>
      <c r="M34" s="73"/>
      <c r="N34" s="73"/>
    </row>
  </sheetData>
  <mergeCells count="3">
    <mergeCell ref="A1:H1"/>
    <mergeCell ref="A2:H2"/>
    <mergeCell ref="A25:L25"/>
  </mergeCells>
  <pageMargins left="0.7" right="0.7" top="0.75" bottom="0.75" header="0.3" footer="0.3"/>
  <customProperties>
    <customPr name="HasEnPITables" r:id="rId1"/>
    <customPr name="IsValidRollupSource" r:id="rId2"/>
    <customPr name="SheetGUID" r:id="rId3"/>
  </customProperties>
  <drawing r:id="rId4"/>
  <tableParts count="2">
    <tablePart r:id="rId5"/>
    <tablePart r:id="rId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6C5FF-A9A3-47D6-84EB-9C1A91C5238B}">
  <sheetPr>
    <tabColor rgb="FF008000"/>
  </sheetPr>
  <dimension ref="A1:N36"/>
  <sheetViews>
    <sheetView workbookViewId="0">
      <selection activeCell="E12" sqref="E12:F12"/>
    </sheetView>
  </sheetViews>
  <sheetFormatPr defaultRowHeight="15" x14ac:dyDescent="0.25"/>
  <cols>
    <col min="1" max="1" width="51.5703125" bestFit="1" customWidth="1"/>
    <col min="2" max="3" width="11.42578125" bestFit="1" customWidth="1"/>
    <col min="5" max="5" width="30.5703125" bestFit="1" customWidth="1"/>
    <col min="6" max="6" width="6.5703125" bestFit="1" customWidth="1"/>
    <col min="7" max="7" width="0" hidden="1" customWidth="1"/>
    <col min="8" max="8" width="9.28515625" bestFit="1" customWidth="1"/>
  </cols>
  <sheetData>
    <row r="1" spans="1:8" ht="19.5" x14ac:dyDescent="0.3">
      <c r="A1" s="117" t="s">
        <v>105</v>
      </c>
      <c r="B1" s="117"/>
      <c r="C1" s="117"/>
      <c r="D1" s="117"/>
      <c r="E1" s="117"/>
      <c r="F1" s="117"/>
      <c r="G1" s="117"/>
      <c r="H1" s="117"/>
    </row>
    <row r="2" spans="1:8" ht="69.95" customHeight="1" x14ac:dyDescent="0.25">
      <c r="A2" s="118" t="s">
        <v>106</v>
      </c>
      <c r="B2" s="118"/>
      <c r="C2" s="118"/>
      <c r="D2" s="118"/>
      <c r="E2" s="118"/>
      <c r="F2" s="118"/>
      <c r="G2" s="118"/>
      <c r="H2" s="118"/>
    </row>
    <row r="4" spans="1:8" x14ac:dyDescent="0.25">
      <c r="A4" s="75"/>
      <c r="B4" s="75" t="s">
        <v>107</v>
      </c>
      <c r="C4" s="75" t="s">
        <v>108</v>
      </c>
    </row>
    <row r="5" spans="1:8" x14ac:dyDescent="0.25">
      <c r="A5" s="43" t="s">
        <v>88</v>
      </c>
      <c r="B5" s="43" t="s">
        <v>85</v>
      </c>
      <c r="C5" s="43" t="s">
        <v>87</v>
      </c>
      <c r="E5" s="72" t="s">
        <v>119</v>
      </c>
      <c r="F5" s="72" t="s">
        <v>120</v>
      </c>
    </row>
    <row r="6" spans="1:8" x14ac:dyDescent="0.25">
      <c r="A6" s="78" t="s">
        <v>109</v>
      </c>
      <c r="B6" s="79">
        <f>SUMIF(DetailTable6[Period],AnnualTable10[#Headers],DetailTable6[Electricity (MMBTU)])</f>
        <v>596809.11574053485</v>
      </c>
      <c r="C6" s="79">
        <f>SUMIF(DetailTable6[Period],AnnualTable10[#Headers],DetailTable6[Electricity (MMBTU)])</f>
        <v>565924.56817834207</v>
      </c>
      <c r="E6" s="76" t="s">
        <v>121</v>
      </c>
      <c r="F6" s="77"/>
    </row>
    <row r="7" spans="1:8" ht="30" x14ac:dyDescent="0.25">
      <c r="A7" s="78" t="s">
        <v>110</v>
      </c>
      <c r="B7" s="79">
        <f>SUMIF(DetailTable6[Period],AnnualTable10[#Headers],DetailTable6[Natural Gas (MMBTU)])</f>
        <v>228995.8</v>
      </c>
      <c r="C7" s="79">
        <f>SUMIF(DetailTable6[Period],AnnualTable10[#Headers],DetailTable6[Natural Gas (MMBTU)])</f>
        <v>182385</v>
      </c>
      <c r="E7" s="76" t="s">
        <v>122</v>
      </c>
      <c r="F7" s="77"/>
    </row>
    <row r="8" spans="1:8" x14ac:dyDescent="0.25">
      <c r="A8" s="78" t="s">
        <v>111</v>
      </c>
      <c r="B8" s="79">
        <f>SUMIF(DetailTable6[Period],AnnualTable10[#Headers],DetailTable6[TOTAL  (MMBTU)])</f>
        <v>825804.9157405349</v>
      </c>
      <c r="C8" s="79">
        <f>SUMIF(DetailTable6[Period],AnnualTable10[#Headers],DetailTable6[TOTAL  (MMBTU)])</f>
        <v>748309.56817834207</v>
      </c>
      <c r="E8" s="76" t="s">
        <v>123</v>
      </c>
      <c r="F8" s="77"/>
    </row>
    <row r="9" spans="1:8" x14ac:dyDescent="0.25">
      <c r="A9" s="80" t="s">
        <v>88</v>
      </c>
      <c r="B9" s="81" t="s">
        <v>88</v>
      </c>
      <c r="C9" s="81" t="s">
        <v>88</v>
      </c>
      <c r="E9" s="76" t="s">
        <v>124</v>
      </c>
      <c r="F9" s="77"/>
    </row>
    <row r="10" spans="1:8" x14ac:dyDescent="0.25">
      <c r="A10" s="78" t="s">
        <v>112</v>
      </c>
      <c r="B10" s="82" t="s">
        <v>49</v>
      </c>
      <c r="C10" s="82" t="s">
        <v>91</v>
      </c>
      <c r="E10" s="76" t="s">
        <v>125</v>
      </c>
      <c r="F10" s="77"/>
    </row>
    <row r="11" spans="1:8" x14ac:dyDescent="0.25">
      <c r="A11" s="78" t="s">
        <v>113</v>
      </c>
      <c r="B11" s="83">
        <f>SUMIF(DetailTable6[Period],AnnualTable10[#Headers],DetailTable6[Modeled Electricity (MMBTU)])</f>
        <v>596809.1690107435</v>
      </c>
      <c r="C11" s="83">
        <f>SUMIF(DetailTable6[Period],AnnualTable10[#Headers],DetailTable6[Modeled Electricity (MMBTU)])</f>
        <v>621262.21185907687</v>
      </c>
      <c r="E11" s="76" t="s">
        <v>126</v>
      </c>
      <c r="F11" s="77"/>
    </row>
    <row r="12" spans="1:8" ht="30" x14ac:dyDescent="0.25">
      <c r="A12" s="78" t="s">
        <v>114</v>
      </c>
      <c r="B12" s="83">
        <f>INDEX(AnnualTable10[], MATCH("Modeled Primary Electricity (MMBTU)",AnnualTable10[[ ]],0),) - INDEX(AnnualTable10[], MATCH("Actual Primary Electricity (MMBTU)",AnnualTable10[[ ]],0),)</f>
        <v>5.3270208649337292E-2</v>
      </c>
      <c r="C12" s="83">
        <f>INDEX(AnnualTable10[], MATCH("Modeled Primary Electricity (MMBTU)",AnnualTable10[[ ]],0),) - INDEX(AnnualTable10[], MATCH("Actual Primary Electricity (MMBTU)",AnnualTable10[[ ]],0),)</f>
        <v>55337.643680734793</v>
      </c>
      <c r="E12" s="76" t="s">
        <v>127</v>
      </c>
      <c r="F12" s="77"/>
    </row>
    <row r="13" spans="1:8" x14ac:dyDescent="0.25">
      <c r="A13" s="78" t="s">
        <v>115</v>
      </c>
      <c r="B13" s="83">
        <f>SUMIF(DetailTable6[Period],AnnualTable10[#Headers],DetailTable6[Modeled Natural Gas (MMBTU)])</f>
        <v>228995.83853934522</v>
      </c>
      <c r="C13" s="83">
        <f>SUMIF(DetailTable6[Period],AnnualTable10[#Headers],DetailTable6[Modeled Natural Gas (MMBTU)])</f>
        <v>205630.09915931124</v>
      </c>
    </row>
    <row r="14" spans="1:8" x14ac:dyDescent="0.25">
      <c r="A14" s="78" t="s">
        <v>116</v>
      </c>
      <c r="B14" s="83">
        <f>INDEX(AnnualTable10[], MATCH("Modeled Primary Natural Gas (MMBTU)",AnnualTable10[[ ]],0),) - INDEX(AnnualTable10[], MATCH("Actual Primary Natural Gas (MMBTU)",AnnualTable10[[ ]],0),)</f>
        <v>3.8539345230674371E-2</v>
      </c>
      <c r="C14" s="83">
        <f>INDEX(AnnualTable10[], MATCH("Modeled Primary Natural Gas (MMBTU)",AnnualTable10[[ ]],0),) - INDEX(AnnualTable10[], MATCH("Actual Primary Natural Gas (MMBTU)",AnnualTable10[[ ]],0),)</f>
        <v>23245.099159311241</v>
      </c>
    </row>
    <row r="15" spans="1:8" x14ac:dyDescent="0.25">
      <c r="A15" s="78" t="s">
        <v>117</v>
      </c>
      <c r="B15" s="83">
        <f>SUMIF(DetailTable6[Period],AnnualTable10[#Headers],DetailTable6[Total Modeled Energy Consumption (MMBTU)])</f>
        <v>825805.00755008881</v>
      </c>
      <c r="C15" s="83">
        <f>SUMIF(DetailTable6[Period],AnnualTable10[#Headers],DetailTable6[Total Modeled Energy Consumption (MMBTU)])</f>
        <v>826892.31101838802</v>
      </c>
    </row>
    <row r="16" spans="1:8" x14ac:dyDescent="0.25">
      <c r="A16" s="84" t="s">
        <v>94</v>
      </c>
      <c r="B16" s="85">
        <f xml:space="preserve"> 1</f>
        <v>1</v>
      </c>
      <c r="C16" s="85">
        <f>IFERROR((INDEX(AnnualTable10[],MATCH("TOTAL  Actual Primary Energy (MMBTU)",AnnualTable10[[ ]],0),)/1)*(1/INDEX(AnnualTable10[],MATCH("Total Modeled Primary Energy Consumption",AnnualTable10[[ ]],0),)),1)</f>
        <v>0.90496617057272599</v>
      </c>
    </row>
    <row r="17" spans="1:14" x14ac:dyDescent="0.25">
      <c r="A17" s="86" t="s">
        <v>118</v>
      </c>
      <c r="B17" s="87">
        <v>0</v>
      </c>
      <c r="C17" s="87">
        <f t="shared" ref="C17" ca="1" si="0">(1 - OFFSET(INDIRECT(ADDRESS(ROW(), COLUMN())),-1,0,1,1))</f>
        <v>9.5033829427274008E-2</v>
      </c>
    </row>
    <row r="19" spans="1:14" ht="268.35000000000002" customHeight="1" x14ac:dyDescent="0.25"/>
    <row r="21" spans="1:14" ht="268.35000000000002" customHeight="1" x14ac:dyDescent="0.25"/>
    <row r="23" spans="1:14" ht="268.35000000000002" customHeight="1" x14ac:dyDescent="0.25"/>
    <row r="25" spans="1:14" ht="268.35000000000002" customHeight="1" x14ac:dyDescent="0.25"/>
    <row r="27" spans="1:14" hidden="1" x14ac:dyDescent="0.25">
      <c r="A27" s="119" t="s">
        <v>101</v>
      </c>
      <c r="B27" s="112"/>
      <c r="C27" s="112"/>
      <c r="D27" s="112"/>
      <c r="E27" s="112"/>
      <c r="F27" s="112"/>
      <c r="G27" s="112"/>
      <c r="H27" s="112"/>
      <c r="I27" s="112"/>
      <c r="J27" s="112"/>
      <c r="K27" s="112"/>
      <c r="L27" s="112"/>
    </row>
    <row r="29" spans="1:14" ht="45" x14ac:dyDescent="0.25">
      <c r="A29" s="72" t="s">
        <v>102</v>
      </c>
      <c r="B29" s="72" t="s">
        <v>14</v>
      </c>
      <c r="C29" s="72" t="s">
        <v>128</v>
      </c>
      <c r="D29" s="72" t="s">
        <v>16</v>
      </c>
      <c r="E29" s="72" t="s">
        <v>19</v>
      </c>
      <c r="F29" s="72" t="s">
        <v>20</v>
      </c>
      <c r="G29" s="72" t="s">
        <v>21</v>
      </c>
      <c r="H29" s="72" t="s">
        <v>22</v>
      </c>
      <c r="I29" s="72" t="s">
        <v>26</v>
      </c>
    </row>
    <row r="30" spans="1:14" x14ac:dyDescent="0.25">
      <c r="A30" s="72"/>
      <c r="B30" s="72"/>
      <c r="C30" s="72"/>
      <c r="D30" s="72"/>
      <c r="E30" s="72"/>
      <c r="F30" s="72"/>
      <c r="G30" s="72"/>
      <c r="H30" s="72"/>
      <c r="I30" s="72"/>
    </row>
    <row r="31" spans="1:14" x14ac:dyDescent="0.25">
      <c r="A31" s="88" t="s">
        <v>103</v>
      </c>
      <c r="B31" s="88" t="b">
        <v>1</v>
      </c>
      <c r="C31" s="88" t="s">
        <v>5</v>
      </c>
      <c r="D31" s="88" t="s">
        <v>28</v>
      </c>
      <c r="E31" s="88">
        <v>1.4091994620781E-2</v>
      </c>
      <c r="F31" s="88">
        <v>0.69159450079697604</v>
      </c>
      <c r="G31" s="88">
        <v>0.62305994541852605</v>
      </c>
      <c r="H31" s="88">
        <v>5.0239986062007597E-3</v>
      </c>
      <c r="I31" s="88" t="s">
        <v>27</v>
      </c>
      <c r="J31" s="88"/>
      <c r="K31" s="88"/>
      <c r="L31" s="88"/>
      <c r="M31" s="88"/>
      <c r="N31" s="88"/>
    </row>
    <row r="32" spans="1:14" x14ac:dyDescent="0.25">
      <c r="A32" s="88"/>
      <c r="B32" s="88"/>
      <c r="C32" s="88" t="s">
        <v>6</v>
      </c>
      <c r="D32" s="88" t="s">
        <v>28</v>
      </c>
      <c r="E32" s="88">
        <v>5.4000866500257304E-3</v>
      </c>
      <c r="F32" s="88"/>
      <c r="G32" s="88"/>
      <c r="H32" s="88"/>
      <c r="I32" s="88"/>
      <c r="J32" s="88"/>
      <c r="K32" s="88"/>
      <c r="L32" s="88"/>
      <c r="M32" s="88"/>
      <c r="N32" s="88"/>
    </row>
    <row r="33" spans="1:14" x14ac:dyDescent="0.25">
      <c r="A33" s="88"/>
      <c r="B33" s="88"/>
      <c r="C33" s="88"/>
      <c r="D33" s="88"/>
      <c r="E33" s="88"/>
      <c r="F33" s="88"/>
      <c r="G33" s="88"/>
      <c r="H33" s="88"/>
      <c r="I33" s="88"/>
      <c r="J33" s="88"/>
      <c r="K33" s="88"/>
      <c r="L33" s="88"/>
      <c r="M33" s="88"/>
      <c r="N33" s="88"/>
    </row>
    <row r="34" spans="1:14" x14ac:dyDescent="0.25">
      <c r="A34" s="88" t="s">
        <v>104</v>
      </c>
      <c r="B34" s="88" t="b">
        <v>1</v>
      </c>
      <c r="C34" s="88" t="s">
        <v>5</v>
      </c>
      <c r="D34" s="88" t="s">
        <v>28</v>
      </c>
      <c r="E34" s="88">
        <v>8.3072188613475398E-4</v>
      </c>
      <c r="F34" s="88">
        <v>0.93741731355500202</v>
      </c>
      <c r="G34" s="88">
        <v>0.92351004990055796</v>
      </c>
      <c r="H34" s="88">
        <v>3.83746041386656E-6</v>
      </c>
      <c r="I34" s="88" t="s">
        <v>40</v>
      </c>
      <c r="J34" s="88"/>
      <c r="K34" s="88"/>
      <c r="L34" s="88"/>
      <c r="M34" s="88"/>
      <c r="N34" s="88"/>
    </row>
    <row r="35" spans="1:14" x14ac:dyDescent="0.25">
      <c r="A35" s="88"/>
      <c r="B35" s="88"/>
      <c r="C35" s="88" t="s">
        <v>6</v>
      </c>
      <c r="D35" s="88" t="s">
        <v>28</v>
      </c>
      <c r="E35" s="88">
        <v>3.9583149651753399E-6</v>
      </c>
      <c r="F35" s="88"/>
      <c r="G35" s="88"/>
      <c r="H35" s="88"/>
      <c r="I35" s="88"/>
      <c r="J35" s="88"/>
      <c r="K35" s="88"/>
      <c r="L35" s="88"/>
      <c r="M35" s="88"/>
      <c r="N35" s="88"/>
    </row>
    <row r="36" spans="1:14" x14ac:dyDescent="0.25">
      <c r="A36" s="88"/>
      <c r="B36" s="88"/>
      <c r="C36" s="88"/>
      <c r="D36" s="88"/>
      <c r="E36" s="88"/>
      <c r="F36" s="88"/>
      <c r="G36" s="88"/>
      <c r="H36" s="88"/>
      <c r="I36" s="88"/>
      <c r="J36" s="88"/>
      <c r="K36" s="88"/>
      <c r="L36" s="88"/>
      <c r="M36" s="88"/>
      <c r="N36" s="88"/>
    </row>
  </sheetData>
  <mergeCells count="3">
    <mergeCell ref="A1:H1"/>
    <mergeCell ref="A2:H2"/>
    <mergeCell ref="A27:L27"/>
  </mergeCells>
  <pageMargins left="0.5" right="0.5" top="1" bottom="1" header="0.3" footer="0.3"/>
  <pageSetup paperSize="9" orientation="landscape" horizontalDpi="1200" verticalDpi="1200" r:id="rId1"/>
  <rowBreaks count="3" manualBreakCount="3">
    <brk id="18" max="16383" man="1"/>
    <brk id="22" max="16383" man="1"/>
    <brk id="28" max="16383" man="1"/>
  </rowBreaks>
  <customProperties>
    <customPr name="HasEnPITables" r:id="rId2"/>
    <customPr name="SheetGUID" r:id="rId3"/>
  </customProperties>
  <drawing r:id="rId4"/>
  <tableParts count="3">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571350-5707-4D7A-B76F-8F92ED45C271}">
  <sheetPr>
    <tabColor rgb="FF008000"/>
  </sheetPr>
  <dimension ref="A1:H17"/>
  <sheetViews>
    <sheetView workbookViewId="0">
      <selection activeCell="B5" sqref="B5:D15"/>
    </sheetView>
  </sheetViews>
  <sheetFormatPr defaultRowHeight="15" x14ac:dyDescent="0.25"/>
  <cols>
    <col min="1" max="1" width="49.85546875" bestFit="1" customWidth="1"/>
    <col min="2" max="4" width="9.5703125" bestFit="1" customWidth="1"/>
  </cols>
  <sheetData>
    <row r="1" spans="1:8" ht="19.5" x14ac:dyDescent="0.3">
      <c r="A1" s="117" t="s">
        <v>83</v>
      </c>
      <c r="B1" s="117"/>
      <c r="C1" s="117"/>
      <c r="D1" s="117"/>
      <c r="E1" s="117"/>
      <c r="F1" s="117"/>
      <c r="G1" s="117"/>
      <c r="H1" s="117"/>
    </row>
    <row r="2" spans="1:8" hidden="1" x14ac:dyDescent="0.25">
      <c r="A2" s="118"/>
      <c r="B2" s="118"/>
      <c r="C2" s="118"/>
      <c r="D2" s="118"/>
      <c r="E2" s="118"/>
      <c r="F2" s="118"/>
      <c r="G2" s="118"/>
      <c r="H2" s="118"/>
    </row>
    <row r="4" spans="1:8" x14ac:dyDescent="0.25">
      <c r="A4" s="43" t="s">
        <v>88</v>
      </c>
      <c r="B4" s="43" t="s">
        <v>85</v>
      </c>
      <c r="C4" s="43" t="s">
        <v>86</v>
      </c>
      <c r="D4" s="43" t="s">
        <v>87</v>
      </c>
    </row>
    <row r="5" spans="1:8" x14ac:dyDescent="0.25">
      <c r="A5" s="62" t="s">
        <v>2</v>
      </c>
      <c r="B5" s="63">
        <f>SUMIF(DetailTable14[Period],AnnualTable15[#Headers],DetailTable14[Electricity (MMBTU)])</f>
        <v>596809.11574053485</v>
      </c>
      <c r="C5" s="63">
        <f>SUMIF(DetailTable14[Period],AnnualTable15[#Headers],DetailTable14[Electricity (MMBTU)])</f>
        <v>537420.07302877796</v>
      </c>
      <c r="D5" s="63">
        <f>SUMIF(DetailTable14[Period],AnnualTable15[#Headers],DetailTable14[Electricity (MMBTU)])</f>
        <v>565924.56817834207</v>
      </c>
    </row>
    <row r="6" spans="1:8" x14ac:dyDescent="0.25">
      <c r="A6" s="62" t="s">
        <v>4</v>
      </c>
      <c r="B6" s="63">
        <f>SUMIF(DetailTable14[Period],AnnualTable15[#Headers],DetailTable14[Natural Gas (MMBTU)])</f>
        <v>228995.8</v>
      </c>
      <c r="C6" s="63">
        <f>SUMIF(DetailTable14[Period],AnnualTable15[#Headers],DetailTable14[Natural Gas (MMBTU)])</f>
        <v>180753</v>
      </c>
      <c r="D6" s="63">
        <f>SUMIF(DetailTable14[Period],AnnualTable15[#Headers],DetailTable14[Natural Gas (MMBTU)])</f>
        <v>182385</v>
      </c>
    </row>
    <row r="7" spans="1:8" x14ac:dyDescent="0.25">
      <c r="A7" s="62" t="s">
        <v>47</v>
      </c>
      <c r="B7" s="63">
        <f>SUMIF(DetailTable14[Period],AnnualTable15[#Headers],DetailTable14[TOTAL  (MMBTU)])</f>
        <v>825804.9157405349</v>
      </c>
      <c r="C7" s="63">
        <f>SUMIF(DetailTable14[Period],AnnualTable15[#Headers],DetailTable14[TOTAL  (MMBTU)])</f>
        <v>718173.07302877784</v>
      </c>
      <c r="D7" s="63">
        <f>SUMIF(DetailTable14[Period],AnnualTable15[#Headers],DetailTable14[TOTAL  (MMBTU)])</f>
        <v>748309.56817834207</v>
      </c>
    </row>
    <row r="8" spans="1:8" x14ac:dyDescent="0.25">
      <c r="A8" s="109" t="s">
        <v>92</v>
      </c>
      <c r="B8" s="63">
        <f>SUMIF(DetailTable14[Period],AnnualTable15[#Headers],DetailTable14[Energy Savings: Electricity (MMBTU)])</f>
        <v>0</v>
      </c>
      <c r="C8" s="63">
        <f ca="1">SUMIF(DetailTable14[Period],AnnualTable15[#Headers],DetailTable14[Energy Savings: Electricity (MMBTU)])</f>
        <v>59389.042711756832</v>
      </c>
      <c r="D8" s="63">
        <f ca="1">SUMIF(DetailTable14[Period],AnnualTable15[#Headers],DetailTable14[Energy Savings: Electricity (MMBTU)])</f>
        <v>30884.547562192805</v>
      </c>
    </row>
    <row r="9" spans="1:8" x14ac:dyDescent="0.25">
      <c r="A9" s="109" t="s">
        <v>93</v>
      </c>
      <c r="B9" s="63">
        <f>SUMIF(DetailTable14[Period],AnnualTable15[#Headers],DetailTable14[Energy Savings: Natural Gas (MMBTU)])</f>
        <v>0</v>
      </c>
      <c r="C9" s="63">
        <f ca="1">SUMIF(DetailTable14[Period],AnnualTable15[#Headers],DetailTable14[Energy Savings: Natural Gas (MMBTU)])</f>
        <v>48242.8</v>
      </c>
      <c r="D9" s="63">
        <f ca="1">SUMIF(DetailTable14[Period],AnnualTable15[#Headers],DetailTable14[Energy Savings: Natural Gas (MMBTU)])</f>
        <v>46610.8</v>
      </c>
    </row>
    <row r="10" spans="1:8" x14ac:dyDescent="0.25">
      <c r="A10" s="62" t="s">
        <v>146</v>
      </c>
      <c r="B10" s="63">
        <f>SUMIF(DetailTable14[Period],AnnualTable15[#Headers],DetailTable14[Production])</f>
        <v>2811391.9</v>
      </c>
      <c r="C10" s="63">
        <f>SUMIF(DetailTable14[Period],AnnualTable15[#Headers],DetailTable14[Production])</f>
        <v>2587183</v>
      </c>
      <c r="D10" s="63">
        <f>SUMIF(DetailTable14[Period],AnnualTable15[#Headers],DetailTable14[Production])</f>
        <v>2623576.9</v>
      </c>
    </row>
    <row r="11" spans="1:8" x14ac:dyDescent="0.25">
      <c r="A11" s="110" t="s">
        <v>147</v>
      </c>
      <c r="B11" s="111">
        <f ca="1">OFFSET(AnnualTable15[#Headers], MATCH("TOTAL  (MMBTU)",AnnualTable15[[#All],[ ]],0)-1,0)/OFFSET(AnnualTable15[#Headers], MATCH("Total Production Output",AnnualTable15[[#All],[ ]],0)-1,0)</f>
        <v>0.29373525467599693</v>
      </c>
      <c r="C11" s="111">
        <f ca="1">OFFSET(AnnualTable15[#Headers], MATCH("TOTAL  (MMBTU)",AnnualTable15[[#All],[ ]],0)-1,0)/OFFSET(AnnualTable15[#Headers], MATCH("Total Production Output",AnnualTable15[[#All],[ ]],0)-1,0)</f>
        <v>0.27758881881520475</v>
      </c>
      <c r="D11" s="111">
        <f ca="1">OFFSET(AnnualTable15[#Headers], MATCH("TOTAL  (MMBTU)",AnnualTable15[[#All],[ ]],0)-1,0)/OFFSET(AnnualTable15[#Headers], MATCH("Total Production Output",AnnualTable15[[#All],[ ]],0)-1,0)</f>
        <v>0.28522494163534606</v>
      </c>
    </row>
    <row r="12" spans="1:8" x14ac:dyDescent="0.25">
      <c r="A12" s="70" t="s">
        <v>95</v>
      </c>
      <c r="B12" s="71">
        <v>0</v>
      </c>
      <c r="C12" s="71">
        <f ca="1">(INDEX(AnnualTable15[],MATCH("Production Energy Intensity (MMBtu/unit production)",AnnualTable15[[ ]],0),2)-INDEX(AnnualTable15[],MATCH("Production Energy Intensity (MMBtu/unit production)",AnnualTable15[[ ]],0),COLUMN()))/(INDEX(AnnualTable15[],MATCH("Production Energy Intensity (MMBtu/unit production)",AnnualTable15[[ ]],0),2))</f>
        <v>5.4969349452459876E-2</v>
      </c>
      <c r="D12" s="71">
        <f ca="1">(INDEX(AnnualTable15[],MATCH("Production Energy Intensity (MMBtu/unit production)",AnnualTable15[[ ]],0),2)-INDEX(AnnualTable15[],MATCH("Production Energy Intensity (MMBtu/unit production)",AnnualTable15[[ ]],0),COLUMN()))/(INDEX(AnnualTable15[],MATCH("Production Energy Intensity (MMBtu/unit production)",AnnualTable15[[ ]],0),2))</f>
        <v>2.8972732776112006E-2</v>
      </c>
    </row>
    <row r="13" spans="1:8" x14ac:dyDescent="0.25">
      <c r="A13" s="70" t="s">
        <v>96</v>
      </c>
      <c r="B13" s="71">
        <v>0</v>
      </c>
      <c r="C13" s="71">
        <f t="shared" ref="C13:D13" ca="1" si="0">OFFSET(INDIRECT(ADDRESS(ROW(), COLUMN())),-1,0,1,1)-OFFSET(INDIRECT(ADDRESS(ROW(), COLUMN())),-1,-1,1,1)</f>
        <v>5.4969349452459876E-2</v>
      </c>
      <c r="D13" s="71">
        <f t="shared" ca="1" si="0"/>
        <v>-2.599661667634787E-2</v>
      </c>
    </row>
    <row r="14" spans="1:8" x14ac:dyDescent="0.25">
      <c r="A14" s="62" t="s">
        <v>148</v>
      </c>
      <c r="B14" s="66">
        <v>0</v>
      </c>
      <c r="C14" s="66">
        <f>(INDEX(AnnualTable15[],MATCH("TOTAL  (MMBTU)",AnnualTable15[[ ]],0),2)-INDEX(AnnualTable15[],MATCH("TOTAL  (MMBTU)",AnnualTable15[[ ]],0),COLUMN()))</f>
        <v>107631.84271175705</v>
      </c>
      <c r="D14" s="66">
        <f>(INDEX(AnnualTable15[],MATCH("TOTAL  (MMBTU)",AnnualTable15[[ ]],0),2)-INDEX(AnnualTable15[],MATCH("TOTAL  (MMBTU)",AnnualTable15[[ ]],0),COLUMN()))</f>
        <v>77495.347562192823</v>
      </c>
    </row>
    <row r="15" spans="1:8" x14ac:dyDescent="0.25">
      <c r="A15" s="62" t="s">
        <v>149</v>
      </c>
      <c r="B15" s="66">
        <v>0</v>
      </c>
      <c r="C15" s="66">
        <f t="shared" ref="C15:D15" ca="1" si="1">OFFSET(INDIRECT(ADDRESS(ROW(), COLUMN())),-1,0,1,1)-OFFSET(INDIRECT(ADDRESS(ROW(), COLUMN())),-1,-1,1,1)</f>
        <v>107631.84271175705</v>
      </c>
      <c r="D15" s="66">
        <f t="shared" ca="1" si="1"/>
        <v>-30136.495149564231</v>
      </c>
    </row>
    <row r="17" ht="268.35000000000002" customHeight="1" x14ac:dyDescent="0.25"/>
  </sheetData>
  <mergeCells count="2">
    <mergeCell ref="A1:H1"/>
    <mergeCell ref="A2:H2"/>
  </mergeCells>
  <pageMargins left="0.7" right="0.7" top="0.75" bottom="0.75" header="0.3" footer="0.3"/>
  <customProperties>
    <customPr name="HasEnPITables" r:id="rId1"/>
    <customPr name="IsValidRollupSource" r:id="rId2"/>
    <customPr name="SheetGUID" r:id="rId3"/>
  </customProperties>
  <drawing r:id="rId4"/>
  <tableParts count="1">
    <tablePart r:id="rId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A1656-67E5-43AD-A7B2-5362AF9E6A4D}">
  <sheetPr>
    <tabColor rgb="FF11CC50"/>
  </sheetPr>
  <dimension ref="A1:AA86"/>
  <sheetViews>
    <sheetView workbookViewId="0">
      <selection activeCell="A14" sqref="A14:D14"/>
    </sheetView>
  </sheetViews>
  <sheetFormatPr defaultRowHeight="15" x14ac:dyDescent="0.25"/>
  <cols>
    <col min="1" max="1" width="9.7109375" bestFit="1" customWidth="1"/>
    <col min="2" max="2" width="17.42578125" customWidth="1"/>
    <col min="3" max="3" width="21" customWidth="1"/>
    <col min="4" max="4" width="21.5703125" customWidth="1"/>
    <col min="5" max="5" width="22.5703125" customWidth="1"/>
    <col min="6" max="6" width="12.85546875" customWidth="1"/>
    <col min="11" max="15" width="0" hidden="1" customWidth="1"/>
    <col min="16" max="18" width="16.42578125" customWidth="1"/>
  </cols>
  <sheetData>
    <row r="1" spans="1:27" ht="212.1" customHeight="1" x14ac:dyDescent="0.25"/>
    <row r="14" spans="1:27" ht="45" x14ac:dyDescent="0.25">
      <c r="A14" s="44" t="s">
        <v>0</v>
      </c>
      <c r="B14" s="44" t="s">
        <v>1</v>
      </c>
      <c r="C14" s="44" t="s">
        <v>2</v>
      </c>
      <c r="D14" s="44" t="s">
        <v>3</v>
      </c>
      <c r="E14" s="44" t="s">
        <v>4</v>
      </c>
      <c r="F14" s="44" t="s">
        <v>5</v>
      </c>
      <c r="G14" s="44" t="s">
        <v>6</v>
      </c>
      <c r="H14" s="44" t="s">
        <v>7</v>
      </c>
      <c r="I14" s="44" t="s">
        <v>8</v>
      </c>
      <c r="J14" s="44" t="s">
        <v>47</v>
      </c>
      <c r="K14" s="44" t="s">
        <v>142</v>
      </c>
      <c r="L14" s="44" t="s">
        <v>48</v>
      </c>
      <c r="M14" s="44" t="s">
        <v>49</v>
      </c>
      <c r="N14" s="44" t="s">
        <v>143</v>
      </c>
      <c r="O14" s="44" t="s">
        <v>144</v>
      </c>
      <c r="P14" s="44" t="s">
        <v>57</v>
      </c>
      <c r="Q14" s="44" t="s">
        <v>58</v>
      </c>
      <c r="R14" s="44" t="s">
        <v>145</v>
      </c>
    </row>
    <row r="15" spans="1:27" x14ac:dyDescent="0.25">
      <c r="A15" s="42">
        <v>39083</v>
      </c>
      <c r="B15" s="35">
        <v>4668632.7971602436</v>
      </c>
      <c r="C15" s="35">
        <v>47790.114149303845</v>
      </c>
      <c r="D15" s="35">
        <v>302940</v>
      </c>
      <c r="E15" s="35">
        <v>30294</v>
      </c>
      <c r="F15" s="35">
        <v>256107</v>
      </c>
      <c r="G15" s="35">
        <v>1619</v>
      </c>
      <c r="H15" s="35">
        <v>0</v>
      </c>
      <c r="I15" s="37">
        <v>2007</v>
      </c>
      <c r="J15" s="35">
        <f>DetailTable14[Electricity (MMBTU)]+DetailTable14[Natural Gas (MMBTU)]</f>
        <v>78084.114149303845</v>
      </c>
      <c r="K15" s="35">
        <f>SUM(SUMIFS(DetailTable14[Production],DetailTable14[Period],DetailTable14[Period]))</f>
        <v>2811391.9</v>
      </c>
      <c r="L15" s="35">
        <v>2007</v>
      </c>
      <c r="M15" s="35">
        <v>0</v>
      </c>
      <c r="N15" s="35">
        <f ca="1">IF(OFFSET(INDIRECT(ADDRESS(ROW(),COLUMN(DetailTable14[Period]))),-1,0,1,1) = OFFSET(INDIRECT(ADDRESS(ROW(),COLUMN(DetailTable14[Period]))),0,0,1,1),OFFSET(INDIRECT(ADDRESS(ROW(),COLUMN())),-1,0,1,1) + 1,1)</f>
        <v>1</v>
      </c>
      <c r="O15" s="35">
        <f ca="1">IF(DetailTable14[Period] = DetailTable14[Baseline Year],IF(OFFSET(INDIRECT(ADDRESS(ROW(),COLUMN(DetailTable14[Period]))),-1,0,1,1) = OFFSET(INDIRECT(ADDRESS(ROW(),COLUMN(DetailTable14[Period]))),0,0,1,1),OFFSET(INDIRECT(ADDRESS(ROW(),COLUMN())),-1,0,1,1) + 1,1),0)</f>
        <v>1</v>
      </c>
      <c r="P15"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15"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15" s="35">
        <f>IF(DetailTable14[Period]=DetailTable14[Baseline Year],DetailTable14[TOTAL  (MMBTU)],IF(DetailTable14[Period Count] &lt;= MAX(DetailTable14[Baseline Count]),INDEX(DetailTable14[],DetailTable14[Period Count],COLUMN(DetailTable14[TOTAL  (MMBTU)])),DetailTable14[TOTAL  (MMBTU)]))-DetailTable14[TOTAL  (MMBTU)]</f>
        <v>0</v>
      </c>
      <c r="S15" s="35"/>
      <c r="T15" s="35"/>
      <c r="U15" s="35"/>
      <c r="V15" s="35"/>
      <c r="W15" s="35"/>
      <c r="X15" s="35"/>
      <c r="Y15" s="35"/>
      <c r="Z15" s="35"/>
      <c r="AA15" s="35"/>
    </row>
    <row r="16" spans="1:27" x14ac:dyDescent="0.25">
      <c r="A16" s="42">
        <v>39114</v>
      </c>
      <c r="B16" s="35">
        <v>4811527.4482758623</v>
      </c>
      <c r="C16" s="35">
        <v>49252.844671244689</v>
      </c>
      <c r="D16" s="35">
        <v>280940</v>
      </c>
      <c r="E16" s="35">
        <v>28094</v>
      </c>
      <c r="F16" s="35">
        <v>265927</v>
      </c>
      <c r="G16" s="35">
        <v>1453</v>
      </c>
      <c r="H16" s="35">
        <v>0</v>
      </c>
      <c r="I16" s="37">
        <v>2007</v>
      </c>
      <c r="J16" s="35">
        <f>DetailTable14[Electricity (MMBTU)]+DetailTable14[Natural Gas (MMBTU)]</f>
        <v>77346.844671244689</v>
      </c>
      <c r="K16" s="35">
        <f>SUM(SUMIFS(DetailTable14[Production],DetailTable14[Period],DetailTable14[Period]))</f>
        <v>2811391.9</v>
      </c>
      <c r="L16" s="35">
        <v>2007</v>
      </c>
      <c r="M16" s="35">
        <v>0</v>
      </c>
      <c r="N16" s="35">
        <f ca="1">IF(OFFSET(INDIRECT(ADDRESS(ROW(),COLUMN(DetailTable14[Period]))),-1,0,1,1) = OFFSET(INDIRECT(ADDRESS(ROW(),COLUMN(DetailTable14[Period]))),0,0,1,1),OFFSET(INDIRECT(ADDRESS(ROW(),COLUMN())),-1,0,1,1) + 1,1)</f>
        <v>2</v>
      </c>
      <c r="O16" s="35">
        <f ca="1">IF(DetailTable14[Period] = DetailTable14[Baseline Year],IF(OFFSET(INDIRECT(ADDRESS(ROW(),COLUMN(DetailTable14[Period]))),-1,0,1,1) = OFFSET(INDIRECT(ADDRESS(ROW(),COLUMN(DetailTable14[Period]))),0,0,1,1),OFFSET(INDIRECT(ADDRESS(ROW(),COLUMN())),-1,0,1,1) + 1,1),0)</f>
        <v>2</v>
      </c>
      <c r="P16"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16"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16" s="35">
        <f>IF(DetailTable14[Period]=DetailTable14[Baseline Year],DetailTable14[TOTAL  (MMBTU)],IF(DetailTable14[Period Count] &lt;= MAX(DetailTable14[Baseline Count]),INDEX(DetailTable14[],DetailTable14[Period Count],COLUMN(DetailTable14[TOTAL  (MMBTU)])),DetailTable14[TOTAL  (MMBTU)]))-DetailTable14[TOTAL  (MMBTU)]</f>
        <v>0</v>
      </c>
      <c r="S16" s="35"/>
      <c r="T16" s="35"/>
      <c r="U16" s="35"/>
      <c r="V16" s="35"/>
      <c r="W16" s="35"/>
      <c r="X16" s="35"/>
      <c r="Y16" s="35"/>
      <c r="Z16" s="35"/>
      <c r="AA16" s="35"/>
    </row>
    <row r="17" spans="1:27" x14ac:dyDescent="0.25">
      <c r="A17" s="42">
        <v>39142</v>
      </c>
      <c r="B17" s="35">
        <v>4717995.1310344823</v>
      </c>
      <c r="C17" s="35">
        <v>48295.408027194782</v>
      </c>
      <c r="D17" s="35">
        <v>243870</v>
      </c>
      <c r="E17" s="35">
        <v>24387</v>
      </c>
      <c r="F17" s="35">
        <v>237277</v>
      </c>
      <c r="G17" s="35">
        <v>1126</v>
      </c>
      <c r="H17" s="35">
        <v>0</v>
      </c>
      <c r="I17" s="37">
        <v>2007</v>
      </c>
      <c r="J17" s="35">
        <f>DetailTable14[Electricity (MMBTU)]+DetailTable14[Natural Gas (MMBTU)]</f>
        <v>72682.40802719479</v>
      </c>
      <c r="K17" s="35">
        <f>SUM(SUMIFS(DetailTable14[Production],DetailTable14[Period],DetailTable14[Period]))</f>
        <v>2811391.9</v>
      </c>
      <c r="L17" s="35">
        <v>2007</v>
      </c>
      <c r="M17" s="35">
        <v>0</v>
      </c>
      <c r="N17" s="35">
        <f ca="1">IF(OFFSET(INDIRECT(ADDRESS(ROW(),COLUMN(DetailTable14[Period]))),-1,0,1,1) = OFFSET(INDIRECT(ADDRESS(ROW(),COLUMN(DetailTable14[Period]))),0,0,1,1),OFFSET(INDIRECT(ADDRESS(ROW(),COLUMN())),-1,0,1,1) + 1,1)</f>
        <v>3</v>
      </c>
      <c r="O17" s="35">
        <f ca="1">IF(DetailTable14[Period] = DetailTable14[Baseline Year],IF(OFFSET(INDIRECT(ADDRESS(ROW(),COLUMN(DetailTable14[Period]))),-1,0,1,1) = OFFSET(INDIRECT(ADDRESS(ROW(),COLUMN(DetailTable14[Period]))),0,0,1,1),OFFSET(INDIRECT(ADDRESS(ROW(),COLUMN())),-1,0,1,1) + 1,1),0)</f>
        <v>3</v>
      </c>
      <c r="P17"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17"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17" s="35">
        <f>IF(DetailTable14[Period]=DetailTable14[Baseline Year],DetailTable14[TOTAL  (MMBTU)],IF(DetailTable14[Period Count] &lt;= MAX(DetailTable14[Baseline Count]),INDEX(DetailTable14[],DetailTable14[Period Count],COLUMN(DetailTable14[TOTAL  (MMBTU)])),DetailTable14[TOTAL  (MMBTU)]))-DetailTable14[TOTAL  (MMBTU)]</f>
        <v>0</v>
      </c>
      <c r="S17" s="35"/>
      <c r="T17" s="35"/>
      <c r="U17" s="35"/>
      <c r="V17" s="35"/>
      <c r="W17" s="35"/>
      <c r="X17" s="35"/>
      <c r="Y17" s="35"/>
      <c r="Z17" s="35"/>
      <c r="AA17" s="35"/>
    </row>
    <row r="18" spans="1:27" x14ac:dyDescent="0.25">
      <c r="A18" s="42">
        <v>39173</v>
      </c>
      <c r="B18" s="35">
        <v>4286134.412903225</v>
      </c>
      <c r="C18" s="35">
        <v>43874.697743737306</v>
      </c>
      <c r="D18" s="35">
        <v>158180</v>
      </c>
      <c r="E18" s="35">
        <v>15818</v>
      </c>
      <c r="F18" s="35">
        <v>201834</v>
      </c>
      <c r="G18" s="35">
        <v>657</v>
      </c>
      <c r="H18" s="35">
        <v>0</v>
      </c>
      <c r="I18" s="37">
        <v>2007</v>
      </c>
      <c r="J18" s="35">
        <f>DetailTable14[Electricity (MMBTU)]+DetailTable14[Natural Gas (MMBTU)]</f>
        <v>59692.697743737306</v>
      </c>
      <c r="K18" s="35">
        <f>SUM(SUMIFS(DetailTable14[Production],DetailTable14[Period],DetailTable14[Period]))</f>
        <v>2811391.9</v>
      </c>
      <c r="L18" s="35">
        <v>2007</v>
      </c>
      <c r="M18" s="35">
        <v>0</v>
      </c>
      <c r="N18" s="35">
        <f ca="1">IF(OFFSET(INDIRECT(ADDRESS(ROW(),COLUMN(DetailTable14[Period]))),-1,0,1,1) = OFFSET(INDIRECT(ADDRESS(ROW(),COLUMN(DetailTable14[Period]))),0,0,1,1),OFFSET(INDIRECT(ADDRESS(ROW(),COLUMN())),-1,0,1,1) + 1,1)</f>
        <v>4</v>
      </c>
      <c r="O18" s="35">
        <f ca="1">IF(DetailTable14[Period] = DetailTable14[Baseline Year],IF(OFFSET(INDIRECT(ADDRESS(ROW(),COLUMN(DetailTable14[Period]))),-1,0,1,1) = OFFSET(INDIRECT(ADDRESS(ROW(),COLUMN(DetailTable14[Period]))),0,0,1,1),OFFSET(INDIRECT(ADDRESS(ROW(),COLUMN())),-1,0,1,1) + 1,1),0)</f>
        <v>4</v>
      </c>
      <c r="P18"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18"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18" s="35">
        <f>IF(DetailTable14[Period]=DetailTable14[Baseline Year],DetailTable14[TOTAL  (MMBTU)],IF(DetailTable14[Period Count] &lt;= MAX(DetailTable14[Baseline Count]),INDEX(DetailTable14[],DetailTable14[Period Count],COLUMN(DetailTable14[TOTAL  (MMBTU)])),DetailTable14[TOTAL  (MMBTU)]))-DetailTable14[TOTAL  (MMBTU)]</f>
        <v>0</v>
      </c>
      <c r="S18" s="35"/>
      <c r="T18" s="35"/>
      <c r="U18" s="35"/>
      <c r="V18" s="35"/>
      <c r="W18" s="35"/>
      <c r="X18" s="35"/>
      <c r="Y18" s="35"/>
      <c r="Z18" s="35"/>
      <c r="AA18" s="35"/>
    </row>
    <row r="19" spans="1:27" x14ac:dyDescent="0.25">
      <c r="A19" s="42">
        <v>39203</v>
      </c>
      <c r="B19" s="35">
        <v>4662388.1870967746</v>
      </c>
      <c r="C19" s="35">
        <v>47726.191660490287</v>
      </c>
      <c r="D19" s="35">
        <v>140850</v>
      </c>
      <c r="E19" s="35">
        <v>14085</v>
      </c>
      <c r="F19" s="35">
        <v>215584</v>
      </c>
      <c r="G19" s="35">
        <v>272</v>
      </c>
      <c r="H19" s="35">
        <v>11</v>
      </c>
      <c r="I19" s="37">
        <v>2007</v>
      </c>
      <c r="J19" s="35">
        <f>DetailTable14[Electricity (MMBTU)]+DetailTable14[Natural Gas (MMBTU)]</f>
        <v>61811.191660490287</v>
      </c>
      <c r="K19" s="35">
        <f>SUM(SUMIFS(DetailTable14[Production],DetailTable14[Period],DetailTable14[Period]))</f>
        <v>2811391.9</v>
      </c>
      <c r="L19" s="35">
        <v>2007</v>
      </c>
      <c r="M19" s="35">
        <v>0</v>
      </c>
      <c r="N19" s="35">
        <f ca="1">IF(OFFSET(INDIRECT(ADDRESS(ROW(),COLUMN(DetailTable14[Period]))),-1,0,1,1) = OFFSET(INDIRECT(ADDRESS(ROW(),COLUMN(DetailTable14[Period]))),0,0,1,1),OFFSET(INDIRECT(ADDRESS(ROW(),COLUMN())),-1,0,1,1) + 1,1)</f>
        <v>5</v>
      </c>
      <c r="O19" s="35">
        <f ca="1">IF(DetailTable14[Period] = DetailTable14[Baseline Year],IF(OFFSET(INDIRECT(ADDRESS(ROW(),COLUMN(DetailTable14[Period]))),-1,0,1,1) = OFFSET(INDIRECT(ADDRESS(ROW(),COLUMN(DetailTable14[Period]))),0,0,1,1),OFFSET(INDIRECT(ADDRESS(ROW(),COLUMN())),-1,0,1,1) + 1,1),0)</f>
        <v>5</v>
      </c>
      <c r="P19"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19"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19" s="35">
        <f>IF(DetailTable14[Period]=DetailTable14[Baseline Year],DetailTable14[TOTAL  (MMBTU)],IF(DetailTable14[Period Count] &lt;= MAX(DetailTable14[Baseline Count]),INDEX(DetailTable14[],DetailTable14[Period Count],COLUMN(DetailTable14[TOTAL  (MMBTU)])),DetailTable14[TOTAL  (MMBTU)]))-DetailTable14[TOTAL  (MMBTU)]</f>
        <v>0</v>
      </c>
      <c r="S19" s="35"/>
      <c r="T19" s="35"/>
      <c r="U19" s="35"/>
      <c r="V19" s="35"/>
      <c r="W19" s="35"/>
      <c r="X19" s="35"/>
      <c r="Y19" s="35"/>
      <c r="Z19" s="35"/>
      <c r="AA19" s="35"/>
    </row>
    <row r="20" spans="1:27" x14ac:dyDescent="0.25">
      <c r="A20" s="42">
        <v>39234</v>
      </c>
      <c r="B20" s="35">
        <v>4791049.5999999996</v>
      </c>
      <c r="C20" s="35">
        <v>49043.224692729593</v>
      </c>
      <c r="D20" s="35">
        <v>148660</v>
      </c>
      <c r="E20" s="35">
        <v>14866</v>
      </c>
      <c r="F20" s="35">
        <v>239665</v>
      </c>
      <c r="G20" s="35">
        <v>12</v>
      </c>
      <c r="H20" s="35">
        <v>94</v>
      </c>
      <c r="I20" s="37">
        <v>2007</v>
      </c>
      <c r="J20" s="35">
        <f>DetailTable14[Electricity (MMBTU)]+DetailTable14[Natural Gas (MMBTU)]</f>
        <v>63909.224692729593</v>
      </c>
      <c r="K20" s="35">
        <f>SUM(SUMIFS(DetailTable14[Production],DetailTable14[Period],DetailTable14[Period]))</f>
        <v>2811391.9</v>
      </c>
      <c r="L20" s="35">
        <v>2007</v>
      </c>
      <c r="M20" s="35">
        <v>0</v>
      </c>
      <c r="N20" s="35">
        <f ca="1">IF(OFFSET(INDIRECT(ADDRESS(ROW(),COLUMN(DetailTable14[Period]))),-1,0,1,1) = OFFSET(INDIRECT(ADDRESS(ROW(),COLUMN(DetailTable14[Period]))),0,0,1,1),OFFSET(INDIRECT(ADDRESS(ROW(),COLUMN())),-1,0,1,1) + 1,1)</f>
        <v>6</v>
      </c>
      <c r="O20" s="35">
        <f ca="1">IF(DetailTable14[Period] = DetailTable14[Baseline Year],IF(OFFSET(INDIRECT(ADDRESS(ROW(),COLUMN(DetailTable14[Period]))),-1,0,1,1) = OFFSET(INDIRECT(ADDRESS(ROW(),COLUMN(DetailTable14[Period]))),0,0,1,1),OFFSET(INDIRECT(ADDRESS(ROW(),COLUMN())),-1,0,1,1) + 1,1),0)</f>
        <v>6</v>
      </c>
      <c r="P20"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20"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20" s="35">
        <f>IF(DetailTable14[Period]=DetailTable14[Baseline Year],DetailTable14[TOTAL  (MMBTU)],IF(DetailTable14[Period Count] &lt;= MAX(DetailTable14[Baseline Count]),INDEX(DetailTable14[],DetailTable14[Period Count],COLUMN(DetailTable14[TOTAL  (MMBTU)])),DetailTable14[TOTAL  (MMBTU)]))-DetailTable14[TOTAL  (MMBTU)]</f>
        <v>0</v>
      </c>
      <c r="S20" s="35"/>
      <c r="T20" s="35"/>
      <c r="U20" s="35"/>
      <c r="V20" s="35"/>
      <c r="W20" s="35"/>
      <c r="X20" s="35"/>
      <c r="Y20" s="35"/>
      <c r="Z20" s="35"/>
      <c r="AA20" s="35"/>
    </row>
    <row r="21" spans="1:27" x14ac:dyDescent="0.25">
      <c r="A21" s="42">
        <v>39264</v>
      </c>
      <c r="B21" s="35">
        <v>5293607.5354838707</v>
      </c>
      <c r="C21" s="35">
        <v>54187.621810023011</v>
      </c>
      <c r="D21" s="35">
        <v>132970</v>
      </c>
      <c r="E21" s="35">
        <v>13297</v>
      </c>
      <c r="F21" s="35">
        <v>216025</v>
      </c>
      <c r="G21" s="35">
        <v>2</v>
      </c>
      <c r="H21" s="35">
        <v>216</v>
      </c>
      <c r="I21" s="37">
        <v>2007</v>
      </c>
      <c r="J21" s="35">
        <f>DetailTable14[Electricity (MMBTU)]+DetailTable14[Natural Gas (MMBTU)]</f>
        <v>67484.621810023003</v>
      </c>
      <c r="K21" s="35">
        <f>SUM(SUMIFS(DetailTable14[Production],DetailTable14[Period],DetailTable14[Period]))</f>
        <v>2811391.9</v>
      </c>
      <c r="L21" s="35">
        <v>2007</v>
      </c>
      <c r="M21" s="35">
        <v>0</v>
      </c>
      <c r="N21" s="35">
        <f ca="1">IF(OFFSET(INDIRECT(ADDRESS(ROW(),COLUMN(DetailTable14[Period]))),-1,0,1,1) = OFFSET(INDIRECT(ADDRESS(ROW(),COLUMN(DetailTable14[Period]))),0,0,1,1),OFFSET(INDIRECT(ADDRESS(ROW(),COLUMN())),-1,0,1,1) + 1,1)</f>
        <v>7</v>
      </c>
      <c r="O21" s="35">
        <f ca="1">IF(DetailTable14[Period] = DetailTable14[Baseline Year],IF(OFFSET(INDIRECT(ADDRESS(ROW(),COLUMN(DetailTable14[Period]))),-1,0,1,1) = OFFSET(INDIRECT(ADDRESS(ROW(),COLUMN(DetailTable14[Period]))),0,0,1,1),OFFSET(INDIRECT(ADDRESS(ROW(),COLUMN())),-1,0,1,1) + 1,1),0)</f>
        <v>7</v>
      </c>
      <c r="P21"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21"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21" s="35">
        <f>IF(DetailTable14[Period]=DetailTable14[Baseline Year],DetailTable14[TOTAL  (MMBTU)],IF(DetailTable14[Period Count] &lt;= MAX(DetailTable14[Baseline Count]),INDEX(DetailTable14[],DetailTable14[Period Count],COLUMN(DetailTable14[TOTAL  (MMBTU)])),DetailTable14[TOTAL  (MMBTU)]))-DetailTable14[TOTAL  (MMBTU)]</f>
        <v>0</v>
      </c>
      <c r="S21" s="35"/>
      <c r="T21" s="35"/>
      <c r="U21" s="35"/>
      <c r="V21" s="35"/>
      <c r="W21" s="35"/>
      <c r="X21" s="35"/>
      <c r="Y21" s="35"/>
      <c r="Z21" s="35"/>
      <c r="AA21" s="35"/>
    </row>
    <row r="22" spans="1:27" x14ac:dyDescent="0.25">
      <c r="A22" s="42">
        <v>39295</v>
      </c>
      <c r="B22" s="35">
        <v>5473240.9032258075</v>
      </c>
      <c r="C22" s="35">
        <v>56026.425486044143</v>
      </c>
      <c r="D22" s="35">
        <v>160018</v>
      </c>
      <c r="E22" s="35">
        <v>16001.800000000001</v>
      </c>
      <c r="F22" s="35">
        <v>265071</v>
      </c>
      <c r="G22" s="35">
        <v>7</v>
      </c>
      <c r="H22" s="35">
        <v>148</v>
      </c>
      <c r="I22" s="37">
        <v>2007</v>
      </c>
      <c r="J22" s="35">
        <f>DetailTable14[Electricity (MMBTU)]+DetailTable14[Natural Gas (MMBTU)]</f>
        <v>72028.225486044146</v>
      </c>
      <c r="K22" s="35">
        <f>SUM(SUMIFS(DetailTable14[Production],DetailTable14[Period],DetailTable14[Period]))</f>
        <v>2811391.9</v>
      </c>
      <c r="L22" s="35">
        <v>2007</v>
      </c>
      <c r="M22" s="35">
        <v>0</v>
      </c>
      <c r="N22" s="35">
        <f ca="1">IF(OFFSET(INDIRECT(ADDRESS(ROW(),COLUMN(DetailTable14[Period]))),-1,0,1,1) = OFFSET(INDIRECT(ADDRESS(ROW(),COLUMN(DetailTable14[Period]))),0,0,1,1),OFFSET(INDIRECT(ADDRESS(ROW(),COLUMN())),-1,0,1,1) + 1,1)</f>
        <v>8</v>
      </c>
      <c r="O22" s="35">
        <f ca="1">IF(DetailTable14[Period] = DetailTable14[Baseline Year],IF(OFFSET(INDIRECT(ADDRESS(ROW(),COLUMN(DetailTable14[Period]))),-1,0,1,1) = OFFSET(INDIRECT(ADDRESS(ROW(),COLUMN(DetailTable14[Period]))),0,0,1,1),OFFSET(INDIRECT(ADDRESS(ROW(),COLUMN())),-1,0,1,1) + 1,1),0)</f>
        <v>8</v>
      </c>
      <c r="P22"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22"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22" s="35">
        <f>IF(DetailTable14[Period]=DetailTable14[Baseline Year],DetailTable14[TOTAL  (MMBTU)],IF(DetailTable14[Period Count] &lt;= MAX(DetailTable14[Baseline Count]),INDEX(DetailTable14[],DetailTable14[Period Count],COLUMN(DetailTable14[TOTAL  (MMBTU)])),DetailTable14[TOTAL  (MMBTU)]))-DetailTable14[TOTAL  (MMBTU)]</f>
        <v>0</v>
      </c>
      <c r="S22" s="35"/>
      <c r="T22" s="35"/>
      <c r="U22" s="35"/>
      <c r="V22" s="35"/>
      <c r="W22" s="35"/>
      <c r="X22" s="35"/>
      <c r="Y22" s="35"/>
      <c r="Z22" s="35"/>
      <c r="AA22" s="35"/>
    </row>
    <row r="23" spans="1:27" x14ac:dyDescent="0.25">
      <c r="A23" s="42">
        <v>39326</v>
      </c>
      <c r="B23" s="35">
        <v>5301815.5061179092</v>
      </c>
      <c r="C23" s="35">
        <v>54271.642094028524</v>
      </c>
      <c r="D23" s="35">
        <v>159130</v>
      </c>
      <c r="E23" s="35">
        <v>15913</v>
      </c>
      <c r="F23" s="35">
        <v>243292</v>
      </c>
      <c r="G23" s="35">
        <v>84</v>
      </c>
      <c r="H23" s="35">
        <v>15</v>
      </c>
      <c r="I23" s="37">
        <v>2007</v>
      </c>
      <c r="J23" s="35">
        <f>DetailTable14[Electricity (MMBTU)]+DetailTable14[Natural Gas (MMBTU)]</f>
        <v>70184.642094028532</v>
      </c>
      <c r="K23" s="35">
        <f>SUM(SUMIFS(DetailTable14[Production],DetailTable14[Period],DetailTable14[Period]))</f>
        <v>2811391.9</v>
      </c>
      <c r="L23" s="35">
        <v>2007</v>
      </c>
      <c r="M23" s="35">
        <v>0</v>
      </c>
      <c r="N23" s="35">
        <f ca="1">IF(OFFSET(INDIRECT(ADDRESS(ROW(),COLUMN(DetailTable14[Period]))),-1,0,1,1) = OFFSET(INDIRECT(ADDRESS(ROW(),COLUMN(DetailTable14[Period]))),0,0,1,1),OFFSET(INDIRECT(ADDRESS(ROW(),COLUMN())),-1,0,1,1) + 1,1)</f>
        <v>9</v>
      </c>
      <c r="O23" s="35">
        <f ca="1">IF(DetailTable14[Period] = DetailTable14[Baseline Year],IF(OFFSET(INDIRECT(ADDRESS(ROW(),COLUMN(DetailTable14[Period]))),-1,0,1,1) = OFFSET(INDIRECT(ADDRESS(ROW(),COLUMN(DetailTable14[Period]))),0,0,1,1),OFFSET(INDIRECT(ADDRESS(ROW(),COLUMN())),-1,0,1,1) + 1,1),0)</f>
        <v>9</v>
      </c>
      <c r="P23"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23"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23" s="35">
        <f>IF(DetailTable14[Period]=DetailTable14[Baseline Year],DetailTable14[TOTAL  (MMBTU)],IF(DetailTable14[Period Count] &lt;= MAX(DetailTable14[Baseline Count]),INDEX(DetailTable14[],DetailTable14[Period Count],COLUMN(DetailTable14[TOTAL  (MMBTU)])),DetailTable14[TOTAL  (MMBTU)]))-DetailTable14[TOTAL  (MMBTU)]</f>
        <v>0</v>
      </c>
      <c r="S23" s="35"/>
      <c r="T23" s="35"/>
      <c r="U23" s="35"/>
      <c r="V23" s="35"/>
      <c r="W23" s="35"/>
      <c r="X23" s="35"/>
      <c r="Y23" s="35"/>
      <c r="Z23" s="35"/>
      <c r="AA23" s="35"/>
    </row>
    <row r="24" spans="1:27" x14ac:dyDescent="0.25">
      <c r="A24" s="42">
        <v>39356</v>
      </c>
      <c r="B24" s="35">
        <v>5298435.6229143497</v>
      </c>
      <c r="C24" s="35">
        <v>54237.044169726636</v>
      </c>
      <c r="D24" s="35">
        <v>174740</v>
      </c>
      <c r="E24" s="35">
        <v>17474</v>
      </c>
      <c r="F24" s="35">
        <v>253998</v>
      </c>
      <c r="G24" s="35">
        <v>478</v>
      </c>
      <c r="H24" s="35">
        <v>5</v>
      </c>
      <c r="I24" s="37">
        <v>2007</v>
      </c>
      <c r="J24" s="35">
        <f>DetailTable14[Electricity (MMBTU)]+DetailTable14[Natural Gas (MMBTU)]</f>
        <v>71711.044169726636</v>
      </c>
      <c r="K24" s="35">
        <f>SUM(SUMIFS(DetailTable14[Production],DetailTable14[Period],DetailTable14[Period]))</f>
        <v>2811391.9</v>
      </c>
      <c r="L24" s="35">
        <v>2007</v>
      </c>
      <c r="M24" s="35">
        <v>0</v>
      </c>
      <c r="N24" s="35">
        <f ca="1">IF(OFFSET(INDIRECT(ADDRESS(ROW(),COLUMN(DetailTable14[Period]))),-1,0,1,1) = OFFSET(INDIRECT(ADDRESS(ROW(),COLUMN(DetailTable14[Period]))),0,0,1,1),OFFSET(INDIRECT(ADDRESS(ROW(),COLUMN())),-1,0,1,1) + 1,1)</f>
        <v>10</v>
      </c>
      <c r="O24" s="35">
        <f ca="1">IF(DetailTable14[Period] = DetailTable14[Baseline Year],IF(OFFSET(INDIRECT(ADDRESS(ROW(),COLUMN(DetailTable14[Period]))),-1,0,1,1) = OFFSET(INDIRECT(ADDRESS(ROW(),COLUMN(DetailTable14[Period]))),0,0,1,1),OFFSET(INDIRECT(ADDRESS(ROW(),COLUMN())),-1,0,1,1) + 1,1),0)</f>
        <v>10</v>
      </c>
      <c r="P24"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24"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24" s="35">
        <f>IF(DetailTable14[Period]=DetailTable14[Baseline Year],DetailTable14[TOTAL  (MMBTU)],IF(DetailTable14[Period Count] &lt;= MAX(DetailTable14[Baseline Count]),INDEX(DetailTable14[],DetailTable14[Period Count],COLUMN(DetailTable14[TOTAL  (MMBTU)])),DetailTable14[TOTAL  (MMBTU)]))-DetailTable14[TOTAL  (MMBTU)]</f>
        <v>0</v>
      </c>
      <c r="S24" s="35"/>
      <c r="T24" s="35"/>
      <c r="U24" s="35"/>
      <c r="V24" s="35"/>
      <c r="W24" s="35"/>
      <c r="X24" s="35"/>
      <c r="Y24" s="35"/>
      <c r="Z24" s="35"/>
      <c r="AA24" s="35"/>
    </row>
    <row r="25" spans="1:27" x14ac:dyDescent="0.25">
      <c r="A25" s="42">
        <v>39387</v>
      </c>
      <c r="B25" s="35">
        <v>4584148</v>
      </c>
      <c r="C25" s="35">
        <v>46925.291775047997</v>
      </c>
      <c r="D25" s="35">
        <v>158940</v>
      </c>
      <c r="E25" s="35">
        <v>15894</v>
      </c>
      <c r="F25" s="35">
        <v>182621.5</v>
      </c>
      <c r="G25" s="35">
        <v>913</v>
      </c>
      <c r="H25" s="35">
        <v>0</v>
      </c>
      <c r="I25" s="37">
        <v>2007</v>
      </c>
      <c r="J25" s="35">
        <f>DetailTable14[Electricity (MMBTU)]+DetailTable14[Natural Gas (MMBTU)]</f>
        <v>62819.291775047997</v>
      </c>
      <c r="K25" s="35">
        <f>SUM(SUMIFS(DetailTable14[Production],DetailTable14[Period],DetailTable14[Period]))</f>
        <v>2811391.9</v>
      </c>
      <c r="L25" s="35">
        <v>2007</v>
      </c>
      <c r="M25" s="35">
        <v>0</v>
      </c>
      <c r="N25" s="35">
        <f ca="1">IF(OFFSET(INDIRECT(ADDRESS(ROW(),COLUMN(DetailTable14[Period]))),-1,0,1,1) = OFFSET(INDIRECT(ADDRESS(ROW(),COLUMN(DetailTable14[Period]))),0,0,1,1),OFFSET(INDIRECT(ADDRESS(ROW(),COLUMN())),-1,0,1,1) + 1,1)</f>
        <v>11</v>
      </c>
      <c r="O25" s="35">
        <f ca="1">IF(DetailTable14[Period] = DetailTable14[Baseline Year],IF(OFFSET(INDIRECT(ADDRESS(ROW(),COLUMN(DetailTable14[Period]))),-1,0,1,1) = OFFSET(INDIRECT(ADDRESS(ROW(),COLUMN(DetailTable14[Period]))),0,0,1,1),OFFSET(INDIRECT(ADDRESS(ROW(),COLUMN())),-1,0,1,1) + 1,1),0)</f>
        <v>11</v>
      </c>
      <c r="P25"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25"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25" s="35">
        <f>IF(DetailTable14[Period]=DetailTable14[Baseline Year],DetailTable14[TOTAL  (MMBTU)],IF(DetailTable14[Period Count] &lt;= MAX(DetailTable14[Baseline Count]),INDEX(DetailTable14[],DetailTable14[Period Count],COLUMN(DetailTable14[TOTAL  (MMBTU)])),DetailTable14[TOTAL  (MMBTU)]))-DetailTable14[TOTAL  (MMBTU)]</f>
        <v>0</v>
      </c>
      <c r="S25" s="35"/>
      <c r="T25" s="35"/>
      <c r="U25" s="35"/>
      <c r="V25" s="35"/>
      <c r="W25" s="35"/>
      <c r="X25" s="35"/>
      <c r="Y25" s="35"/>
      <c r="Z25" s="35"/>
      <c r="AA25" s="35"/>
    </row>
    <row r="26" spans="1:27" x14ac:dyDescent="0.25">
      <c r="A26" s="42">
        <v>39417</v>
      </c>
      <c r="B26" s="35">
        <v>4413514</v>
      </c>
      <c r="C26" s="35">
        <v>45178.609460963999</v>
      </c>
      <c r="D26" s="35">
        <v>228720</v>
      </c>
      <c r="E26" s="35">
        <v>22872</v>
      </c>
      <c r="F26" s="35">
        <v>233990.39999999999</v>
      </c>
      <c r="G26" s="35">
        <v>1605</v>
      </c>
      <c r="H26" s="35">
        <v>0</v>
      </c>
      <c r="I26" s="37">
        <v>2007</v>
      </c>
      <c r="J26" s="35">
        <f>DetailTable14[Electricity (MMBTU)]+DetailTable14[Natural Gas (MMBTU)]</f>
        <v>68050.609460963999</v>
      </c>
      <c r="K26" s="35">
        <f>SUM(SUMIFS(DetailTable14[Production],DetailTable14[Period],DetailTable14[Period]))</f>
        <v>2811391.9</v>
      </c>
      <c r="L26" s="35">
        <v>2007</v>
      </c>
      <c r="M26" s="35">
        <v>0</v>
      </c>
      <c r="N26" s="35">
        <f ca="1">IF(OFFSET(INDIRECT(ADDRESS(ROW(),COLUMN(DetailTable14[Period]))),-1,0,1,1) = OFFSET(INDIRECT(ADDRESS(ROW(),COLUMN(DetailTable14[Period]))),0,0,1,1),OFFSET(INDIRECT(ADDRESS(ROW(),COLUMN())),-1,0,1,1) + 1,1)</f>
        <v>12</v>
      </c>
      <c r="O26" s="35">
        <f ca="1">IF(DetailTable14[Period] = DetailTable14[Baseline Year],IF(OFFSET(INDIRECT(ADDRESS(ROW(),COLUMN(DetailTable14[Period]))),-1,0,1,1) = OFFSET(INDIRECT(ADDRESS(ROW(),COLUMN(DetailTable14[Period]))),0,0,1,1),OFFSET(INDIRECT(ADDRESS(ROW(),COLUMN())),-1,0,1,1) + 1,1),0)</f>
        <v>12</v>
      </c>
      <c r="P26" s="35">
        <f>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0</v>
      </c>
      <c r="Q26" s="35">
        <f>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0</v>
      </c>
      <c r="R26" s="35">
        <f>IF(DetailTable14[Period]=DetailTable14[Baseline Year],DetailTable14[TOTAL  (MMBTU)],IF(DetailTable14[Period Count] &lt;= MAX(DetailTable14[Baseline Count]),INDEX(DetailTable14[],DetailTable14[Period Count],COLUMN(DetailTable14[TOTAL  (MMBTU)])),DetailTable14[TOTAL  (MMBTU)]))-DetailTable14[TOTAL  (MMBTU)]</f>
        <v>0</v>
      </c>
      <c r="S26" s="35"/>
      <c r="T26" s="35"/>
      <c r="U26" s="35"/>
      <c r="V26" s="35"/>
      <c r="W26" s="35"/>
      <c r="X26" s="35"/>
      <c r="Y26" s="35"/>
      <c r="Z26" s="35"/>
      <c r="AA26" s="35"/>
    </row>
    <row r="27" spans="1:27" x14ac:dyDescent="0.25">
      <c r="A27" s="42">
        <v>39448</v>
      </c>
      <c r="B27" s="35">
        <v>4261687</v>
      </c>
      <c r="C27" s="35">
        <v>43624.443610661998</v>
      </c>
      <c r="D27" s="35">
        <v>227990</v>
      </c>
      <c r="E27" s="35">
        <v>22799</v>
      </c>
      <c r="F27" s="35">
        <v>206376</v>
      </c>
      <c r="G27" s="35">
        <v>1722</v>
      </c>
      <c r="H27" s="35">
        <v>0</v>
      </c>
      <c r="I27" s="37">
        <v>2008</v>
      </c>
      <c r="J27" s="35">
        <f>DetailTable14[Electricity (MMBTU)]+DetailTable14[Natural Gas (MMBTU)]</f>
        <v>66423.443610661998</v>
      </c>
      <c r="K27" s="35">
        <f>SUM(SUMIFS(DetailTable14[Production],DetailTable14[Period],DetailTable14[Period]))</f>
        <v>2587183</v>
      </c>
      <c r="L27" s="35">
        <v>2007</v>
      </c>
      <c r="M27" s="35">
        <v>0</v>
      </c>
      <c r="N27" s="35">
        <f ca="1">IF(OFFSET(INDIRECT(ADDRESS(ROW(),COLUMN(DetailTable14[Period]))),-1,0,1,1) = OFFSET(INDIRECT(ADDRESS(ROW(),COLUMN(DetailTable14[Period]))),0,0,1,1),OFFSET(INDIRECT(ADDRESS(ROW(),COLUMN())),-1,0,1,1) + 1,1)</f>
        <v>1</v>
      </c>
      <c r="O27" s="35">
        <f ca="1">IF(DetailTable14[Period] = DetailTable14[Baseline Year],IF(OFFSET(INDIRECT(ADDRESS(ROW(),COLUMN(DetailTable14[Period]))),-1,0,1,1) = OFFSET(INDIRECT(ADDRESS(ROW(),COLUMN(DetailTable14[Period]))),0,0,1,1),OFFSET(INDIRECT(ADDRESS(ROW(),COLUMN())),-1,0,1,1) + 1,1),0)</f>
        <v>0</v>
      </c>
      <c r="P27"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4165.6705386418471</v>
      </c>
      <c r="Q27"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7495</v>
      </c>
      <c r="R27" s="35">
        <f ca="1">IF(DetailTable14[Period]=DetailTable14[Baseline Year],DetailTable14[TOTAL  (MMBTU)],IF(DetailTable14[Period Count] &lt;= MAX(DetailTable14[Baseline Count]),INDEX(DetailTable14[],DetailTable14[Period Count],COLUMN(DetailTable14[TOTAL  (MMBTU)])),DetailTable14[TOTAL  (MMBTU)]))-DetailTable14[TOTAL  (MMBTU)]</f>
        <v>11660.670538641847</v>
      </c>
      <c r="S27" s="35"/>
      <c r="T27" s="35"/>
      <c r="U27" s="35"/>
      <c r="V27" s="35"/>
      <c r="W27" s="35"/>
      <c r="X27" s="35"/>
      <c r="Y27" s="35"/>
      <c r="Z27" s="35"/>
      <c r="AA27" s="35"/>
    </row>
    <row r="28" spans="1:27" x14ac:dyDescent="0.25">
      <c r="A28" s="42">
        <v>39479</v>
      </c>
      <c r="B28" s="35">
        <v>3917292</v>
      </c>
      <c r="C28" s="35">
        <v>40099.069678391999</v>
      </c>
      <c r="D28" s="35">
        <v>185290</v>
      </c>
      <c r="E28" s="35">
        <v>18529</v>
      </c>
      <c r="F28" s="35">
        <v>191967</v>
      </c>
      <c r="G28" s="35">
        <v>1218</v>
      </c>
      <c r="H28" s="35">
        <v>0</v>
      </c>
      <c r="I28" s="37">
        <v>2008</v>
      </c>
      <c r="J28" s="35">
        <f>DetailTable14[Electricity (MMBTU)]+DetailTable14[Natural Gas (MMBTU)]</f>
        <v>58628.069678391999</v>
      </c>
      <c r="K28" s="35">
        <f>SUM(SUMIFS(DetailTable14[Production],DetailTable14[Period],DetailTable14[Period]))</f>
        <v>2587183</v>
      </c>
      <c r="L28" s="35">
        <v>2007</v>
      </c>
      <c r="M28" s="35">
        <v>0</v>
      </c>
      <c r="N28" s="35">
        <f ca="1">IF(OFFSET(INDIRECT(ADDRESS(ROW(),COLUMN(DetailTable14[Period]))),-1,0,1,1) = OFFSET(INDIRECT(ADDRESS(ROW(),COLUMN(DetailTable14[Period]))),0,0,1,1),OFFSET(INDIRECT(ADDRESS(ROW(),COLUMN())),-1,0,1,1) + 1,1)</f>
        <v>2</v>
      </c>
      <c r="O28" s="35">
        <f ca="1">IF(DetailTable14[Period] = DetailTable14[Baseline Year],IF(OFFSET(INDIRECT(ADDRESS(ROW(),COLUMN(DetailTable14[Period]))),-1,0,1,1) = OFFSET(INDIRECT(ADDRESS(ROW(),COLUMN(DetailTable14[Period]))),0,0,1,1),OFFSET(INDIRECT(ADDRESS(ROW(),COLUMN())),-1,0,1,1) + 1,1),0)</f>
        <v>0</v>
      </c>
      <c r="P28"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9153.77499285269</v>
      </c>
      <c r="Q28"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9565</v>
      </c>
      <c r="R28" s="35">
        <f ca="1">IF(DetailTable14[Period]=DetailTable14[Baseline Year],DetailTable14[TOTAL  (MMBTU)],IF(DetailTable14[Period Count] &lt;= MAX(DetailTable14[Baseline Count]),INDEX(DetailTable14[],DetailTable14[Period Count],COLUMN(DetailTable14[TOTAL  (MMBTU)])),DetailTable14[TOTAL  (MMBTU)]))-DetailTable14[TOTAL  (MMBTU)]</f>
        <v>18718.77499285269</v>
      </c>
      <c r="S28" s="35"/>
      <c r="T28" s="35"/>
      <c r="U28" s="35"/>
      <c r="V28" s="35"/>
      <c r="W28" s="35"/>
      <c r="X28" s="35"/>
      <c r="Y28" s="35"/>
      <c r="Z28" s="35"/>
      <c r="AA28" s="35"/>
    </row>
    <row r="29" spans="1:27" x14ac:dyDescent="0.25">
      <c r="A29" s="42">
        <v>39508</v>
      </c>
      <c r="B29" s="35">
        <v>4119699</v>
      </c>
      <c r="C29" s="35">
        <v>42170.993955774</v>
      </c>
      <c r="D29" s="35">
        <v>172880</v>
      </c>
      <c r="E29" s="35">
        <v>17288</v>
      </c>
      <c r="F29" s="35">
        <v>187780</v>
      </c>
      <c r="G29" s="35">
        <v>1022</v>
      </c>
      <c r="H29" s="35">
        <v>0</v>
      </c>
      <c r="I29" s="37">
        <v>2008</v>
      </c>
      <c r="J29" s="35">
        <f>DetailTable14[Electricity (MMBTU)]+DetailTable14[Natural Gas (MMBTU)]</f>
        <v>59458.993955774</v>
      </c>
      <c r="K29" s="35">
        <f>SUM(SUMIFS(DetailTable14[Production],DetailTable14[Period],DetailTable14[Period]))</f>
        <v>2587183</v>
      </c>
      <c r="L29" s="35">
        <v>2007</v>
      </c>
      <c r="M29" s="35">
        <v>0</v>
      </c>
      <c r="N29" s="35">
        <f ca="1">IF(OFFSET(INDIRECT(ADDRESS(ROW(),COLUMN(DetailTable14[Period]))),-1,0,1,1) = OFFSET(INDIRECT(ADDRESS(ROW(),COLUMN(DetailTable14[Period]))),0,0,1,1),OFFSET(INDIRECT(ADDRESS(ROW(),COLUMN())),-1,0,1,1) + 1,1)</f>
        <v>3</v>
      </c>
      <c r="O29" s="35">
        <f ca="1">IF(DetailTable14[Period] = DetailTable14[Baseline Year],IF(OFFSET(INDIRECT(ADDRESS(ROW(),COLUMN(DetailTable14[Period]))),-1,0,1,1) = OFFSET(INDIRECT(ADDRESS(ROW(),COLUMN(DetailTable14[Period]))),0,0,1,1),OFFSET(INDIRECT(ADDRESS(ROW(),COLUMN())),-1,0,1,1) + 1,1),0)</f>
        <v>0</v>
      </c>
      <c r="P29"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6124.4140714207824</v>
      </c>
      <c r="Q29"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7099</v>
      </c>
      <c r="R29" s="35">
        <f ca="1">IF(DetailTable14[Period]=DetailTable14[Baseline Year],DetailTable14[TOTAL  (MMBTU)],IF(DetailTable14[Period Count] &lt;= MAX(DetailTable14[Baseline Count]),INDEX(DetailTable14[],DetailTable14[Period Count],COLUMN(DetailTable14[TOTAL  (MMBTU)])),DetailTable14[TOTAL  (MMBTU)]))-DetailTable14[TOTAL  (MMBTU)]</f>
        <v>13223.41407142079</v>
      </c>
      <c r="S29" s="35"/>
      <c r="T29" s="35"/>
      <c r="U29" s="35"/>
      <c r="V29" s="35"/>
      <c r="W29" s="35"/>
      <c r="X29" s="35"/>
      <c r="Y29" s="35"/>
      <c r="Z29" s="35"/>
      <c r="AA29" s="35"/>
    </row>
    <row r="30" spans="1:27" x14ac:dyDescent="0.25">
      <c r="A30" s="42">
        <v>39539</v>
      </c>
      <c r="B30" s="35">
        <v>3872411</v>
      </c>
      <c r="C30" s="35">
        <v>39639.648643085995</v>
      </c>
      <c r="D30" s="35">
        <v>132410</v>
      </c>
      <c r="E30" s="35">
        <v>13241</v>
      </c>
      <c r="F30" s="35">
        <v>187297</v>
      </c>
      <c r="G30" s="35">
        <v>551</v>
      </c>
      <c r="H30" s="35">
        <v>0</v>
      </c>
      <c r="I30" s="37">
        <v>2008</v>
      </c>
      <c r="J30" s="35">
        <f>DetailTable14[Electricity (MMBTU)]+DetailTable14[Natural Gas (MMBTU)]</f>
        <v>52880.648643085995</v>
      </c>
      <c r="K30" s="35">
        <f>SUM(SUMIFS(DetailTable14[Production],DetailTable14[Period],DetailTable14[Period]))</f>
        <v>2587183</v>
      </c>
      <c r="L30" s="35">
        <v>2007</v>
      </c>
      <c r="M30" s="35">
        <v>0</v>
      </c>
      <c r="N30" s="35">
        <f ca="1">IF(OFFSET(INDIRECT(ADDRESS(ROW(),COLUMN(DetailTable14[Period]))),-1,0,1,1) = OFFSET(INDIRECT(ADDRESS(ROW(),COLUMN(DetailTable14[Period]))),0,0,1,1),OFFSET(INDIRECT(ADDRESS(ROW(),COLUMN())),-1,0,1,1) + 1,1)</f>
        <v>4</v>
      </c>
      <c r="O30" s="35">
        <f ca="1">IF(DetailTable14[Period] = DetailTable14[Baseline Year],IF(OFFSET(INDIRECT(ADDRESS(ROW(),COLUMN(DetailTable14[Period]))),-1,0,1,1) = OFFSET(INDIRECT(ADDRESS(ROW(),COLUMN(DetailTable14[Period]))),0,0,1,1),OFFSET(INDIRECT(ADDRESS(ROW(),COLUMN())),-1,0,1,1) + 1,1),0)</f>
        <v>0</v>
      </c>
      <c r="P30"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4235.0491006513112</v>
      </c>
      <c r="Q30"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2577</v>
      </c>
      <c r="R30" s="35">
        <f ca="1">IF(DetailTable14[Period]=DetailTable14[Baseline Year],DetailTable14[TOTAL  (MMBTU)],IF(DetailTable14[Period Count] &lt;= MAX(DetailTable14[Baseline Count]),INDEX(DetailTable14[],DetailTable14[Period Count],COLUMN(DetailTable14[TOTAL  (MMBTU)])),DetailTable14[TOTAL  (MMBTU)]))-DetailTable14[TOTAL  (MMBTU)]</f>
        <v>6812.0491006513112</v>
      </c>
      <c r="S30" s="35"/>
      <c r="T30" s="35"/>
      <c r="U30" s="35"/>
      <c r="V30" s="35"/>
      <c r="W30" s="35"/>
      <c r="X30" s="35"/>
      <c r="Y30" s="35"/>
      <c r="Z30" s="35"/>
      <c r="AA30" s="35"/>
    </row>
    <row r="31" spans="1:27" x14ac:dyDescent="0.25">
      <c r="A31" s="42">
        <v>39569</v>
      </c>
      <c r="B31" s="35">
        <v>4046746</v>
      </c>
      <c r="C31" s="35">
        <v>41424.215969796001</v>
      </c>
      <c r="D31" s="35">
        <v>95930</v>
      </c>
      <c r="E31" s="35">
        <v>9593</v>
      </c>
      <c r="F31" s="35">
        <v>188155</v>
      </c>
      <c r="G31" s="35">
        <v>202</v>
      </c>
      <c r="H31" s="35">
        <v>14</v>
      </c>
      <c r="I31" s="37">
        <v>2008</v>
      </c>
      <c r="J31" s="35">
        <f>DetailTable14[Electricity (MMBTU)]+DetailTable14[Natural Gas (MMBTU)]</f>
        <v>51017.215969796001</v>
      </c>
      <c r="K31" s="35">
        <f>SUM(SUMIFS(DetailTable14[Production],DetailTable14[Period],DetailTable14[Period]))</f>
        <v>2587183</v>
      </c>
      <c r="L31" s="35">
        <v>2007</v>
      </c>
      <c r="M31" s="35">
        <v>0</v>
      </c>
      <c r="N31" s="35">
        <f ca="1">IF(OFFSET(INDIRECT(ADDRESS(ROW(),COLUMN(DetailTable14[Period]))),-1,0,1,1) = OFFSET(INDIRECT(ADDRESS(ROW(),COLUMN(DetailTable14[Period]))),0,0,1,1),OFFSET(INDIRECT(ADDRESS(ROW(),COLUMN())),-1,0,1,1) + 1,1)</f>
        <v>5</v>
      </c>
      <c r="O31" s="35">
        <f ca="1">IF(DetailTable14[Period] = DetailTable14[Baseline Year],IF(OFFSET(INDIRECT(ADDRESS(ROW(),COLUMN(DetailTable14[Period]))),-1,0,1,1) = OFFSET(INDIRECT(ADDRESS(ROW(),COLUMN(DetailTable14[Period]))),0,0,1,1),OFFSET(INDIRECT(ADDRESS(ROW(),COLUMN())),-1,0,1,1) + 1,1),0)</f>
        <v>0</v>
      </c>
      <c r="P31"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6301.9756906942857</v>
      </c>
      <c r="Q31"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4492</v>
      </c>
      <c r="R31" s="35">
        <f ca="1">IF(DetailTable14[Period]=DetailTable14[Baseline Year],DetailTable14[TOTAL  (MMBTU)],IF(DetailTable14[Period Count] &lt;= MAX(DetailTable14[Baseline Count]),INDEX(DetailTable14[],DetailTable14[Period Count],COLUMN(DetailTable14[TOTAL  (MMBTU)])),DetailTable14[TOTAL  (MMBTU)]))-DetailTable14[TOTAL  (MMBTU)]</f>
        <v>10793.975690694286</v>
      </c>
      <c r="S31" s="35"/>
      <c r="T31" s="35"/>
      <c r="U31" s="35"/>
      <c r="V31" s="35"/>
      <c r="W31" s="35"/>
      <c r="X31" s="35"/>
      <c r="Y31" s="35"/>
      <c r="Z31" s="35"/>
      <c r="AA31" s="35"/>
    </row>
    <row r="32" spans="1:27" x14ac:dyDescent="0.25">
      <c r="A32" s="42">
        <v>39600</v>
      </c>
      <c r="B32" s="35">
        <v>4276366</v>
      </c>
      <c r="C32" s="35">
        <v>43774.704107915997</v>
      </c>
      <c r="D32" s="35">
        <v>114110</v>
      </c>
      <c r="E32" s="35">
        <v>11411</v>
      </c>
      <c r="F32" s="35">
        <v>237147</v>
      </c>
      <c r="G32" s="35">
        <v>84</v>
      </c>
      <c r="H32" s="35">
        <v>153</v>
      </c>
      <c r="I32" s="37">
        <v>2008</v>
      </c>
      <c r="J32" s="35">
        <f>DetailTable14[Electricity (MMBTU)]+DetailTable14[Natural Gas (MMBTU)]</f>
        <v>55185.704107915997</v>
      </c>
      <c r="K32" s="35">
        <f>SUM(SUMIFS(DetailTable14[Production],DetailTable14[Period],DetailTable14[Period]))</f>
        <v>2587183</v>
      </c>
      <c r="L32" s="35">
        <v>2007</v>
      </c>
      <c r="M32" s="35">
        <v>0</v>
      </c>
      <c r="N32" s="35">
        <f ca="1">IF(OFFSET(INDIRECT(ADDRESS(ROW(),COLUMN(DetailTable14[Period]))),-1,0,1,1) = OFFSET(INDIRECT(ADDRESS(ROW(),COLUMN(DetailTable14[Period]))),0,0,1,1),OFFSET(INDIRECT(ADDRESS(ROW(),COLUMN())),-1,0,1,1) + 1,1)</f>
        <v>6</v>
      </c>
      <c r="O32" s="35">
        <f ca="1">IF(DetailTable14[Period] = DetailTable14[Baseline Year],IF(OFFSET(INDIRECT(ADDRESS(ROW(),COLUMN(DetailTable14[Period]))),-1,0,1,1) = OFFSET(INDIRECT(ADDRESS(ROW(),COLUMN(DetailTable14[Period]))),0,0,1,1),OFFSET(INDIRECT(ADDRESS(ROW(),COLUMN())),-1,0,1,1) + 1,1),0)</f>
        <v>0</v>
      </c>
      <c r="P32"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5268.5205848135956</v>
      </c>
      <c r="Q32"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3455</v>
      </c>
      <c r="R32" s="35">
        <f ca="1">IF(DetailTable14[Period]=DetailTable14[Baseline Year],DetailTable14[TOTAL  (MMBTU)],IF(DetailTable14[Period Count] &lt;= MAX(DetailTable14[Baseline Count]),INDEX(DetailTable14[],DetailTable14[Period Count],COLUMN(DetailTable14[TOTAL  (MMBTU)])),DetailTable14[TOTAL  (MMBTU)]))-DetailTable14[TOTAL  (MMBTU)]</f>
        <v>8723.5205848135956</v>
      </c>
      <c r="S32" s="35"/>
      <c r="T32" s="35"/>
      <c r="U32" s="35"/>
      <c r="V32" s="35"/>
      <c r="W32" s="35"/>
      <c r="X32" s="35"/>
      <c r="Y32" s="35"/>
      <c r="Z32" s="35"/>
      <c r="AA32" s="35"/>
    </row>
    <row r="33" spans="1:27" x14ac:dyDescent="0.25">
      <c r="A33" s="42">
        <v>39630</v>
      </c>
      <c r="B33" s="35">
        <v>4731704</v>
      </c>
      <c r="C33" s="35">
        <v>48435.737849903999</v>
      </c>
      <c r="D33" s="35">
        <v>101330</v>
      </c>
      <c r="E33" s="35">
        <v>10133</v>
      </c>
      <c r="F33" s="35">
        <v>236993</v>
      </c>
      <c r="G33" s="35">
        <v>19</v>
      </c>
      <c r="H33" s="35">
        <v>93</v>
      </c>
      <c r="I33" s="37">
        <v>2008</v>
      </c>
      <c r="J33" s="35">
        <f>DetailTable14[Electricity (MMBTU)]+DetailTable14[Natural Gas (MMBTU)]</f>
        <v>58568.737849903999</v>
      </c>
      <c r="K33" s="35">
        <f>SUM(SUMIFS(DetailTable14[Production],DetailTable14[Period],DetailTable14[Period]))</f>
        <v>2587183</v>
      </c>
      <c r="L33" s="35">
        <v>2007</v>
      </c>
      <c r="M33" s="35">
        <v>0</v>
      </c>
      <c r="N33" s="35">
        <f ca="1">IF(OFFSET(INDIRECT(ADDRESS(ROW(),COLUMN(DetailTable14[Period]))),-1,0,1,1) = OFFSET(INDIRECT(ADDRESS(ROW(),COLUMN(DetailTable14[Period]))),0,0,1,1),OFFSET(INDIRECT(ADDRESS(ROW(),COLUMN())),-1,0,1,1) + 1,1)</f>
        <v>7</v>
      </c>
      <c r="O33" s="35">
        <f ca="1">IF(DetailTable14[Period] = DetailTable14[Baseline Year],IF(OFFSET(INDIRECT(ADDRESS(ROW(),COLUMN(DetailTable14[Period]))),-1,0,1,1) = OFFSET(INDIRECT(ADDRESS(ROW(),COLUMN(DetailTable14[Period]))),0,0,1,1),OFFSET(INDIRECT(ADDRESS(ROW(),COLUMN())),-1,0,1,1) + 1,1),0)</f>
        <v>0</v>
      </c>
      <c r="P33"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5751.883960119012</v>
      </c>
      <c r="Q33"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3164</v>
      </c>
      <c r="R33" s="35">
        <f ca="1">IF(DetailTable14[Period]=DetailTable14[Baseline Year],DetailTable14[TOTAL  (MMBTU)],IF(DetailTable14[Period Count] &lt;= MAX(DetailTable14[Baseline Count]),INDEX(DetailTable14[],DetailTable14[Period Count],COLUMN(DetailTable14[TOTAL  (MMBTU)])),DetailTable14[TOTAL  (MMBTU)]))-DetailTable14[TOTAL  (MMBTU)]</f>
        <v>8915.8839601190048</v>
      </c>
      <c r="S33" s="35"/>
      <c r="T33" s="35"/>
      <c r="U33" s="35"/>
      <c r="V33" s="35"/>
      <c r="W33" s="35"/>
      <c r="X33" s="35"/>
      <c r="Y33" s="35"/>
      <c r="Z33" s="35"/>
      <c r="AA33" s="35"/>
    </row>
    <row r="34" spans="1:27" x14ac:dyDescent="0.25">
      <c r="A34" s="42">
        <v>39661</v>
      </c>
      <c r="B34" s="35">
        <v>4825936</v>
      </c>
      <c r="C34" s="35">
        <v>49400.336744736</v>
      </c>
      <c r="D34" s="35">
        <v>114760</v>
      </c>
      <c r="E34" s="35">
        <v>11476</v>
      </c>
      <c r="F34" s="35">
        <v>241257</v>
      </c>
      <c r="G34" s="35">
        <v>32</v>
      </c>
      <c r="H34" s="35">
        <v>134</v>
      </c>
      <c r="I34" s="37">
        <v>2008</v>
      </c>
      <c r="J34" s="35">
        <f>DetailTable14[Electricity (MMBTU)]+DetailTable14[Natural Gas (MMBTU)]</f>
        <v>60876.336744736</v>
      </c>
      <c r="K34" s="35">
        <f>SUM(SUMIFS(DetailTable14[Production],DetailTable14[Period],DetailTable14[Period]))</f>
        <v>2587183</v>
      </c>
      <c r="L34" s="35">
        <v>2007</v>
      </c>
      <c r="M34" s="35">
        <v>0</v>
      </c>
      <c r="N34" s="35">
        <f ca="1">IF(OFFSET(INDIRECT(ADDRESS(ROW(),COLUMN(DetailTable14[Period]))),-1,0,1,1) = OFFSET(INDIRECT(ADDRESS(ROW(),COLUMN(DetailTable14[Period]))),0,0,1,1),OFFSET(INDIRECT(ADDRESS(ROW(),COLUMN())),-1,0,1,1) + 1,1)</f>
        <v>8</v>
      </c>
      <c r="O34" s="35">
        <f ca="1">IF(DetailTable14[Period] = DetailTable14[Baseline Year],IF(OFFSET(INDIRECT(ADDRESS(ROW(),COLUMN(DetailTable14[Period]))),-1,0,1,1) = OFFSET(INDIRECT(ADDRESS(ROW(),COLUMN(DetailTable14[Period]))),0,0,1,1),OFFSET(INDIRECT(ADDRESS(ROW(),COLUMN())),-1,0,1,1) + 1,1),0)</f>
        <v>0</v>
      </c>
      <c r="P34"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6626.0887413081437</v>
      </c>
      <c r="Q34"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4525.8000000000011</v>
      </c>
      <c r="R34" s="35">
        <f ca="1">IF(DetailTable14[Period]=DetailTable14[Baseline Year],DetailTable14[TOTAL  (MMBTU)],IF(DetailTable14[Period Count] &lt;= MAX(DetailTable14[Baseline Count]),INDEX(DetailTable14[],DetailTable14[Period Count],COLUMN(DetailTable14[TOTAL  (MMBTU)])),DetailTable14[TOTAL  (MMBTU)]))-DetailTable14[TOTAL  (MMBTU)]</f>
        <v>11151.888741308147</v>
      </c>
      <c r="S34" s="35"/>
      <c r="T34" s="35"/>
      <c r="U34" s="35"/>
      <c r="V34" s="35"/>
      <c r="W34" s="35"/>
      <c r="X34" s="35"/>
      <c r="Y34" s="35"/>
      <c r="Z34" s="35"/>
      <c r="AA34" s="35"/>
    </row>
    <row r="35" spans="1:27" x14ac:dyDescent="0.25">
      <c r="A35" s="42">
        <v>39692</v>
      </c>
      <c r="B35" s="35">
        <v>4680616</v>
      </c>
      <c r="C35" s="35">
        <v>47912.779318415996</v>
      </c>
      <c r="D35" s="35">
        <v>118690</v>
      </c>
      <c r="E35" s="35">
        <v>11869</v>
      </c>
      <c r="F35" s="35">
        <v>231176</v>
      </c>
      <c r="G35" s="35">
        <v>77</v>
      </c>
      <c r="H35" s="35">
        <v>39</v>
      </c>
      <c r="I35" s="37">
        <v>2008</v>
      </c>
      <c r="J35" s="35">
        <f>DetailTable14[Electricity (MMBTU)]+DetailTable14[Natural Gas (MMBTU)]</f>
        <v>59781.779318415996</v>
      </c>
      <c r="K35" s="35">
        <f>SUM(SUMIFS(DetailTable14[Production],DetailTable14[Period],DetailTable14[Period]))</f>
        <v>2587183</v>
      </c>
      <c r="L35" s="35">
        <v>2007</v>
      </c>
      <c r="M35" s="35">
        <v>0</v>
      </c>
      <c r="N35" s="35">
        <f ca="1">IF(OFFSET(INDIRECT(ADDRESS(ROW(),COLUMN(DetailTable14[Period]))),-1,0,1,1) = OFFSET(INDIRECT(ADDRESS(ROW(),COLUMN(DetailTable14[Period]))),0,0,1,1),OFFSET(INDIRECT(ADDRESS(ROW(),COLUMN())),-1,0,1,1) + 1,1)</f>
        <v>9</v>
      </c>
      <c r="O35" s="35">
        <f ca="1">IF(DetailTable14[Period] = DetailTable14[Baseline Year],IF(OFFSET(INDIRECT(ADDRESS(ROW(),COLUMN(DetailTable14[Period]))),-1,0,1,1) = OFFSET(INDIRECT(ADDRESS(ROW(),COLUMN(DetailTable14[Period]))),0,0,1,1),OFFSET(INDIRECT(ADDRESS(ROW(),COLUMN())),-1,0,1,1) + 1,1),0)</f>
        <v>0</v>
      </c>
      <c r="P35"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6358.8627756125279</v>
      </c>
      <c r="Q35"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4044</v>
      </c>
      <c r="R35" s="35">
        <f ca="1">IF(DetailTable14[Period]=DetailTable14[Baseline Year],DetailTable14[TOTAL  (MMBTU)],IF(DetailTable14[Period Count] &lt;= MAX(DetailTable14[Baseline Count]),INDEX(DetailTable14[],DetailTable14[Period Count],COLUMN(DetailTable14[TOTAL  (MMBTU)])),DetailTable14[TOTAL  (MMBTU)]))-DetailTable14[TOTAL  (MMBTU)]</f>
        <v>10402.862775612535</v>
      </c>
      <c r="S35" s="35"/>
      <c r="T35" s="35"/>
      <c r="U35" s="35"/>
      <c r="V35" s="35"/>
      <c r="W35" s="35"/>
      <c r="X35" s="35"/>
      <c r="Y35" s="35"/>
      <c r="Z35" s="35"/>
      <c r="AA35" s="35"/>
    </row>
    <row r="36" spans="1:27" x14ac:dyDescent="0.25">
      <c r="A36" s="42">
        <v>39722</v>
      </c>
      <c r="B36" s="35">
        <v>4998578</v>
      </c>
      <c r="C36" s="35">
        <v>51167.573802227998</v>
      </c>
      <c r="D36" s="35">
        <v>159500</v>
      </c>
      <c r="E36" s="35">
        <v>15950</v>
      </c>
      <c r="F36" s="35">
        <v>258807</v>
      </c>
      <c r="G36" s="35">
        <v>685</v>
      </c>
      <c r="H36" s="35">
        <v>0</v>
      </c>
      <c r="I36" s="37">
        <v>2008</v>
      </c>
      <c r="J36" s="35">
        <f>DetailTable14[Electricity (MMBTU)]+DetailTable14[Natural Gas (MMBTU)]</f>
        <v>67117.573802227998</v>
      </c>
      <c r="K36" s="35">
        <f>SUM(SUMIFS(DetailTable14[Production],DetailTable14[Period],DetailTable14[Period]))</f>
        <v>2587183</v>
      </c>
      <c r="L36" s="35">
        <v>2007</v>
      </c>
      <c r="M36" s="35">
        <v>0</v>
      </c>
      <c r="N36" s="35">
        <f ca="1">IF(OFFSET(INDIRECT(ADDRESS(ROW(),COLUMN(DetailTable14[Period]))),-1,0,1,1) = OFFSET(INDIRECT(ADDRESS(ROW(),COLUMN(DetailTable14[Period]))),0,0,1,1),OFFSET(INDIRECT(ADDRESS(ROW(),COLUMN())),-1,0,1,1) + 1,1)</f>
        <v>10</v>
      </c>
      <c r="O36" s="35">
        <f ca="1">IF(DetailTable14[Period] = DetailTable14[Baseline Year],IF(OFFSET(INDIRECT(ADDRESS(ROW(),COLUMN(DetailTable14[Period]))),-1,0,1,1) = OFFSET(INDIRECT(ADDRESS(ROW(),COLUMN(DetailTable14[Period]))),0,0,1,1),OFFSET(INDIRECT(ADDRESS(ROW(),COLUMN())),-1,0,1,1) + 1,1),0)</f>
        <v>0</v>
      </c>
      <c r="P36"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3069.4703674986376</v>
      </c>
      <c r="Q36"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1524</v>
      </c>
      <c r="R36" s="35">
        <f ca="1">IF(DetailTable14[Period]=DetailTable14[Baseline Year],DetailTable14[TOTAL  (MMBTU)],IF(DetailTable14[Period Count] &lt;= MAX(DetailTable14[Baseline Count]),INDEX(DetailTable14[],DetailTable14[Period Count],COLUMN(DetailTable14[TOTAL  (MMBTU)])),DetailTable14[TOTAL  (MMBTU)]))-DetailTable14[TOTAL  (MMBTU)]</f>
        <v>4593.4703674986376</v>
      </c>
      <c r="S36" s="35"/>
      <c r="T36" s="35"/>
      <c r="U36" s="35"/>
      <c r="V36" s="35"/>
      <c r="W36" s="35"/>
      <c r="X36" s="35"/>
      <c r="Y36" s="35"/>
      <c r="Z36" s="35"/>
      <c r="AA36" s="35"/>
    </row>
    <row r="37" spans="1:27" x14ac:dyDescent="0.25">
      <c r="A37" s="42">
        <v>39753</v>
      </c>
      <c r="B37" s="35">
        <v>4472358</v>
      </c>
      <c r="C37" s="35">
        <v>45780.961712507997</v>
      </c>
      <c r="D37" s="35">
        <v>163660</v>
      </c>
      <c r="E37" s="35">
        <v>16366</v>
      </c>
      <c r="F37" s="35">
        <v>213166</v>
      </c>
      <c r="G37" s="35">
        <v>677</v>
      </c>
      <c r="H37" s="35">
        <v>0</v>
      </c>
      <c r="I37" s="37">
        <v>2008</v>
      </c>
      <c r="J37" s="35">
        <f>DetailTable14[Electricity (MMBTU)]+DetailTable14[Natural Gas (MMBTU)]</f>
        <v>62146.961712507997</v>
      </c>
      <c r="K37" s="35">
        <f>SUM(SUMIFS(DetailTable14[Production],DetailTable14[Period],DetailTable14[Period]))</f>
        <v>2587183</v>
      </c>
      <c r="L37" s="35">
        <v>2007</v>
      </c>
      <c r="M37" s="35">
        <v>0</v>
      </c>
      <c r="N37" s="35">
        <f ca="1">IF(OFFSET(INDIRECT(ADDRESS(ROW(),COLUMN(DetailTable14[Period]))),-1,0,1,1) = OFFSET(INDIRECT(ADDRESS(ROW(),COLUMN(DetailTable14[Period]))),0,0,1,1),OFFSET(INDIRECT(ADDRESS(ROW(),COLUMN())),-1,0,1,1) + 1,1)</f>
        <v>11</v>
      </c>
      <c r="O37" s="35">
        <f ca="1">IF(DetailTable14[Period] = DetailTable14[Baseline Year],IF(OFFSET(INDIRECT(ADDRESS(ROW(),COLUMN(DetailTable14[Period]))),-1,0,1,1) = OFFSET(INDIRECT(ADDRESS(ROW(),COLUMN(DetailTable14[Period]))),0,0,1,1),OFFSET(INDIRECT(ADDRESS(ROW(),COLUMN())),-1,0,1,1) + 1,1),0)</f>
        <v>0</v>
      </c>
      <c r="P37"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1144.3300625400007</v>
      </c>
      <c r="Q37"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-472</v>
      </c>
      <c r="R37" s="35">
        <f ca="1">IF(DetailTable14[Period]=DetailTable14[Baseline Year],DetailTable14[TOTAL  (MMBTU)],IF(DetailTable14[Period Count] &lt;= MAX(DetailTable14[Baseline Count]),INDEX(DetailTable14[],DetailTable14[Period Count],COLUMN(DetailTable14[TOTAL  (MMBTU)])),DetailTable14[TOTAL  (MMBTU)]))-DetailTable14[TOTAL  (MMBTU)]</f>
        <v>672.33006254000065</v>
      </c>
      <c r="S37" s="35"/>
      <c r="T37" s="35"/>
      <c r="U37" s="35"/>
      <c r="V37" s="35"/>
      <c r="W37" s="35"/>
      <c r="X37" s="35"/>
      <c r="Y37" s="35"/>
      <c r="Z37" s="35"/>
      <c r="AA37" s="35"/>
    </row>
    <row r="38" spans="1:27" x14ac:dyDescent="0.25">
      <c r="A38" s="42">
        <v>39783</v>
      </c>
      <c r="B38" s="35">
        <v>4297360</v>
      </c>
      <c r="C38" s="35">
        <v>43989.60763536</v>
      </c>
      <c r="D38" s="35">
        <v>220980</v>
      </c>
      <c r="E38" s="35">
        <v>22098</v>
      </c>
      <c r="F38" s="35">
        <v>207062</v>
      </c>
      <c r="G38" s="35">
        <v>1512</v>
      </c>
      <c r="H38" s="35">
        <v>0</v>
      </c>
      <c r="I38" s="37">
        <v>2008</v>
      </c>
      <c r="J38" s="35">
        <f>DetailTable14[Electricity (MMBTU)]+DetailTable14[Natural Gas (MMBTU)]</f>
        <v>66087.607635360007</v>
      </c>
      <c r="K38" s="35">
        <f>SUM(SUMIFS(DetailTable14[Production],DetailTable14[Period],DetailTable14[Period]))</f>
        <v>2587183</v>
      </c>
      <c r="L38" s="35">
        <v>2007</v>
      </c>
      <c r="M38" s="35">
        <v>0</v>
      </c>
      <c r="N38" s="35">
        <f ca="1">IF(OFFSET(INDIRECT(ADDRESS(ROW(),COLUMN(DetailTable14[Period]))),-1,0,1,1) = OFFSET(INDIRECT(ADDRESS(ROW(),COLUMN(DetailTable14[Period]))),0,0,1,1),OFFSET(INDIRECT(ADDRESS(ROW(),COLUMN())),-1,0,1,1) + 1,1)</f>
        <v>12</v>
      </c>
      <c r="O38" s="35">
        <f ca="1">IF(DetailTable14[Period] = DetailTable14[Baseline Year],IF(OFFSET(INDIRECT(ADDRESS(ROW(),COLUMN(DetailTable14[Period]))),-1,0,1,1) = OFFSET(INDIRECT(ADDRESS(ROW(),COLUMN(DetailTable14[Period]))),0,0,1,1),OFFSET(INDIRECT(ADDRESS(ROW(),COLUMN())),-1,0,1,1) + 1,1),0)</f>
        <v>0</v>
      </c>
      <c r="P38"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1189.0018256039984</v>
      </c>
      <c r="Q38"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774</v>
      </c>
      <c r="R38" s="35">
        <f ca="1">IF(DetailTable14[Period]=DetailTable14[Baseline Year],DetailTable14[TOTAL  (MMBTU)],IF(DetailTable14[Period Count] &lt;= MAX(DetailTable14[Baseline Count]),INDEX(DetailTable14[],DetailTable14[Period Count],COLUMN(DetailTable14[TOTAL  (MMBTU)])),DetailTable14[TOTAL  (MMBTU)]))-DetailTable14[TOTAL  (MMBTU)]</f>
        <v>1963.0018256039912</v>
      </c>
      <c r="S38" s="35"/>
      <c r="T38" s="35"/>
      <c r="U38" s="35"/>
      <c r="V38" s="35"/>
      <c r="W38" s="35"/>
      <c r="X38" s="35"/>
      <c r="Y38" s="35"/>
      <c r="Z38" s="35"/>
      <c r="AA38" s="35"/>
    </row>
    <row r="39" spans="1:27" x14ac:dyDescent="0.25">
      <c r="A39" s="42">
        <v>39814</v>
      </c>
      <c r="B39" s="35">
        <v>4222668</v>
      </c>
      <c r="C39" s="35">
        <v>43225.028504567999</v>
      </c>
      <c r="D39" s="35">
        <v>234830</v>
      </c>
      <c r="E39" s="35">
        <v>23483</v>
      </c>
      <c r="F39" s="35">
        <v>211655.4</v>
      </c>
      <c r="G39" s="35">
        <v>1718</v>
      </c>
      <c r="H39" s="35">
        <v>0</v>
      </c>
      <c r="I39" s="37">
        <v>2009</v>
      </c>
      <c r="J39" s="35">
        <f>DetailTable14[Electricity (MMBTU)]+DetailTable14[Natural Gas (MMBTU)]</f>
        <v>66708.028504568007</v>
      </c>
      <c r="K39" s="35">
        <f>SUM(SUMIFS(DetailTable14[Production],DetailTable14[Period],DetailTable14[Period]))</f>
        <v>2623576.9</v>
      </c>
      <c r="L39" s="35">
        <v>2007</v>
      </c>
      <c r="M39" s="35">
        <v>0</v>
      </c>
      <c r="N39" s="35">
        <f ca="1">IF(OFFSET(INDIRECT(ADDRESS(ROW(),COLUMN(DetailTable14[Period]))),-1,0,1,1) = OFFSET(INDIRECT(ADDRESS(ROW(),COLUMN(DetailTable14[Period]))),0,0,1,1),OFFSET(INDIRECT(ADDRESS(ROW(),COLUMN())),-1,0,1,1) + 1,1)</f>
        <v>1</v>
      </c>
      <c r="O39" s="35">
        <f ca="1">IF(DetailTable14[Period] = DetailTable14[Baseline Year],IF(OFFSET(INDIRECT(ADDRESS(ROW(),COLUMN(DetailTable14[Period]))),-1,0,1,1) = OFFSET(INDIRECT(ADDRESS(ROW(),COLUMN(DetailTable14[Period]))),0,0,1,1),OFFSET(INDIRECT(ADDRESS(ROW(),COLUMN())),-1,0,1,1) + 1,1),0)</f>
        <v>0</v>
      </c>
      <c r="P39"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4565.0856447358456</v>
      </c>
      <c r="Q39"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6811</v>
      </c>
      <c r="R39" s="35">
        <f ca="1">IF(DetailTable14[Period]=DetailTable14[Baseline Year],DetailTable14[TOTAL  (MMBTU)],IF(DetailTable14[Period Count] &lt;= MAX(DetailTable14[Baseline Count]),INDEX(DetailTable14[],DetailTable14[Period Count],COLUMN(DetailTable14[TOTAL  (MMBTU)])),DetailTable14[TOTAL  (MMBTU)]))-DetailTable14[TOTAL  (MMBTU)]</f>
        <v>11376.085644735838</v>
      </c>
      <c r="S39" s="35"/>
      <c r="T39" s="35"/>
      <c r="U39" s="35"/>
      <c r="V39" s="35"/>
      <c r="W39" s="35"/>
      <c r="X39" s="35"/>
      <c r="Y39" s="35"/>
      <c r="Z39" s="35"/>
      <c r="AA39" s="35"/>
    </row>
    <row r="40" spans="1:27" x14ac:dyDescent="0.25">
      <c r="A40" s="42">
        <v>39845</v>
      </c>
      <c r="B40" s="35">
        <v>3940038</v>
      </c>
      <c r="C40" s="35">
        <v>40331.907424188001</v>
      </c>
      <c r="D40" s="35">
        <v>212520</v>
      </c>
      <c r="E40" s="35">
        <v>21252</v>
      </c>
      <c r="F40" s="35">
        <v>213539</v>
      </c>
      <c r="G40" s="35">
        <v>1423</v>
      </c>
      <c r="H40" s="35">
        <v>0</v>
      </c>
      <c r="I40" s="37">
        <v>2009</v>
      </c>
      <c r="J40" s="35">
        <f>DetailTable14[Electricity (MMBTU)]+DetailTable14[Natural Gas (MMBTU)]</f>
        <v>61583.907424188001</v>
      </c>
      <c r="K40" s="35">
        <f>SUM(SUMIFS(DetailTable14[Production],DetailTable14[Period],DetailTable14[Period]))</f>
        <v>2623576.9</v>
      </c>
      <c r="L40" s="35">
        <v>2007</v>
      </c>
      <c r="M40" s="35">
        <v>0</v>
      </c>
      <c r="N40" s="35">
        <f ca="1">IF(OFFSET(INDIRECT(ADDRESS(ROW(),COLUMN(DetailTable14[Period]))),-1,0,1,1) = OFFSET(INDIRECT(ADDRESS(ROW(),COLUMN(DetailTable14[Period]))),0,0,1,1),OFFSET(INDIRECT(ADDRESS(ROW(),COLUMN())),-1,0,1,1) + 1,1)</f>
        <v>2</v>
      </c>
      <c r="O40" s="35">
        <f ca="1">IF(DetailTable14[Period] = DetailTable14[Baseline Year],IF(OFFSET(INDIRECT(ADDRESS(ROW(),COLUMN(DetailTable14[Period]))),-1,0,1,1) = OFFSET(INDIRECT(ADDRESS(ROW(),COLUMN(DetailTable14[Period]))),0,0,1,1),OFFSET(INDIRECT(ADDRESS(ROW(),COLUMN())),-1,0,1,1) + 1,1),0)</f>
        <v>0</v>
      </c>
      <c r="P40"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8920.9372470566886</v>
      </c>
      <c r="Q40"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6842</v>
      </c>
      <c r="R40" s="35">
        <f ca="1">IF(DetailTable14[Period]=DetailTable14[Baseline Year],DetailTable14[TOTAL  (MMBTU)],IF(DetailTable14[Period Count] &lt;= MAX(DetailTable14[Baseline Count]),INDEX(DetailTable14[],DetailTable14[Period Count],COLUMN(DetailTable14[TOTAL  (MMBTU)])),DetailTable14[TOTAL  (MMBTU)]))-DetailTable14[TOTAL  (MMBTU)]</f>
        <v>15762.937247056689</v>
      </c>
      <c r="S40" s="35"/>
      <c r="T40" s="35"/>
      <c r="U40" s="35"/>
      <c r="V40" s="35"/>
      <c r="W40" s="35"/>
      <c r="X40" s="35"/>
      <c r="Y40" s="35"/>
      <c r="Z40" s="35"/>
      <c r="AA40" s="35"/>
    </row>
    <row r="41" spans="1:27" x14ac:dyDescent="0.25">
      <c r="A41" s="42">
        <v>39873</v>
      </c>
      <c r="B41" s="35">
        <v>4218989</v>
      </c>
      <c r="C41" s="35">
        <v>43187.368693313998</v>
      </c>
      <c r="D41" s="35">
        <v>165500</v>
      </c>
      <c r="E41" s="35">
        <v>16550</v>
      </c>
      <c r="F41" s="35">
        <v>223455.5</v>
      </c>
      <c r="G41" s="35">
        <v>805</v>
      </c>
      <c r="H41" s="35">
        <v>0</v>
      </c>
      <c r="I41" s="37">
        <v>2009</v>
      </c>
      <c r="J41" s="35">
        <f>DetailTable14[Electricity (MMBTU)]+DetailTable14[Natural Gas (MMBTU)]</f>
        <v>59737.368693313998</v>
      </c>
      <c r="K41" s="35">
        <f>SUM(SUMIFS(DetailTable14[Production],DetailTable14[Period],DetailTable14[Period]))</f>
        <v>2623576.9</v>
      </c>
      <c r="L41" s="35">
        <v>2007</v>
      </c>
      <c r="M41" s="35">
        <v>0</v>
      </c>
      <c r="N41" s="35">
        <f ca="1">IF(OFFSET(INDIRECT(ADDRESS(ROW(),COLUMN(DetailTable14[Period]))),-1,0,1,1) = OFFSET(INDIRECT(ADDRESS(ROW(),COLUMN(DetailTable14[Period]))),0,0,1,1),OFFSET(INDIRECT(ADDRESS(ROW(),COLUMN())),-1,0,1,1) + 1,1)</f>
        <v>3</v>
      </c>
      <c r="O41" s="35">
        <f ca="1">IF(DetailTable14[Period] = DetailTable14[Baseline Year],IF(OFFSET(INDIRECT(ADDRESS(ROW(),COLUMN(DetailTable14[Period]))),-1,0,1,1) = OFFSET(INDIRECT(ADDRESS(ROW(),COLUMN(DetailTable14[Period]))),0,0,1,1),OFFSET(INDIRECT(ADDRESS(ROW(),COLUMN())),-1,0,1,1) + 1,1),0)</f>
        <v>0</v>
      </c>
      <c r="P41"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5108.0393338807844</v>
      </c>
      <c r="Q41"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7837</v>
      </c>
      <c r="R41" s="35">
        <f ca="1">IF(DetailTable14[Period]=DetailTable14[Baseline Year],DetailTable14[TOTAL  (MMBTU)],IF(DetailTable14[Period Count] &lt;= MAX(DetailTable14[Baseline Count]),INDEX(DetailTable14[],DetailTable14[Period Count],COLUMN(DetailTable14[TOTAL  (MMBTU)])),DetailTable14[TOTAL  (MMBTU)]))-DetailTable14[TOTAL  (MMBTU)]</f>
        <v>12945.039333880792</v>
      </c>
      <c r="S41" s="35"/>
      <c r="T41" s="35"/>
      <c r="U41" s="35"/>
      <c r="V41" s="35"/>
      <c r="W41" s="35"/>
      <c r="X41" s="35"/>
      <c r="Y41" s="35"/>
      <c r="Z41" s="35"/>
      <c r="AA41" s="35"/>
    </row>
    <row r="42" spans="1:27" x14ac:dyDescent="0.25">
      <c r="A42" s="42">
        <v>39904</v>
      </c>
      <c r="B42" s="35">
        <v>4220890</v>
      </c>
      <c r="C42" s="35">
        <v>43206.828139140001</v>
      </c>
      <c r="D42" s="35">
        <v>126110</v>
      </c>
      <c r="E42" s="35">
        <v>12611</v>
      </c>
      <c r="F42" s="35">
        <v>208021.4</v>
      </c>
      <c r="G42" s="35">
        <v>327</v>
      </c>
      <c r="H42" s="35">
        <v>31</v>
      </c>
      <c r="I42" s="37">
        <v>2009</v>
      </c>
      <c r="J42" s="35">
        <f>DetailTable14[Electricity (MMBTU)]+DetailTable14[Natural Gas (MMBTU)]</f>
        <v>55817.828139140001</v>
      </c>
      <c r="K42" s="35">
        <f>SUM(SUMIFS(DetailTable14[Production],DetailTable14[Period],DetailTable14[Period]))</f>
        <v>2623576.9</v>
      </c>
      <c r="L42" s="35">
        <v>2007</v>
      </c>
      <c r="M42" s="35">
        <v>0</v>
      </c>
      <c r="N42" s="35">
        <f ca="1">IF(OFFSET(INDIRECT(ADDRESS(ROW(),COLUMN(DetailTable14[Period]))),-1,0,1,1) = OFFSET(INDIRECT(ADDRESS(ROW(),COLUMN(DetailTable14[Period]))),0,0,1,1),OFFSET(INDIRECT(ADDRESS(ROW(),COLUMN())),-1,0,1,1) + 1,1)</f>
        <v>4</v>
      </c>
      <c r="O42" s="35">
        <f ca="1">IF(DetailTable14[Period] = DetailTable14[Baseline Year],IF(OFFSET(INDIRECT(ADDRESS(ROW(),COLUMN(DetailTable14[Period]))),-1,0,1,1) = OFFSET(INDIRECT(ADDRESS(ROW(),COLUMN(DetailTable14[Period]))),0,0,1,1),OFFSET(INDIRECT(ADDRESS(ROW(),COLUMN())),-1,0,1,1) + 1,1),0)</f>
        <v>0</v>
      </c>
      <c r="P42"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667.86960459730471</v>
      </c>
      <c r="Q42"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3207</v>
      </c>
      <c r="R42" s="35">
        <f ca="1">IF(DetailTable14[Period]=DetailTable14[Baseline Year],DetailTable14[TOTAL  (MMBTU)],IF(DetailTable14[Period Count] &lt;= MAX(DetailTable14[Baseline Count]),INDEX(DetailTable14[],DetailTable14[Period Count],COLUMN(DetailTable14[TOTAL  (MMBTU)])),DetailTable14[TOTAL  (MMBTU)]))-DetailTable14[TOTAL  (MMBTU)]</f>
        <v>3874.8696045973047</v>
      </c>
      <c r="S42" s="35"/>
      <c r="T42" s="35"/>
      <c r="U42" s="35"/>
      <c r="V42" s="35"/>
      <c r="W42" s="35"/>
      <c r="X42" s="35"/>
      <c r="Y42" s="35"/>
      <c r="Z42" s="35"/>
      <c r="AA42" s="35"/>
    </row>
    <row r="43" spans="1:27" x14ac:dyDescent="0.25">
      <c r="A43" s="42">
        <v>39934</v>
      </c>
      <c r="B43" s="35">
        <v>4341676</v>
      </c>
      <c r="C43" s="35">
        <v>44443.245089976001</v>
      </c>
      <c r="D43" s="35">
        <v>112810</v>
      </c>
      <c r="E43" s="35">
        <v>11281</v>
      </c>
      <c r="F43" s="35">
        <v>190701.3</v>
      </c>
      <c r="G43" s="35">
        <v>223</v>
      </c>
      <c r="H43" s="35">
        <v>116</v>
      </c>
      <c r="I43" s="37">
        <v>2009</v>
      </c>
      <c r="J43" s="35">
        <f>DetailTable14[Electricity (MMBTU)]+DetailTable14[Natural Gas (MMBTU)]</f>
        <v>55724.245089976001</v>
      </c>
      <c r="K43" s="35">
        <f>SUM(SUMIFS(DetailTable14[Production],DetailTable14[Period],DetailTable14[Period]))</f>
        <v>2623576.9</v>
      </c>
      <c r="L43" s="35">
        <v>2007</v>
      </c>
      <c r="M43" s="35">
        <v>0</v>
      </c>
      <c r="N43" s="35">
        <f ca="1">IF(OFFSET(INDIRECT(ADDRESS(ROW(),COLUMN(DetailTable14[Period]))),-1,0,1,1) = OFFSET(INDIRECT(ADDRESS(ROW(),COLUMN(DetailTable14[Period]))),0,0,1,1),OFFSET(INDIRECT(ADDRESS(ROW(),COLUMN())),-1,0,1,1) + 1,1)</f>
        <v>5</v>
      </c>
      <c r="O43" s="35">
        <f ca="1">IF(DetailTable14[Period] = DetailTable14[Baseline Year],IF(OFFSET(INDIRECT(ADDRESS(ROW(),COLUMN(DetailTable14[Period]))),-1,0,1,1) = OFFSET(INDIRECT(ADDRESS(ROW(),COLUMN(DetailTable14[Period]))),0,0,1,1),OFFSET(INDIRECT(ADDRESS(ROW(),COLUMN())),-1,0,1,1) + 1,1),0)</f>
        <v>0</v>
      </c>
      <c r="P43"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3282.9465705142866</v>
      </c>
      <c r="Q43"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2804</v>
      </c>
      <c r="R43" s="35">
        <f ca="1">IF(DetailTable14[Period]=DetailTable14[Baseline Year],DetailTable14[TOTAL  (MMBTU)],IF(DetailTable14[Period Count] &lt;= MAX(DetailTable14[Baseline Count]),INDEX(DetailTable14[],DetailTable14[Period Count],COLUMN(DetailTable14[TOTAL  (MMBTU)])),DetailTable14[TOTAL  (MMBTU)]))-DetailTable14[TOTAL  (MMBTU)]</f>
        <v>6086.9465705142866</v>
      </c>
      <c r="S43" s="35"/>
      <c r="T43" s="35"/>
      <c r="U43" s="35"/>
      <c r="V43" s="35"/>
      <c r="W43" s="35"/>
      <c r="X43" s="35"/>
      <c r="Y43" s="35"/>
      <c r="Z43" s="35"/>
      <c r="AA43" s="35"/>
    </row>
    <row r="44" spans="1:27" x14ac:dyDescent="0.25">
      <c r="A44" s="42">
        <v>39965</v>
      </c>
      <c r="B44" s="35">
        <v>4708978</v>
      </c>
      <c r="C44" s="35">
        <v>48203.104832628</v>
      </c>
      <c r="D44" s="35">
        <v>105590</v>
      </c>
      <c r="E44" s="35">
        <v>10559</v>
      </c>
      <c r="F44" s="35">
        <v>206772.4</v>
      </c>
      <c r="G44" s="35">
        <v>13</v>
      </c>
      <c r="H44" s="35">
        <v>316</v>
      </c>
      <c r="I44" s="37">
        <v>2009</v>
      </c>
      <c r="J44" s="35">
        <f>DetailTable14[Electricity (MMBTU)]+DetailTable14[Natural Gas (MMBTU)]</f>
        <v>58762.104832628</v>
      </c>
      <c r="K44" s="35">
        <f>SUM(SUMIFS(DetailTable14[Production],DetailTable14[Period],DetailTable14[Period]))</f>
        <v>2623576.9</v>
      </c>
      <c r="L44" s="35">
        <v>2007</v>
      </c>
      <c r="M44" s="35">
        <v>0</v>
      </c>
      <c r="N44" s="35">
        <f ca="1">IF(OFFSET(INDIRECT(ADDRESS(ROW(),COLUMN(DetailTable14[Period]))),-1,0,1,1) = OFFSET(INDIRECT(ADDRESS(ROW(),COLUMN(DetailTable14[Period]))),0,0,1,1),OFFSET(INDIRECT(ADDRESS(ROW(),COLUMN())),-1,0,1,1) + 1,1)</f>
        <v>6</v>
      </c>
      <c r="O44" s="35">
        <f ca="1">IF(DetailTable14[Period] = DetailTable14[Baseline Year],IF(OFFSET(INDIRECT(ADDRESS(ROW(),COLUMN(DetailTable14[Period]))),-1,0,1,1) = OFFSET(INDIRECT(ADDRESS(ROW(),COLUMN(DetailTable14[Period]))),0,0,1,1),OFFSET(INDIRECT(ADDRESS(ROW(),COLUMN())),-1,0,1,1) + 1,1),0)</f>
        <v>0</v>
      </c>
      <c r="P44"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840.11986010159308</v>
      </c>
      <c r="Q44"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4307</v>
      </c>
      <c r="R44" s="35">
        <f ca="1">IF(DetailTable14[Period]=DetailTable14[Baseline Year],DetailTable14[TOTAL  (MMBTU)],IF(DetailTable14[Period Count] &lt;= MAX(DetailTable14[Baseline Count]),INDEX(DetailTable14[],DetailTable14[Period Count],COLUMN(DetailTable14[TOTAL  (MMBTU)])),DetailTable14[TOTAL  (MMBTU)]))-DetailTable14[TOTAL  (MMBTU)]</f>
        <v>5147.1198601015931</v>
      </c>
      <c r="S44" s="35"/>
      <c r="T44" s="35"/>
      <c r="U44" s="35"/>
      <c r="V44" s="35"/>
      <c r="W44" s="35"/>
      <c r="X44" s="35"/>
      <c r="Y44" s="35"/>
      <c r="Z44" s="35"/>
      <c r="AA44" s="35"/>
    </row>
    <row r="45" spans="1:27" x14ac:dyDescent="0.25">
      <c r="A45" s="42">
        <v>39995</v>
      </c>
      <c r="B45" s="35">
        <v>5193809</v>
      </c>
      <c r="C45" s="35">
        <v>53166.041486634</v>
      </c>
      <c r="D45" s="35">
        <v>112910</v>
      </c>
      <c r="E45" s="35">
        <v>11291</v>
      </c>
      <c r="F45" s="35">
        <v>236312</v>
      </c>
      <c r="G45" s="35">
        <v>0</v>
      </c>
      <c r="H45" s="35">
        <v>377</v>
      </c>
      <c r="I45" s="37">
        <v>2009</v>
      </c>
      <c r="J45" s="35">
        <f>DetailTable14[Electricity (MMBTU)]+DetailTable14[Natural Gas (MMBTU)]</f>
        <v>64457.041486634</v>
      </c>
      <c r="K45" s="35">
        <f>SUM(SUMIFS(DetailTable14[Production],DetailTable14[Period],DetailTable14[Period]))</f>
        <v>2623576.9</v>
      </c>
      <c r="L45" s="35">
        <v>2007</v>
      </c>
      <c r="M45" s="35">
        <v>0</v>
      </c>
      <c r="N45" s="35">
        <f ca="1">IF(OFFSET(INDIRECT(ADDRESS(ROW(),COLUMN(DetailTable14[Period]))),-1,0,1,1) = OFFSET(INDIRECT(ADDRESS(ROW(),COLUMN(DetailTable14[Period]))),0,0,1,1),OFFSET(INDIRECT(ADDRESS(ROW(),COLUMN())),-1,0,1,1) + 1,1)</f>
        <v>7</v>
      </c>
      <c r="O45" s="35">
        <f ca="1">IF(DetailTable14[Period] = DetailTable14[Baseline Year],IF(OFFSET(INDIRECT(ADDRESS(ROW(),COLUMN(DetailTable14[Period]))),-1,0,1,1) = OFFSET(INDIRECT(ADDRESS(ROW(),COLUMN(DetailTable14[Period]))),0,0,1,1),OFFSET(INDIRECT(ADDRESS(ROW(),COLUMN())),-1,0,1,1) + 1,1),0)</f>
        <v>0</v>
      </c>
      <c r="P45"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1021.580323389011</v>
      </c>
      <c r="Q45"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2006</v>
      </c>
      <c r="R45" s="35">
        <f ca="1">IF(DetailTable14[Period]=DetailTable14[Baseline Year],DetailTable14[TOTAL  (MMBTU)],IF(DetailTable14[Period Count] &lt;= MAX(DetailTable14[Baseline Count]),INDEX(DetailTable14[],DetailTable14[Period Count],COLUMN(DetailTable14[TOTAL  (MMBTU)])),DetailTable14[TOTAL  (MMBTU)]))-DetailTable14[TOTAL  (MMBTU)]</f>
        <v>3027.5803233890038</v>
      </c>
      <c r="S45" s="35"/>
      <c r="T45" s="35"/>
      <c r="U45" s="35"/>
      <c r="V45" s="35"/>
      <c r="W45" s="35"/>
      <c r="X45" s="35"/>
      <c r="Y45" s="35"/>
      <c r="Z45" s="35"/>
      <c r="AA45" s="35"/>
    </row>
    <row r="46" spans="1:27" x14ac:dyDescent="0.25">
      <c r="A46" s="42">
        <v>40026</v>
      </c>
      <c r="B46" s="35">
        <v>5373164</v>
      </c>
      <c r="C46" s="35">
        <v>55001.995671864002</v>
      </c>
      <c r="D46" s="35">
        <v>113730</v>
      </c>
      <c r="E46" s="35">
        <v>11373</v>
      </c>
      <c r="F46" s="35">
        <v>234273.9</v>
      </c>
      <c r="G46" s="35">
        <v>3</v>
      </c>
      <c r="H46" s="35">
        <v>394</v>
      </c>
      <c r="I46" s="37">
        <v>2009</v>
      </c>
      <c r="J46" s="35">
        <f>DetailTable14[Electricity (MMBTU)]+DetailTable14[Natural Gas (MMBTU)]</f>
        <v>66374.995671864002</v>
      </c>
      <c r="K46" s="35">
        <f>SUM(SUMIFS(DetailTable14[Production],DetailTable14[Period],DetailTable14[Period]))</f>
        <v>2623576.9</v>
      </c>
      <c r="L46" s="35">
        <v>2007</v>
      </c>
      <c r="M46" s="35">
        <v>0</v>
      </c>
      <c r="N46" s="35">
        <f ca="1">IF(OFFSET(INDIRECT(ADDRESS(ROW(),COLUMN(DetailTable14[Period]))),-1,0,1,1) = OFFSET(INDIRECT(ADDRESS(ROW(),COLUMN(DetailTable14[Period]))),0,0,1,1),OFFSET(INDIRECT(ADDRESS(ROW(),COLUMN())),-1,0,1,1) + 1,1)</f>
        <v>8</v>
      </c>
      <c r="O46" s="35">
        <f ca="1">IF(DetailTable14[Period] = DetailTable14[Baseline Year],IF(OFFSET(INDIRECT(ADDRESS(ROW(),COLUMN(DetailTable14[Period]))),-1,0,1,1) = OFFSET(INDIRECT(ADDRESS(ROW(),COLUMN(DetailTable14[Period]))),0,0,1,1),OFFSET(INDIRECT(ADDRESS(ROW(),COLUMN())),-1,0,1,1) + 1,1),0)</f>
        <v>0</v>
      </c>
      <c r="P46"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1024.429814180141</v>
      </c>
      <c r="Q46"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4628.8000000000011</v>
      </c>
      <c r="R46" s="35">
        <f ca="1">IF(DetailTable14[Period]=DetailTable14[Baseline Year],DetailTable14[TOTAL  (MMBTU)],IF(DetailTable14[Period Count] &lt;= MAX(DetailTable14[Baseline Count]),INDEX(DetailTable14[],DetailTable14[Period Count],COLUMN(DetailTable14[TOTAL  (MMBTU)])),DetailTable14[TOTAL  (MMBTU)]))-DetailTable14[TOTAL  (MMBTU)]</f>
        <v>5653.2298141801439</v>
      </c>
      <c r="S46" s="35"/>
      <c r="T46" s="35"/>
      <c r="U46" s="35"/>
      <c r="V46" s="35"/>
      <c r="W46" s="35"/>
      <c r="X46" s="35"/>
      <c r="Y46" s="35"/>
      <c r="Z46" s="35"/>
      <c r="AA46" s="35"/>
    </row>
    <row r="47" spans="1:27" x14ac:dyDescent="0.25">
      <c r="A47" s="42">
        <v>40057</v>
      </c>
      <c r="B47" s="35">
        <v>5156702</v>
      </c>
      <c r="C47" s="35">
        <v>52786.198427052004</v>
      </c>
      <c r="D47" s="35">
        <v>118570</v>
      </c>
      <c r="E47" s="35">
        <v>11857</v>
      </c>
      <c r="F47" s="35">
        <v>240883</v>
      </c>
      <c r="G47" s="35">
        <v>159</v>
      </c>
      <c r="H47" s="35">
        <v>371</v>
      </c>
      <c r="I47" s="37">
        <v>2009</v>
      </c>
      <c r="J47" s="35">
        <f>DetailTable14[Electricity (MMBTU)]+DetailTable14[Natural Gas (MMBTU)]</f>
        <v>64643.198427052004</v>
      </c>
      <c r="K47" s="35">
        <f>SUM(SUMIFS(DetailTable14[Production],DetailTable14[Period],DetailTable14[Period]))</f>
        <v>2623576.9</v>
      </c>
      <c r="L47" s="35">
        <v>2007</v>
      </c>
      <c r="M47" s="35">
        <v>0</v>
      </c>
      <c r="N47" s="35">
        <f ca="1">IF(OFFSET(INDIRECT(ADDRESS(ROW(),COLUMN(DetailTable14[Period]))),-1,0,1,1) = OFFSET(INDIRECT(ADDRESS(ROW(),COLUMN(DetailTable14[Period]))),0,0,1,1),OFFSET(INDIRECT(ADDRESS(ROW(),COLUMN())),-1,0,1,1) + 1,1)</f>
        <v>9</v>
      </c>
      <c r="O47" s="35">
        <f ca="1">IF(DetailTable14[Period] = DetailTable14[Baseline Year],IF(OFFSET(INDIRECT(ADDRESS(ROW(),COLUMN(DetailTable14[Period]))),-1,0,1,1) = OFFSET(INDIRECT(ADDRESS(ROW(),COLUMN(DetailTable14[Period]))),0,0,1,1),OFFSET(INDIRECT(ADDRESS(ROW(),COLUMN())),-1,0,1,1) + 1,1),0)</f>
        <v>0</v>
      </c>
      <c r="P47"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1485.44366697652</v>
      </c>
      <c r="Q47"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4056</v>
      </c>
      <c r="R47" s="35">
        <f ca="1">IF(DetailTable14[Period]=DetailTable14[Baseline Year],DetailTable14[TOTAL  (MMBTU)],IF(DetailTable14[Period Count] &lt;= MAX(DetailTable14[Baseline Count]),INDEX(DetailTable14[],DetailTable14[Period Count],COLUMN(DetailTable14[TOTAL  (MMBTU)])),DetailTable14[TOTAL  (MMBTU)]))-DetailTable14[TOTAL  (MMBTU)]</f>
        <v>5541.4436669765273</v>
      </c>
      <c r="S47" s="35"/>
      <c r="T47" s="35"/>
      <c r="U47" s="35"/>
      <c r="V47" s="35"/>
      <c r="W47" s="35"/>
      <c r="X47" s="35"/>
      <c r="Y47" s="35"/>
      <c r="Z47" s="35"/>
      <c r="AA47" s="35"/>
    </row>
    <row r="48" spans="1:27" x14ac:dyDescent="0.25">
      <c r="A48" s="42">
        <v>40087</v>
      </c>
      <c r="B48" s="35">
        <v>5129761</v>
      </c>
      <c r="C48" s="35">
        <v>52510.418874185998</v>
      </c>
      <c r="D48" s="35">
        <v>153810</v>
      </c>
      <c r="E48" s="35">
        <v>15381</v>
      </c>
      <c r="F48" s="35">
        <v>253572</v>
      </c>
      <c r="G48" s="35">
        <v>374</v>
      </c>
      <c r="H48" s="35">
        <v>82</v>
      </c>
      <c r="I48" s="37">
        <v>2009</v>
      </c>
      <c r="J48" s="35">
        <f>DetailTable14[Electricity (MMBTU)]+DetailTable14[Natural Gas (MMBTU)]</f>
        <v>67891.418874185998</v>
      </c>
      <c r="K48" s="35">
        <f>SUM(SUMIFS(DetailTable14[Production],DetailTable14[Period],DetailTable14[Period]))</f>
        <v>2623576.9</v>
      </c>
      <c r="L48" s="35">
        <v>2007</v>
      </c>
      <c r="M48" s="35">
        <v>0</v>
      </c>
      <c r="N48" s="35">
        <f ca="1">IF(OFFSET(INDIRECT(ADDRESS(ROW(),COLUMN(DetailTable14[Period]))),-1,0,1,1) = OFFSET(INDIRECT(ADDRESS(ROW(),COLUMN(DetailTable14[Period]))),0,0,1,1),OFFSET(INDIRECT(ADDRESS(ROW(),COLUMN())),-1,0,1,1) + 1,1)</f>
        <v>10</v>
      </c>
      <c r="O48" s="35">
        <f ca="1">IF(DetailTable14[Period] = DetailTable14[Baseline Year],IF(OFFSET(INDIRECT(ADDRESS(ROW(),COLUMN(DetailTable14[Period]))),-1,0,1,1) = OFFSET(INDIRECT(ADDRESS(ROW(),COLUMN(DetailTable14[Period]))),0,0,1,1),OFFSET(INDIRECT(ADDRESS(ROW(),COLUMN())),-1,0,1,1) + 1,1),0)</f>
        <v>0</v>
      </c>
      <c r="P48"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1726.625295540638</v>
      </c>
      <c r="Q48"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2093</v>
      </c>
      <c r="R48" s="35">
        <f ca="1">IF(DetailTable14[Period]=DetailTable14[Baseline Year],DetailTable14[TOTAL  (MMBTU)],IF(DetailTable14[Period Count] &lt;= MAX(DetailTable14[Baseline Count]),INDEX(DetailTable14[],DetailTable14[Period Count],COLUMN(DetailTable14[TOTAL  (MMBTU)])),DetailTable14[TOTAL  (MMBTU)]))-DetailTable14[TOTAL  (MMBTU)]</f>
        <v>3819.625295540638</v>
      </c>
      <c r="S48" s="35"/>
      <c r="T48" s="35"/>
      <c r="U48" s="35"/>
      <c r="V48" s="35"/>
      <c r="W48" s="35"/>
      <c r="X48" s="35"/>
      <c r="Y48" s="35"/>
      <c r="Z48" s="35"/>
      <c r="AA48" s="35"/>
    </row>
    <row r="49" spans="1:27" x14ac:dyDescent="0.25">
      <c r="A49" s="42">
        <v>40118</v>
      </c>
      <c r="B49" s="35">
        <v>4585918</v>
      </c>
      <c r="C49" s="35">
        <v>46943.410249068002</v>
      </c>
      <c r="D49" s="35">
        <v>176900</v>
      </c>
      <c r="E49" s="35">
        <v>17690</v>
      </c>
      <c r="F49" s="35">
        <v>210502</v>
      </c>
      <c r="G49" s="35">
        <v>884</v>
      </c>
      <c r="H49" s="35">
        <v>0</v>
      </c>
      <c r="I49" s="37">
        <v>2009</v>
      </c>
      <c r="J49" s="35">
        <f>DetailTable14[Electricity (MMBTU)]+DetailTable14[Natural Gas (MMBTU)]</f>
        <v>64633.410249068002</v>
      </c>
      <c r="K49" s="35">
        <f>SUM(SUMIFS(DetailTable14[Production],DetailTable14[Period],DetailTable14[Period]))</f>
        <v>2623576.9</v>
      </c>
      <c r="L49" s="35">
        <v>2007</v>
      </c>
      <c r="M49" s="35">
        <v>0</v>
      </c>
      <c r="N49" s="35">
        <f ca="1">IF(OFFSET(INDIRECT(ADDRESS(ROW(),COLUMN(DetailTable14[Period]))),-1,0,1,1) = OFFSET(INDIRECT(ADDRESS(ROW(),COLUMN(DetailTable14[Period]))),0,0,1,1),OFFSET(INDIRECT(ADDRESS(ROW(),COLUMN())),-1,0,1,1) + 1,1)</f>
        <v>11</v>
      </c>
      <c r="O49" s="35">
        <f ca="1">IF(DetailTable14[Period] = DetailTable14[Baseline Year],IF(OFFSET(INDIRECT(ADDRESS(ROW(),COLUMN(DetailTable14[Period]))),-1,0,1,1) = OFFSET(INDIRECT(ADDRESS(ROW(),COLUMN(DetailTable14[Period]))),0,0,1,1),OFFSET(INDIRECT(ADDRESS(ROW(),COLUMN())),-1,0,1,1) + 1,1),0)</f>
        <v>0</v>
      </c>
      <c r="P49"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-18.118474020004214</v>
      </c>
      <c r="Q49"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-1796</v>
      </c>
      <c r="R49" s="35">
        <f ca="1">IF(DetailTable14[Period]=DetailTable14[Baseline Year],DetailTable14[TOTAL  (MMBTU)],IF(DetailTable14[Period Count] &lt;= MAX(DetailTable14[Baseline Count]),INDEX(DetailTable14[],DetailTable14[Period Count],COLUMN(DetailTable14[TOTAL  (MMBTU)])),DetailTable14[TOTAL  (MMBTU)]))-DetailTable14[TOTAL  (MMBTU)]</f>
        <v>-1814.1184740200042</v>
      </c>
      <c r="S49" s="35"/>
      <c r="T49" s="35"/>
      <c r="U49" s="35"/>
      <c r="V49" s="35"/>
      <c r="W49" s="35"/>
      <c r="X49" s="35"/>
      <c r="Y49" s="35"/>
      <c r="Z49" s="35"/>
      <c r="AA49" s="35"/>
    </row>
    <row r="50" spans="1:27" x14ac:dyDescent="0.25">
      <c r="A50" s="42">
        <v>40148</v>
      </c>
      <c r="B50" s="35">
        <v>4192774</v>
      </c>
      <c r="C50" s="35">
        <v>42919.020785724002</v>
      </c>
      <c r="D50" s="35">
        <v>190570</v>
      </c>
      <c r="E50" s="35">
        <v>19057</v>
      </c>
      <c r="F50" s="35">
        <v>193889</v>
      </c>
      <c r="G50" s="35">
        <v>1499</v>
      </c>
      <c r="H50" s="35">
        <v>0</v>
      </c>
      <c r="I50" s="37">
        <v>2009</v>
      </c>
      <c r="J50" s="35">
        <f>DetailTable14[Electricity (MMBTU)]+DetailTable14[Natural Gas (MMBTU)]</f>
        <v>61976.020785724002</v>
      </c>
      <c r="K50" s="35">
        <f>SUM(SUMIFS(DetailTable14[Production],DetailTable14[Period],DetailTable14[Period]))</f>
        <v>2623576.9</v>
      </c>
      <c r="L50" s="35">
        <v>2007</v>
      </c>
      <c r="M50" s="35">
        <v>0</v>
      </c>
      <c r="N50" s="35">
        <f ca="1">IF(OFFSET(INDIRECT(ADDRESS(ROW(),COLUMN(DetailTable14[Period]))),-1,0,1,1) = OFFSET(INDIRECT(ADDRESS(ROW(),COLUMN(DetailTable14[Period]))),0,0,1,1),OFFSET(INDIRECT(ADDRESS(ROW(),COLUMN())),-1,0,1,1) + 1,1)</f>
        <v>12</v>
      </c>
      <c r="O50" s="35">
        <f ca="1">IF(DetailTable14[Period] = DetailTable14[Baseline Year],IF(OFFSET(INDIRECT(ADDRESS(ROW(),COLUMN(DetailTable14[Period]))),-1,0,1,1) = OFFSET(INDIRECT(ADDRESS(ROW(),COLUMN(DetailTable14[Period]))),0,0,1,1),OFFSET(INDIRECT(ADDRESS(ROW(),COLUMN())),-1,0,1,1) + 1,1),0)</f>
        <v>0</v>
      </c>
      <c r="P50" s="35">
        <f ca="1">IF(DetailTable14[Period]=DetailTable14[Baseline Year],DetailTable14[Electricity (MMBTU)],IF(DetailTable14[Period Count] &lt;= MAX(DetailTable14[Baseline Count]),INDEX(DetailTable14[],DetailTable14[Period Count],COLUMN(DetailTable14[Electricity (MMBTU)])),DetailTable14[Electricity (MMBTU)]))-DetailTable14[Electricity (MMBTU)]</f>
        <v>2259.5886752399965</v>
      </c>
      <c r="Q50" s="35">
        <f ca="1">IF(DetailTable14[Period]=DetailTable14[Baseline Year],DetailTable14[Natural Gas (MMBTU)],IF(DetailTable14[Period Count] &lt;= MAX(DetailTable14[Baseline Count]),INDEX(DetailTable14[],DetailTable14[Period Count],COLUMN(DetailTable14[Natural Gas (MMBTU)])),DetailTable14[Natural Gas (MMBTU)]))-DetailTable14[Natural Gas (MMBTU)]</f>
        <v>3815</v>
      </c>
      <c r="R50" s="35">
        <f ca="1">IF(DetailTable14[Period]=DetailTable14[Baseline Year],DetailTable14[TOTAL  (MMBTU)],IF(DetailTable14[Period Count] &lt;= MAX(DetailTable14[Baseline Count]),INDEX(DetailTable14[],DetailTable14[Period Count],COLUMN(DetailTable14[TOTAL  (MMBTU)])),DetailTable14[TOTAL  (MMBTU)]))-DetailTable14[TOTAL  (MMBTU)]</f>
        <v>6074.5886752399965</v>
      </c>
      <c r="S50" s="35"/>
      <c r="T50" s="35"/>
      <c r="U50" s="35"/>
      <c r="V50" s="35"/>
      <c r="W50" s="35"/>
      <c r="X50" s="35"/>
      <c r="Y50" s="35"/>
      <c r="Z50" s="35"/>
      <c r="AA50" s="35"/>
    </row>
    <row r="51" spans="1:27" x14ac:dyDescent="0.25">
      <c r="B51" s="35"/>
      <c r="C51" s="35"/>
      <c r="D51" s="35"/>
      <c r="E51" s="35"/>
      <c r="F51" s="35"/>
      <c r="G51" s="35"/>
      <c r="H51" s="35"/>
      <c r="I51" s="37"/>
      <c r="J51" s="35"/>
      <c r="K51" s="35"/>
      <c r="L51" s="35"/>
      <c r="M51" s="35"/>
      <c r="N51" s="35"/>
      <c r="O51" s="35"/>
      <c r="P51" s="35"/>
      <c r="Q51" s="35"/>
      <c r="R51" s="35"/>
      <c r="S51" s="35"/>
      <c r="T51" s="35"/>
      <c r="U51" s="35"/>
      <c r="V51" s="35"/>
      <c r="W51" s="35"/>
      <c r="X51" s="35"/>
      <c r="Y51" s="35"/>
      <c r="Z51" s="35"/>
      <c r="AA51" s="35"/>
    </row>
    <row r="52" spans="1:27" x14ac:dyDescent="0.25">
      <c r="B52" s="35"/>
      <c r="C52" s="35"/>
      <c r="D52" s="35"/>
      <c r="E52" s="35"/>
      <c r="F52" s="35"/>
      <c r="G52" s="35"/>
      <c r="H52" s="35"/>
      <c r="I52" s="37"/>
      <c r="J52" s="35"/>
      <c r="K52" s="35"/>
      <c r="L52" s="35"/>
      <c r="M52" s="35"/>
      <c r="N52" s="35"/>
      <c r="O52" s="35"/>
      <c r="P52" s="35"/>
      <c r="Q52" s="35"/>
      <c r="R52" s="35"/>
      <c r="S52" s="35"/>
      <c r="T52" s="35"/>
      <c r="U52" s="35"/>
      <c r="V52" s="35"/>
      <c r="W52" s="35"/>
      <c r="X52" s="35"/>
      <c r="Y52" s="35"/>
      <c r="Z52" s="35"/>
      <c r="AA52" s="35"/>
    </row>
    <row r="53" spans="1:27" x14ac:dyDescent="0.25">
      <c r="B53" s="35"/>
      <c r="C53" s="35"/>
      <c r="D53" s="35"/>
      <c r="E53" s="35"/>
      <c r="F53" s="35"/>
      <c r="G53" s="35"/>
      <c r="H53" s="35"/>
      <c r="I53" s="37"/>
      <c r="J53" s="35"/>
      <c r="K53" s="35"/>
      <c r="L53" s="35"/>
      <c r="M53" s="35"/>
      <c r="N53" s="35"/>
      <c r="O53" s="35"/>
      <c r="P53" s="35"/>
      <c r="Q53" s="35"/>
      <c r="R53" s="35"/>
      <c r="S53" s="35"/>
      <c r="T53" s="35"/>
      <c r="U53" s="35"/>
      <c r="V53" s="35"/>
      <c r="W53" s="35"/>
      <c r="X53" s="35"/>
      <c r="Y53" s="35"/>
      <c r="Z53" s="35"/>
      <c r="AA53" s="35"/>
    </row>
    <row r="54" spans="1:27" x14ac:dyDescent="0.25">
      <c r="B54" s="35"/>
      <c r="C54" s="35"/>
      <c r="D54" s="35"/>
      <c r="E54" s="35"/>
      <c r="F54" s="35"/>
      <c r="G54" s="35"/>
      <c r="H54" s="35"/>
      <c r="I54" s="37"/>
      <c r="J54" s="35"/>
      <c r="K54" s="35"/>
      <c r="L54" s="35"/>
      <c r="M54" s="35"/>
      <c r="N54" s="35"/>
      <c r="O54" s="35"/>
      <c r="P54" s="35"/>
      <c r="Q54" s="35"/>
      <c r="R54" s="35"/>
      <c r="S54" s="35"/>
      <c r="T54" s="35"/>
      <c r="U54" s="35"/>
      <c r="V54" s="35"/>
      <c r="W54" s="35"/>
      <c r="X54" s="35"/>
      <c r="Y54" s="35"/>
      <c r="Z54" s="35"/>
      <c r="AA54" s="35"/>
    </row>
    <row r="55" spans="1:27" x14ac:dyDescent="0.25">
      <c r="B55" s="35"/>
      <c r="C55" s="35"/>
      <c r="D55" s="35"/>
      <c r="E55" s="35"/>
      <c r="F55" s="35"/>
      <c r="G55" s="35"/>
      <c r="H55" s="35"/>
      <c r="I55" s="37"/>
      <c r="J55" s="35"/>
      <c r="K55" s="35"/>
      <c r="L55" s="35"/>
      <c r="M55" s="35"/>
      <c r="N55" s="35"/>
      <c r="O55" s="35"/>
      <c r="P55" s="35"/>
      <c r="Q55" s="35"/>
      <c r="R55" s="35"/>
      <c r="S55" s="35"/>
      <c r="T55" s="35"/>
      <c r="U55" s="35"/>
      <c r="V55" s="35"/>
      <c r="W55" s="35"/>
      <c r="X55" s="35"/>
      <c r="Y55" s="35"/>
      <c r="Z55" s="35"/>
      <c r="AA55" s="35"/>
    </row>
    <row r="56" spans="1:27" x14ac:dyDescent="0.25">
      <c r="B56" s="35"/>
      <c r="C56" s="35"/>
      <c r="D56" s="35"/>
      <c r="E56" s="35"/>
      <c r="F56" s="35"/>
      <c r="G56" s="35"/>
      <c r="H56" s="35"/>
      <c r="I56" s="37"/>
      <c r="J56" s="35"/>
      <c r="K56" s="35"/>
      <c r="L56" s="35"/>
      <c r="M56" s="35"/>
      <c r="N56" s="35"/>
      <c r="O56" s="35"/>
      <c r="P56" s="35"/>
      <c r="Q56" s="35"/>
      <c r="R56" s="35"/>
      <c r="S56" s="35"/>
      <c r="T56" s="35"/>
      <c r="U56" s="35"/>
      <c r="V56" s="35"/>
      <c r="W56" s="35"/>
      <c r="X56" s="35"/>
      <c r="Y56" s="35"/>
      <c r="Z56" s="35"/>
      <c r="AA56" s="35"/>
    </row>
    <row r="57" spans="1:27" x14ac:dyDescent="0.25">
      <c r="B57" s="35"/>
      <c r="C57" s="35"/>
      <c r="D57" s="35"/>
      <c r="E57" s="35"/>
      <c r="F57" s="35"/>
      <c r="G57" s="35"/>
      <c r="H57" s="35"/>
      <c r="I57" s="37"/>
      <c r="J57" s="35"/>
      <c r="K57" s="35"/>
      <c r="L57" s="35"/>
      <c r="M57" s="35"/>
      <c r="N57" s="35"/>
      <c r="O57" s="35"/>
      <c r="P57" s="35"/>
      <c r="Q57" s="35"/>
      <c r="R57" s="35"/>
      <c r="S57" s="35"/>
      <c r="T57" s="35"/>
      <c r="U57" s="35"/>
      <c r="V57" s="35"/>
      <c r="W57" s="35"/>
      <c r="X57" s="35"/>
      <c r="Y57" s="35"/>
      <c r="Z57" s="35"/>
      <c r="AA57" s="35"/>
    </row>
    <row r="58" spans="1:27" x14ac:dyDescent="0.25">
      <c r="B58" s="35"/>
      <c r="C58" s="35"/>
      <c r="D58" s="35"/>
      <c r="E58" s="35"/>
      <c r="F58" s="35"/>
      <c r="G58" s="35"/>
      <c r="H58" s="35"/>
      <c r="I58" s="37"/>
      <c r="J58" s="35"/>
      <c r="K58" s="35"/>
      <c r="L58" s="35"/>
      <c r="M58" s="35"/>
      <c r="N58" s="35"/>
      <c r="O58" s="35"/>
      <c r="P58" s="35"/>
      <c r="Q58" s="35"/>
      <c r="R58" s="35"/>
      <c r="S58" s="35"/>
      <c r="T58" s="35"/>
      <c r="U58" s="35"/>
      <c r="V58" s="35"/>
      <c r="W58" s="35"/>
      <c r="X58" s="35"/>
      <c r="Y58" s="35"/>
      <c r="Z58" s="35"/>
      <c r="AA58" s="35"/>
    </row>
    <row r="59" spans="1:27" x14ac:dyDescent="0.25">
      <c r="B59" s="35"/>
      <c r="C59" s="35"/>
      <c r="D59" s="35"/>
      <c r="E59" s="35"/>
      <c r="F59" s="35"/>
      <c r="G59" s="35"/>
      <c r="H59" s="35"/>
      <c r="I59" s="37"/>
      <c r="J59" s="35"/>
      <c r="K59" s="35"/>
      <c r="L59" s="35"/>
      <c r="M59" s="35"/>
      <c r="N59" s="35"/>
      <c r="O59" s="35"/>
      <c r="P59" s="35"/>
      <c r="Q59" s="35"/>
      <c r="R59" s="35"/>
      <c r="S59" s="35"/>
      <c r="T59" s="35"/>
      <c r="U59" s="35"/>
      <c r="V59" s="35"/>
      <c r="W59" s="35"/>
      <c r="X59" s="35"/>
      <c r="Y59" s="35"/>
      <c r="Z59" s="35"/>
      <c r="AA59" s="35"/>
    </row>
    <row r="60" spans="1:27" x14ac:dyDescent="0.25">
      <c r="B60" s="35"/>
      <c r="C60" s="35"/>
      <c r="D60" s="35"/>
      <c r="E60" s="35"/>
      <c r="F60" s="35"/>
      <c r="G60" s="35"/>
      <c r="H60" s="35"/>
      <c r="I60" s="37"/>
      <c r="J60" s="35"/>
      <c r="K60" s="35"/>
      <c r="L60" s="35"/>
      <c r="M60" s="35"/>
      <c r="N60" s="35"/>
      <c r="O60" s="35"/>
      <c r="P60" s="35"/>
      <c r="Q60" s="35"/>
      <c r="R60" s="35"/>
      <c r="S60" s="35"/>
      <c r="T60" s="35"/>
      <c r="U60" s="35"/>
      <c r="V60" s="35"/>
      <c r="W60" s="35"/>
      <c r="X60" s="35"/>
      <c r="Y60" s="35"/>
      <c r="Z60" s="35"/>
      <c r="AA60" s="35"/>
    </row>
    <row r="61" spans="1:27" x14ac:dyDescent="0.25">
      <c r="B61" s="35"/>
      <c r="C61" s="35"/>
      <c r="D61" s="35"/>
      <c r="E61" s="35"/>
      <c r="F61" s="35"/>
      <c r="G61" s="35"/>
      <c r="H61" s="35"/>
      <c r="I61" s="37"/>
      <c r="J61" s="35"/>
      <c r="K61" s="35"/>
      <c r="L61" s="35"/>
      <c r="M61" s="35"/>
      <c r="N61" s="35"/>
      <c r="O61" s="35"/>
      <c r="P61" s="35"/>
      <c r="Q61" s="35"/>
      <c r="R61" s="35"/>
      <c r="S61" s="35"/>
      <c r="T61" s="35"/>
      <c r="U61" s="35"/>
      <c r="V61" s="35"/>
      <c r="W61" s="35"/>
      <c r="X61" s="35"/>
      <c r="Y61" s="35"/>
      <c r="Z61" s="35"/>
      <c r="AA61" s="35"/>
    </row>
    <row r="62" spans="1:27" x14ac:dyDescent="0.25">
      <c r="B62" s="35"/>
      <c r="C62" s="35"/>
      <c r="D62" s="35"/>
      <c r="E62" s="35"/>
      <c r="F62" s="35"/>
      <c r="G62" s="35"/>
      <c r="H62" s="35"/>
      <c r="I62" s="37"/>
      <c r="J62" s="35"/>
      <c r="K62" s="35"/>
      <c r="L62" s="35"/>
      <c r="M62" s="35"/>
      <c r="N62" s="35"/>
      <c r="O62" s="35"/>
      <c r="P62" s="35"/>
      <c r="Q62" s="35"/>
      <c r="R62" s="35"/>
      <c r="S62" s="35"/>
      <c r="T62" s="35"/>
      <c r="U62" s="35"/>
      <c r="V62" s="35"/>
      <c r="W62" s="35"/>
      <c r="X62" s="35"/>
      <c r="Y62" s="35"/>
      <c r="Z62" s="35"/>
      <c r="AA62" s="35"/>
    </row>
    <row r="63" spans="1:27" x14ac:dyDescent="0.25">
      <c r="B63" s="35"/>
      <c r="C63" s="35"/>
      <c r="D63" s="35"/>
      <c r="E63" s="35"/>
      <c r="F63" s="35"/>
      <c r="G63" s="35"/>
      <c r="H63" s="35"/>
      <c r="I63" s="37"/>
      <c r="J63" s="35"/>
      <c r="K63" s="35"/>
      <c r="L63" s="35"/>
      <c r="M63" s="35"/>
      <c r="N63" s="35"/>
      <c r="O63" s="35"/>
      <c r="P63" s="35"/>
      <c r="Q63" s="35"/>
      <c r="R63" s="35"/>
      <c r="S63" s="35"/>
      <c r="T63" s="35"/>
      <c r="U63" s="35"/>
      <c r="V63" s="35"/>
      <c r="W63" s="35"/>
      <c r="X63" s="35"/>
      <c r="Y63" s="35"/>
      <c r="Z63" s="35"/>
      <c r="AA63" s="35"/>
    </row>
    <row r="64" spans="1:27" x14ac:dyDescent="0.25">
      <c r="B64" s="35"/>
      <c r="C64" s="35"/>
      <c r="D64" s="35"/>
      <c r="E64" s="35"/>
      <c r="F64" s="35"/>
      <c r="G64" s="35"/>
      <c r="H64" s="35"/>
      <c r="I64" s="37"/>
      <c r="J64" s="35"/>
      <c r="K64" s="35"/>
      <c r="L64" s="35"/>
      <c r="M64" s="35"/>
      <c r="N64" s="35"/>
      <c r="O64" s="35"/>
      <c r="P64" s="35"/>
      <c r="Q64" s="35"/>
      <c r="R64" s="35"/>
      <c r="S64" s="35"/>
      <c r="T64" s="35"/>
      <c r="U64" s="35"/>
      <c r="V64" s="35"/>
      <c r="W64" s="35"/>
      <c r="X64" s="35"/>
      <c r="Y64" s="35"/>
      <c r="Z64" s="35"/>
      <c r="AA64" s="35"/>
    </row>
    <row r="65" spans="2:27" x14ac:dyDescent="0.25">
      <c r="B65" s="35"/>
      <c r="C65" s="35"/>
      <c r="D65" s="35"/>
      <c r="E65" s="35"/>
      <c r="F65" s="35"/>
      <c r="G65" s="35"/>
      <c r="H65" s="35"/>
      <c r="I65" s="37"/>
      <c r="J65" s="35"/>
      <c r="K65" s="35"/>
      <c r="L65" s="35"/>
      <c r="M65" s="35"/>
      <c r="N65" s="35"/>
      <c r="O65" s="35"/>
      <c r="P65" s="35"/>
      <c r="Q65" s="35"/>
      <c r="R65" s="35"/>
      <c r="S65" s="35"/>
      <c r="T65" s="35"/>
      <c r="U65" s="35"/>
      <c r="V65" s="35"/>
      <c r="W65" s="35"/>
      <c r="X65" s="35"/>
      <c r="Y65" s="35"/>
      <c r="Z65" s="35"/>
      <c r="AA65" s="35"/>
    </row>
    <row r="66" spans="2:27" x14ac:dyDescent="0.25">
      <c r="B66" s="35"/>
      <c r="C66" s="35"/>
      <c r="D66" s="35"/>
      <c r="E66" s="35"/>
      <c r="F66" s="35"/>
      <c r="G66" s="35"/>
      <c r="H66" s="35"/>
      <c r="I66" s="37"/>
      <c r="J66" s="35"/>
      <c r="K66" s="35"/>
      <c r="L66" s="35"/>
      <c r="M66" s="35"/>
      <c r="N66" s="35"/>
      <c r="O66" s="35"/>
      <c r="P66" s="35"/>
      <c r="Q66" s="35"/>
      <c r="R66" s="35"/>
      <c r="S66" s="35"/>
      <c r="T66" s="35"/>
      <c r="U66" s="35"/>
      <c r="V66" s="35"/>
      <c r="W66" s="35"/>
      <c r="X66" s="35"/>
      <c r="Y66" s="35"/>
      <c r="Z66" s="35"/>
      <c r="AA66" s="35"/>
    </row>
    <row r="67" spans="2:27" x14ac:dyDescent="0.25">
      <c r="B67" s="35"/>
      <c r="C67" s="35"/>
      <c r="D67" s="35"/>
      <c r="E67" s="35"/>
      <c r="F67" s="35"/>
      <c r="G67" s="35"/>
      <c r="H67" s="35"/>
      <c r="I67" s="37"/>
      <c r="J67" s="35"/>
      <c r="K67" s="35"/>
      <c r="L67" s="35"/>
      <c r="M67" s="35"/>
      <c r="N67" s="35"/>
      <c r="O67" s="35"/>
      <c r="P67" s="35"/>
      <c r="Q67" s="35"/>
      <c r="R67" s="35"/>
      <c r="S67" s="35"/>
      <c r="T67" s="35"/>
      <c r="U67" s="35"/>
      <c r="V67" s="35"/>
      <c r="W67" s="35"/>
      <c r="X67" s="35"/>
      <c r="Y67" s="35"/>
      <c r="Z67" s="35"/>
      <c r="AA67" s="35"/>
    </row>
    <row r="68" spans="2:27" x14ac:dyDescent="0.25">
      <c r="B68" s="35"/>
      <c r="C68" s="35"/>
      <c r="D68" s="35"/>
      <c r="E68" s="35"/>
      <c r="F68" s="35"/>
      <c r="G68" s="35"/>
      <c r="H68" s="35"/>
      <c r="I68" s="37"/>
      <c r="J68" s="35"/>
      <c r="K68" s="35"/>
      <c r="L68" s="35"/>
      <c r="M68" s="35"/>
      <c r="N68" s="35"/>
      <c r="O68" s="35"/>
      <c r="P68" s="35"/>
      <c r="Q68" s="35"/>
      <c r="R68" s="35"/>
      <c r="S68" s="35"/>
      <c r="T68" s="35"/>
      <c r="U68" s="35"/>
      <c r="V68" s="35"/>
      <c r="W68" s="35"/>
      <c r="X68" s="35"/>
      <c r="Y68" s="35"/>
      <c r="Z68" s="35"/>
      <c r="AA68" s="35"/>
    </row>
    <row r="69" spans="2:27" x14ac:dyDescent="0.25">
      <c r="B69" s="35"/>
      <c r="C69" s="35"/>
      <c r="D69" s="35"/>
      <c r="E69" s="35"/>
      <c r="F69" s="35"/>
      <c r="G69" s="35"/>
      <c r="H69" s="35"/>
      <c r="I69" s="37"/>
      <c r="J69" s="35"/>
      <c r="K69" s="35"/>
      <c r="L69" s="35"/>
      <c r="M69" s="35"/>
      <c r="N69" s="35"/>
      <c r="O69" s="35"/>
      <c r="P69" s="35"/>
      <c r="Q69" s="35"/>
      <c r="R69" s="35"/>
      <c r="S69" s="35"/>
      <c r="T69" s="35"/>
      <c r="U69" s="35"/>
      <c r="V69" s="35"/>
      <c r="W69" s="35"/>
      <c r="X69" s="35"/>
      <c r="Y69" s="35"/>
      <c r="Z69" s="35"/>
      <c r="AA69" s="35"/>
    </row>
    <row r="70" spans="2:27" x14ac:dyDescent="0.25">
      <c r="B70" s="35"/>
      <c r="C70" s="35"/>
      <c r="D70" s="35"/>
      <c r="E70" s="35"/>
      <c r="F70" s="35"/>
      <c r="G70" s="35"/>
      <c r="H70" s="35"/>
      <c r="I70" s="37"/>
      <c r="J70" s="35"/>
      <c r="K70" s="35"/>
      <c r="L70" s="35"/>
      <c r="M70" s="35"/>
      <c r="N70" s="35"/>
      <c r="O70" s="35"/>
      <c r="P70" s="35"/>
      <c r="Q70" s="35"/>
      <c r="R70" s="35"/>
      <c r="S70" s="35"/>
      <c r="T70" s="35"/>
      <c r="U70" s="35"/>
      <c r="V70" s="35"/>
      <c r="W70" s="35"/>
      <c r="X70" s="35"/>
      <c r="Y70" s="35"/>
      <c r="Z70" s="35"/>
      <c r="AA70" s="35"/>
    </row>
    <row r="71" spans="2:27" x14ac:dyDescent="0.25">
      <c r="B71" s="35"/>
      <c r="C71" s="35"/>
      <c r="D71" s="35"/>
      <c r="E71" s="35"/>
      <c r="F71" s="35"/>
      <c r="G71" s="35"/>
      <c r="H71" s="35"/>
      <c r="I71" s="37"/>
      <c r="J71" s="35"/>
      <c r="K71" s="35"/>
      <c r="L71" s="35"/>
      <c r="M71" s="35"/>
      <c r="N71" s="35"/>
      <c r="O71" s="35"/>
      <c r="P71" s="35"/>
      <c r="Q71" s="35"/>
      <c r="R71" s="35"/>
      <c r="S71" s="35"/>
      <c r="T71" s="35"/>
      <c r="U71" s="35"/>
      <c r="V71" s="35"/>
      <c r="W71" s="35"/>
      <c r="X71" s="35"/>
      <c r="Y71" s="35"/>
      <c r="Z71" s="35"/>
      <c r="AA71" s="35"/>
    </row>
    <row r="72" spans="2:27" x14ac:dyDescent="0.25">
      <c r="B72" s="35"/>
      <c r="C72" s="35"/>
      <c r="D72" s="35"/>
      <c r="E72" s="35"/>
      <c r="F72" s="35"/>
      <c r="G72" s="35"/>
      <c r="H72" s="35"/>
      <c r="I72" s="37"/>
      <c r="J72" s="35"/>
      <c r="K72" s="35"/>
      <c r="L72" s="35"/>
      <c r="M72" s="35"/>
      <c r="N72" s="35"/>
      <c r="O72" s="35"/>
      <c r="P72" s="35"/>
      <c r="Q72" s="35"/>
      <c r="R72" s="35"/>
      <c r="S72" s="35"/>
      <c r="T72" s="35"/>
      <c r="U72" s="35"/>
      <c r="V72" s="35"/>
      <c r="W72" s="35"/>
      <c r="X72" s="35"/>
      <c r="Y72" s="35"/>
      <c r="Z72" s="35"/>
      <c r="AA72" s="35"/>
    </row>
    <row r="73" spans="2:27" x14ac:dyDescent="0.25">
      <c r="B73" s="35"/>
      <c r="C73" s="35"/>
      <c r="D73" s="35"/>
      <c r="E73" s="35"/>
      <c r="F73" s="35"/>
      <c r="G73" s="35"/>
      <c r="H73" s="35"/>
      <c r="I73" s="37"/>
      <c r="J73" s="35"/>
      <c r="K73" s="35"/>
      <c r="L73" s="35"/>
      <c r="M73" s="35"/>
      <c r="N73" s="35"/>
      <c r="O73" s="35"/>
      <c r="P73" s="35"/>
      <c r="Q73" s="35"/>
      <c r="R73" s="35"/>
      <c r="S73" s="35"/>
      <c r="T73" s="35"/>
      <c r="U73" s="35"/>
      <c r="V73" s="35"/>
      <c r="W73" s="35"/>
      <c r="X73" s="35"/>
      <c r="Y73" s="35"/>
      <c r="Z73" s="35"/>
      <c r="AA73" s="35"/>
    </row>
    <row r="74" spans="2:27" x14ac:dyDescent="0.25">
      <c r="B74" s="35"/>
      <c r="C74" s="35"/>
      <c r="D74" s="35"/>
      <c r="E74" s="35"/>
      <c r="F74" s="35"/>
      <c r="G74" s="35"/>
      <c r="H74" s="35"/>
      <c r="I74" s="37"/>
      <c r="J74" s="35"/>
      <c r="K74" s="35"/>
      <c r="L74" s="35"/>
      <c r="M74" s="35"/>
      <c r="N74" s="35"/>
      <c r="O74" s="35"/>
      <c r="P74" s="35"/>
      <c r="Q74" s="35"/>
      <c r="R74" s="35"/>
      <c r="S74" s="35"/>
      <c r="T74" s="35"/>
      <c r="U74" s="35"/>
      <c r="V74" s="35"/>
      <c r="W74" s="35"/>
      <c r="X74" s="35"/>
      <c r="Y74" s="35"/>
      <c r="Z74" s="35"/>
      <c r="AA74" s="35"/>
    </row>
    <row r="75" spans="2:27" x14ac:dyDescent="0.25">
      <c r="B75" s="35"/>
      <c r="C75" s="35"/>
      <c r="D75" s="35"/>
      <c r="E75" s="35"/>
      <c r="F75" s="35"/>
      <c r="G75" s="35"/>
      <c r="H75" s="35"/>
      <c r="I75" s="37"/>
      <c r="J75" s="35"/>
      <c r="K75" s="35"/>
      <c r="L75" s="35"/>
      <c r="M75" s="35"/>
      <c r="N75" s="35"/>
      <c r="O75" s="35"/>
      <c r="P75" s="35"/>
      <c r="Q75" s="35"/>
      <c r="R75" s="35"/>
      <c r="S75" s="35"/>
      <c r="T75" s="35"/>
      <c r="U75" s="35"/>
      <c r="V75" s="35"/>
      <c r="W75" s="35"/>
      <c r="X75" s="35"/>
      <c r="Y75" s="35"/>
      <c r="Z75" s="35"/>
      <c r="AA75" s="35"/>
    </row>
    <row r="76" spans="2:27" x14ac:dyDescent="0.25">
      <c r="B76" s="35"/>
      <c r="C76" s="35"/>
      <c r="D76" s="35"/>
      <c r="E76" s="35"/>
      <c r="F76" s="35"/>
      <c r="G76" s="35"/>
      <c r="H76" s="35"/>
      <c r="I76" s="37"/>
      <c r="J76" s="35"/>
      <c r="K76" s="35"/>
      <c r="L76" s="35"/>
      <c r="M76" s="35"/>
      <c r="N76" s="35"/>
      <c r="O76" s="35"/>
      <c r="P76" s="35"/>
      <c r="Q76" s="35"/>
      <c r="R76" s="35"/>
      <c r="S76" s="35"/>
      <c r="T76" s="35"/>
      <c r="U76" s="35"/>
      <c r="V76" s="35"/>
      <c r="W76" s="35"/>
      <c r="X76" s="35"/>
      <c r="Y76" s="35"/>
      <c r="Z76" s="35"/>
      <c r="AA76" s="35"/>
    </row>
    <row r="77" spans="2:27" x14ac:dyDescent="0.25">
      <c r="B77" s="35"/>
      <c r="C77" s="35"/>
      <c r="D77" s="35"/>
      <c r="E77" s="35"/>
      <c r="F77" s="35"/>
      <c r="G77" s="35"/>
      <c r="H77" s="35"/>
      <c r="I77" s="37"/>
      <c r="J77" s="35"/>
      <c r="K77" s="35"/>
      <c r="L77" s="35"/>
      <c r="M77" s="35"/>
      <c r="N77" s="35"/>
      <c r="O77" s="35"/>
      <c r="P77" s="35"/>
      <c r="Q77" s="35"/>
      <c r="R77" s="35"/>
      <c r="S77" s="35"/>
      <c r="T77" s="35"/>
      <c r="U77" s="35"/>
      <c r="V77" s="35"/>
      <c r="W77" s="35"/>
      <c r="X77" s="35"/>
      <c r="Y77" s="35"/>
      <c r="Z77" s="35"/>
      <c r="AA77" s="35"/>
    </row>
    <row r="78" spans="2:27" x14ac:dyDescent="0.25">
      <c r="B78" s="35"/>
      <c r="C78" s="35"/>
      <c r="D78" s="35"/>
      <c r="E78" s="35"/>
      <c r="F78" s="35"/>
      <c r="G78" s="35"/>
      <c r="H78" s="35"/>
      <c r="I78" s="37"/>
      <c r="J78" s="35"/>
      <c r="K78" s="35"/>
      <c r="L78" s="35"/>
      <c r="M78" s="35"/>
      <c r="N78" s="35"/>
      <c r="O78" s="35"/>
      <c r="P78" s="35"/>
      <c r="Q78" s="35"/>
      <c r="R78" s="35"/>
      <c r="S78" s="35"/>
      <c r="T78" s="35"/>
      <c r="U78" s="35"/>
      <c r="V78" s="35"/>
      <c r="W78" s="35"/>
      <c r="X78" s="35"/>
      <c r="Y78" s="35"/>
      <c r="Z78" s="35"/>
      <c r="AA78" s="35"/>
    </row>
    <row r="79" spans="2:27" x14ac:dyDescent="0.25">
      <c r="B79" s="35"/>
      <c r="C79" s="35"/>
      <c r="D79" s="35"/>
      <c r="E79" s="35"/>
      <c r="F79" s="35"/>
      <c r="G79" s="35"/>
      <c r="H79" s="35"/>
      <c r="I79" s="37"/>
      <c r="J79" s="35"/>
      <c r="K79" s="35"/>
      <c r="L79" s="35"/>
      <c r="M79" s="35"/>
      <c r="N79" s="35"/>
      <c r="O79" s="35"/>
      <c r="P79" s="35"/>
      <c r="Q79" s="35"/>
      <c r="R79" s="35"/>
      <c r="S79" s="35"/>
      <c r="T79" s="35"/>
      <c r="U79" s="35"/>
      <c r="V79" s="35"/>
      <c r="W79" s="35"/>
      <c r="X79" s="35"/>
      <c r="Y79" s="35"/>
      <c r="Z79" s="35"/>
      <c r="AA79" s="35"/>
    </row>
    <row r="80" spans="2:27" x14ac:dyDescent="0.25">
      <c r="B80" s="35"/>
      <c r="C80" s="35"/>
      <c r="D80" s="35"/>
      <c r="E80" s="35"/>
      <c r="F80" s="35"/>
      <c r="G80" s="35"/>
      <c r="H80" s="35"/>
      <c r="I80" s="37"/>
      <c r="J80" s="35"/>
      <c r="K80" s="35"/>
      <c r="L80" s="35"/>
      <c r="M80" s="35"/>
      <c r="N80" s="35"/>
      <c r="O80" s="35"/>
      <c r="P80" s="35"/>
      <c r="Q80" s="35"/>
      <c r="R80" s="35"/>
      <c r="S80" s="35"/>
      <c r="T80" s="35"/>
      <c r="U80" s="35"/>
      <c r="V80" s="35"/>
      <c r="W80" s="35"/>
      <c r="X80" s="35"/>
      <c r="Y80" s="35"/>
      <c r="Z80" s="35"/>
      <c r="AA80" s="35"/>
    </row>
    <row r="81" spans="2:27" x14ac:dyDescent="0.25">
      <c r="B81" s="35"/>
      <c r="C81" s="35"/>
      <c r="D81" s="35"/>
      <c r="E81" s="35"/>
      <c r="F81" s="35"/>
      <c r="G81" s="35"/>
      <c r="H81" s="35"/>
      <c r="I81" s="37"/>
      <c r="J81" s="35"/>
      <c r="K81" s="35"/>
      <c r="L81" s="35"/>
      <c r="M81" s="35"/>
      <c r="N81" s="35"/>
      <c r="O81" s="35"/>
      <c r="P81" s="35"/>
      <c r="Q81" s="35"/>
      <c r="R81" s="35"/>
      <c r="S81" s="35"/>
      <c r="T81" s="35"/>
      <c r="U81" s="35"/>
      <c r="V81" s="35"/>
      <c r="W81" s="35"/>
      <c r="X81" s="35"/>
      <c r="Y81" s="35"/>
      <c r="Z81" s="35"/>
      <c r="AA81" s="35"/>
    </row>
    <row r="82" spans="2:27" x14ac:dyDescent="0.25">
      <c r="B82" s="35"/>
      <c r="C82" s="35"/>
      <c r="D82" s="35"/>
      <c r="E82" s="35"/>
      <c r="F82" s="35"/>
      <c r="G82" s="35"/>
      <c r="H82" s="35"/>
      <c r="I82" s="37"/>
      <c r="J82" s="35"/>
      <c r="K82" s="35"/>
      <c r="L82" s="35"/>
      <c r="M82" s="35"/>
      <c r="N82" s="35"/>
      <c r="O82" s="35"/>
      <c r="P82" s="35"/>
      <c r="Q82" s="35"/>
      <c r="R82" s="35"/>
      <c r="S82" s="35"/>
      <c r="T82" s="35"/>
      <c r="U82" s="35"/>
      <c r="V82" s="35"/>
      <c r="W82" s="35"/>
      <c r="X82" s="35"/>
      <c r="Y82" s="35"/>
      <c r="Z82" s="35"/>
      <c r="AA82" s="35"/>
    </row>
    <row r="83" spans="2:27" x14ac:dyDescent="0.25">
      <c r="B83" s="35"/>
      <c r="C83" s="35"/>
      <c r="D83" s="35"/>
      <c r="E83" s="35"/>
      <c r="F83" s="35"/>
      <c r="G83" s="35"/>
      <c r="H83" s="35"/>
      <c r="I83" s="37"/>
      <c r="J83" s="35"/>
      <c r="K83" s="35"/>
      <c r="L83" s="35"/>
      <c r="M83" s="35"/>
      <c r="N83" s="35"/>
      <c r="O83" s="35"/>
      <c r="P83" s="35"/>
      <c r="Q83" s="35"/>
      <c r="R83" s="35"/>
      <c r="S83" s="35"/>
      <c r="T83" s="35"/>
      <c r="U83" s="35"/>
      <c r="V83" s="35"/>
      <c r="W83" s="35"/>
      <c r="X83" s="35"/>
      <c r="Y83" s="35"/>
      <c r="Z83" s="35"/>
      <c r="AA83" s="35"/>
    </row>
    <row r="84" spans="2:27" x14ac:dyDescent="0.25">
      <c r="B84" s="35"/>
      <c r="C84" s="35"/>
      <c r="D84" s="35"/>
      <c r="E84" s="35"/>
      <c r="F84" s="35"/>
      <c r="G84" s="35"/>
      <c r="H84" s="35"/>
      <c r="I84" s="37"/>
      <c r="J84" s="35"/>
      <c r="K84" s="35"/>
      <c r="L84" s="35"/>
      <c r="M84" s="35"/>
      <c r="N84" s="35"/>
      <c r="O84" s="35"/>
      <c r="P84" s="35"/>
      <c r="Q84" s="35"/>
      <c r="R84" s="35"/>
      <c r="S84" s="35"/>
      <c r="T84" s="35"/>
      <c r="U84" s="35"/>
      <c r="V84" s="35"/>
      <c r="W84" s="35"/>
      <c r="X84" s="35"/>
      <c r="Y84" s="35"/>
      <c r="Z84" s="35"/>
      <c r="AA84" s="35"/>
    </row>
    <row r="85" spans="2:27" x14ac:dyDescent="0.25">
      <c r="B85" s="35"/>
      <c r="C85" s="35"/>
      <c r="D85" s="35"/>
      <c r="E85" s="35"/>
      <c r="F85" s="35"/>
      <c r="G85" s="35"/>
      <c r="H85" s="35"/>
      <c r="I85" s="37"/>
      <c r="J85" s="35"/>
      <c r="K85" s="35"/>
      <c r="L85" s="35"/>
      <c r="M85" s="35"/>
      <c r="N85" s="35"/>
      <c r="O85" s="35"/>
      <c r="P85" s="35"/>
      <c r="Q85" s="35"/>
      <c r="R85" s="35"/>
      <c r="S85" s="35"/>
      <c r="T85" s="35"/>
      <c r="U85" s="35"/>
      <c r="V85" s="35"/>
      <c r="W85" s="35"/>
      <c r="X85" s="35"/>
      <c r="Y85" s="35"/>
      <c r="Z85" s="35"/>
      <c r="AA85" s="35"/>
    </row>
    <row r="86" spans="2:27" x14ac:dyDescent="0.25">
      <c r="B86" s="35"/>
      <c r="C86" s="35"/>
      <c r="D86" s="35"/>
      <c r="E86" s="35"/>
      <c r="F86" s="35"/>
      <c r="G86" s="35"/>
      <c r="H86" s="35"/>
      <c r="I86" s="37"/>
      <c r="J86" s="35"/>
      <c r="K86" s="35"/>
      <c r="L86" s="35"/>
      <c r="M86" s="35"/>
      <c r="N86" s="35"/>
      <c r="O86" s="35"/>
      <c r="P86" s="35"/>
      <c r="Q86" s="35"/>
      <c r="R86" s="35"/>
      <c r="S86" s="35"/>
      <c r="T86" s="35"/>
      <c r="U86" s="35"/>
      <c r="V86" s="35"/>
      <c r="W86" s="35"/>
      <c r="X86" s="35"/>
      <c r="Y86" s="35"/>
      <c r="Z86" s="35"/>
      <c r="AA86" s="35"/>
    </row>
  </sheetData>
  <pageMargins left="0.7" right="0.7" top="0.75" bottom="0.75" header="0.3" footer="0.3"/>
  <pageSetup orientation="portrait" horizontalDpi="1200" verticalDpi="1200" r:id="rId1"/>
  <customProperties>
    <customPr name="HasEnPITables" r:id="rId2"/>
    <customPr name="SheetGUID" r:id="rId3"/>
  </customProperties>
  <drawing r:id="rId4"/>
  <tableParts count="1">
    <tablePart r:id="rId5"/>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ED64D0-6B3F-4896-9183-1B4150A5C882}">
  <sheetPr>
    <tabColor rgb="FF11CC50"/>
  </sheetPr>
  <dimension ref="A1:N32"/>
  <sheetViews>
    <sheetView topLeftCell="A3" workbookViewId="0"/>
  </sheetViews>
  <sheetFormatPr defaultRowHeight="15" x14ac:dyDescent="0.25"/>
  <cols>
    <col min="1" max="1" width="16.7109375" customWidth="1"/>
    <col min="2" max="2" width="28.5703125" customWidth="1"/>
    <col min="3" max="3" width="11.42578125" customWidth="1"/>
    <col min="4" max="4" width="21.5703125" hidden="1" customWidth="1"/>
    <col min="5" max="5" width="13.85546875" hidden="1" customWidth="1"/>
    <col min="6" max="6" width="19.140625" hidden="1" customWidth="1"/>
    <col min="7" max="7" width="18.85546875" style="26" customWidth="1"/>
    <col min="8" max="8" width="9.140625" style="26"/>
    <col min="9" max="9" width="13.7109375" style="26" customWidth="1"/>
    <col min="10" max="10" width="16.42578125" style="26" customWidth="1"/>
    <col min="11" max="11" width="11.42578125" hidden="1" customWidth="1"/>
    <col min="12" max="12" width="10.7109375" hidden="1" customWidth="1"/>
    <col min="13" max="13" width="0" hidden="1" customWidth="1"/>
    <col min="14" max="14" width="10.42578125" customWidth="1"/>
  </cols>
  <sheetData>
    <row r="1" spans="1:14" hidden="1" x14ac:dyDescent="0.25"/>
    <row r="2" spans="1:14" hidden="1" x14ac:dyDescent="0.25">
      <c r="A2" s="112" t="s">
        <v>154</v>
      </c>
      <c r="B2" s="112"/>
      <c r="C2" s="112"/>
      <c r="D2" s="112"/>
      <c r="E2" s="112"/>
    </row>
    <row r="3" spans="1:14" x14ac:dyDescent="0.25">
      <c r="A3" s="120" t="s">
        <v>155</v>
      </c>
      <c r="B3" s="120"/>
      <c r="C3" s="120"/>
      <c r="D3" s="120"/>
      <c r="E3" s="120"/>
      <c r="F3" s="120"/>
      <c r="G3" s="120"/>
    </row>
    <row r="4" spans="1:14" ht="105" customHeight="1" x14ac:dyDescent="0.25">
      <c r="A4" s="118" t="s">
        <v>156</v>
      </c>
      <c r="B4" s="118"/>
      <c r="C4" s="118"/>
      <c r="D4" s="118"/>
      <c r="E4" s="118"/>
      <c r="F4" s="118"/>
      <c r="G4" s="118"/>
    </row>
    <row r="6" spans="1:14" ht="15.75" thickBot="1" x14ac:dyDescent="0.3">
      <c r="A6" t="s">
        <v>13</v>
      </c>
      <c r="B6" t="s">
        <v>14</v>
      </c>
      <c r="C6" t="s">
        <v>15</v>
      </c>
      <c r="D6" t="s">
        <v>16</v>
      </c>
      <c r="E6" t="s">
        <v>17</v>
      </c>
      <c r="F6" t="s">
        <v>18</v>
      </c>
      <c r="G6" s="26" t="s">
        <v>19</v>
      </c>
      <c r="H6" s="26" t="s">
        <v>20</v>
      </c>
      <c r="I6" s="26" t="s">
        <v>21</v>
      </c>
      <c r="J6" s="26" t="s">
        <v>22</v>
      </c>
      <c r="K6" t="s">
        <v>23</v>
      </c>
      <c r="L6" t="s">
        <v>24</v>
      </c>
      <c r="M6" t="s">
        <v>25</v>
      </c>
      <c r="N6" t="s">
        <v>26</v>
      </c>
    </row>
    <row r="7" spans="1:14" x14ac:dyDescent="0.25">
      <c r="A7" s="122">
        <v>5</v>
      </c>
      <c r="B7" s="18" t="b">
        <v>1</v>
      </c>
      <c r="C7" s="18" t="s">
        <v>5</v>
      </c>
      <c r="D7" s="18" t="s">
        <v>28</v>
      </c>
      <c r="E7" s="18">
        <v>0.12155124390630467</v>
      </c>
      <c r="F7" s="18">
        <v>3.7618930090500935E-2</v>
      </c>
      <c r="G7" s="27">
        <v>1.0304161254508198E-2</v>
      </c>
      <c r="H7" s="27">
        <v>0.85263323967620663</v>
      </c>
      <c r="I7" s="27">
        <v>0.81988507071536354</v>
      </c>
      <c r="J7" s="27">
        <v>1.810497430887483E-4</v>
      </c>
      <c r="K7" s="18">
        <v>1847.2628950211933</v>
      </c>
      <c r="L7" s="18">
        <v>40948562.439864963</v>
      </c>
      <c r="M7" s="18"/>
      <c r="N7" s="19" t="s">
        <v>157</v>
      </c>
    </row>
    <row r="8" spans="1:14" x14ac:dyDescent="0.25">
      <c r="A8" s="20"/>
      <c r="B8" s="21"/>
      <c r="C8" s="21" t="s">
        <v>7</v>
      </c>
      <c r="D8" s="21" t="s">
        <v>28</v>
      </c>
      <c r="E8" s="21">
        <v>18.032961298994991</v>
      </c>
      <c r="F8" s="21">
        <v>4.2569165125799051</v>
      </c>
      <c r="G8" s="28">
        <v>2.1866564464511308E-3</v>
      </c>
      <c r="H8" s="28"/>
      <c r="I8" s="28"/>
      <c r="J8" s="28"/>
      <c r="K8" s="21"/>
      <c r="L8" s="21"/>
      <c r="M8" s="21"/>
      <c r="N8" s="22"/>
    </row>
    <row r="9" spans="1:14" ht="15.75" thickBot="1" x14ac:dyDescent="0.3">
      <c r="A9" s="23"/>
      <c r="B9" s="24"/>
      <c r="C9" s="24"/>
      <c r="D9" s="24"/>
      <c r="E9" s="24">
        <v>18050.327232340886</v>
      </c>
      <c r="F9" s="24"/>
      <c r="G9" s="29"/>
      <c r="H9" s="29"/>
      <c r="I9" s="29"/>
      <c r="J9" s="29"/>
      <c r="K9" s="24"/>
      <c r="L9" s="24"/>
      <c r="M9" s="24"/>
      <c r="N9" s="25"/>
    </row>
    <row r="10" spans="1:14" x14ac:dyDescent="0.25">
      <c r="A10" s="121">
        <v>4</v>
      </c>
      <c r="B10" s="9" t="b">
        <v>1</v>
      </c>
      <c r="C10" s="9" t="s">
        <v>5</v>
      </c>
      <c r="D10" s="9" t="s">
        <v>28</v>
      </c>
      <c r="E10" s="9">
        <v>0.14285747373852878</v>
      </c>
      <c r="F10" s="9">
        <v>4.4919057597465895E-2</v>
      </c>
      <c r="G10" s="30">
        <v>1.1178833179610222E-2</v>
      </c>
      <c r="H10" s="30">
        <v>0.77484375576041187</v>
      </c>
      <c r="I10" s="30">
        <v>0.72480903481828118</v>
      </c>
      <c r="J10" s="30">
        <v>1.219489262487483E-3</v>
      </c>
      <c r="K10" s="9">
        <v>2283.341849928072</v>
      </c>
      <c r="L10" s="9">
        <v>62563800.043595396</v>
      </c>
      <c r="M10" s="9"/>
      <c r="N10" s="10" t="s">
        <v>158</v>
      </c>
    </row>
    <row r="11" spans="1:14" x14ac:dyDescent="0.25">
      <c r="A11" s="11"/>
      <c r="B11" s="12"/>
      <c r="C11" s="12" t="s">
        <v>6</v>
      </c>
      <c r="D11" s="12" t="s">
        <v>28</v>
      </c>
      <c r="E11" s="12">
        <v>-4.0315030381310883</v>
      </c>
      <c r="F11" s="12">
        <v>1.3718825019030525</v>
      </c>
      <c r="G11" s="31">
        <v>1.6522558182246305E-2</v>
      </c>
      <c r="H11" s="31"/>
      <c r="I11" s="31"/>
      <c r="J11" s="31"/>
      <c r="K11" s="12"/>
      <c r="L11" s="12"/>
      <c r="M11" s="12"/>
      <c r="N11" s="13"/>
    </row>
    <row r="12" spans="1:14" ht="15.75" thickBot="1" x14ac:dyDescent="0.3">
      <c r="A12" s="14"/>
      <c r="B12" s="15"/>
      <c r="C12" s="15"/>
      <c r="D12" s="15"/>
      <c r="E12" s="15">
        <v>18422.750387734905</v>
      </c>
      <c r="F12" s="15"/>
      <c r="G12" s="32"/>
      <c r="H12" s="32"/>
      <c r="I12" s="32"/>
      <c r="J12" s="32"/>
      <c r="K12" s="15"/>
      <c r="L12" s="15"/>
      <c r="M12" s="15"/>
      <c r="N12" s="16"/>
    </row>
    <row r="13" spans="1:14" x14ac:dyDescent="0.25">
      <c r="A13" s="121">
        <v>3</v>
      </c>
      <c r="B13" s="9" t="b">
        <v>1</v>
      </c>
      <c r="C13" s="9" t="s">
        <v>7</v>
      </c>
      <c r="D13" s="9" t="s">
        <v>28</v>
      </c>
      <c r="E13" s="9">
        <v>24.373953470498279</v>
      </c>
      <c r="F13" s="9">
        <v>5.2669840478951535</v>
      </c>
      <c r="G13" s="30">
        <v>9.3948757245791953E-4</v>
      </c>
      <c r="H13" s="30">
        <v>0.68168565757783961</v>
      </c>
      <c r="I13" s="30">
        <v>0.64985422333562359</v>
      </c>
      <c r="J13" s="30">
        <v>9.3948757245792733E-4</v>
      </c>
      <c r="K13" s="9">
        <v>2714.9200347730771</v>
      </c>
      <c r="L13" s="9">
        <v>88449489.542546958</v>
      </c>
      <c r="M13" s="9"/>
      <c r="N13" s="10" t="s">
        <v>159</v>
      </c>
    </row>
    <row r="14" spans="1:14" ht="15.75" thickBot="1" x14ac:dyDescent="0.3">
      <c r="A14" s="14"/>
      <c r="B14" s="15"/>
      <c r="C14" s="15"/>
      <c r="D14" s="15"/>
      <c r="E14" s="15">
        <v>43733.809056134283</v>
      </c>
      <c r="F14" s="15"/>
      <c r="G14" s="32"/>
      <c r="H14" s="32"/>
      <c r="I14" s="32"/>
      <c r="J14" s="32"/>
      <c r="K14" s="15"/>
      <c r="L14" s="15"/>
      <c r="M14" s="15"/>
      <c r="N14" s="16"/>
    </row>
    <row r="15" spans="1:14" x14ac:dyDescent="0.25">
      <c r="A15" s="121">
        <v>1</v>
      </c>
      <c r="B15" s="9" t="b">
        <v>1</v>
      </c>
      <c r="C15" s="9" t="s">
        <v>5</v>
      </c>
      <c r="D15" s="9" t="s">
        <v>28</v>
      </c>
      <c r="E15" s="9">
        <v>0.19501742651099299</v>
      </c>
      <c r="F15" s="9">
        <v>5.4797776648718308E-2</v>
      </c>
      <c r="G15" s="30">
        <v>5.1911206678581737E-3</v>
      </c>
      <c r="H15" s="30">
        <v>0.55880004130467997</v>
      </c>
      <c r="I15" s="30">
        <v>0.51468004543514789</v>
      </c>
      <c r="J15" s="30">
        <v>5.1911206678581217E-3</v>
      </c>
      <c r="K15" s="9">
        <v>3196.2936378252712</v>
      </c>
      <c r="L15" s="9">
        <v>122595516.23042765</v>
      </c>
      <c r="M15" s="9"/>
      <c r="N15" s="10" t="s">
        <v>160</v>
      </c>
    </row>
    <row r="16" spans="1:14" ht="15.75" thickBot="1" x14ac:dyDescent="0.3">
      <c r="A16" s="14"/>
      <c r="B16" s="15"/>
      <c r="C16" s="15"/>
      <c r="D16" s="15"/>
      <c r="E16" s="15">
        <v>4523.4460738877488</v>
      </c>
      <c r="F16" s="15"/>
      <c r="G16" s="32"/>
      <c r="H16" s="32"/>
      <c r="I16" s="32"/>
      <c r="J16" s="32"/>
      <c r="K16" s="15"/>
      <c r="L16" s="15"/>
      <c r="M16" s="15"/>
      <c r="N16" s="16"/>
    </row>
    <row r="17" spans="1:14" x14ac:dyDescent="0.25">
      <c r="A17" s="121">
        <v>2</v>
      </c>
      <c r="B17" s="9" t="b">
        <v>1</v>
      </c>
      <c r="C17" s="9" t="s">
        <v>6</v>
      </c>
      <c r="D17" s="9" t="s">
        <v>28</v>
      </c>
      <c r="E17" s="9">
        <v>-5.7555366364470517</v>
      </c>
      <c r="F17" s="9">
        <v>1.7423434411300955</v>
      </c>
      <c r="G17" s="30">
        <v>7.9685488260266904E-3</v>
      </c>
      <c r="H17" s="30">
        <v>0.52180552304767513</v>
      </c>
      <c r="I17" s="30">
        <v>0.47398607535244264</v>
      </c>
      <c r="J17" s="30">
        <v>7.9685488260267251E-3</v>
      </c>
      <c r="K17" s="9">
        <v>3327.6007743011673</v>
      </c>
      <c r="L17" s="9">
        <v>132875122.95755674</v>
      </c>
      <c r="M17" s="9"/>
      <c r="N17" s="10" t="s">
        <v>161</v>
      </c>
    </row>
    <row r="18" spans="1:14" x14ac:dyDescent="0.25">
      <c r="A18" s="11"/>
      <c r="B18" s="12"/>
      <c r="C18" s="12"/>
      <c r="D18" s="12"/>
      <c r="E18" s="12">
        <v>50723.057859489221</v>
      </c>
      <c r="F18" s="12"/>
      <c r="G18" s="31"/>
      <c r="H18" s="31"/>
      <c r="I18" s="31"/>
      <c r="J18" s="31"/>
      <c r="K18" s="12"/>
      <c r="L18" s="12"/>
      <c r="M18" s="12"/>
      <c r="N18" s="13"/>
    </row>
    <row r="20" spans="1:14" s="123" customFormat="1" ht="75" customHeight="1" x14ac:dyDescent="0.25">
      <c r="A20" s="120" t="s">
        <v>34</v>
      </c>
      <c r="B20" s="120"/>
      <c r="C20" s="120"/>
      <c r="G20" s="124" t="s">
        <v>35</v>
      </c>
      <c r="H20" s="124"/>
      <c r="I20" s="124"/>
      <c r="J20" s="124"/>
      <c r="K20" s="124"/>
      <c r="L20" s="124"/>
      <c r="M20" s="124"/>
      <c r="N20" s="124"/>
    </row>
    <row r="21" spans="1:14" ht="268.35000000000002" customHeight="1" x14ac:dyDescent="0.25"/>
    <row r="22" spans="1:14" ht="268.35000000000002" customHeight="1" x14ac:dyDescent="0.25"/>
    <row r="23" spans="1:14" ht="268.35000000000002" customHeight="1" x14ac:dyDescent="0.25"/>
    <row r="25" spans="1:14" ht="15.75" thickBot="1" x14ac:dyDescent="0.3">
      <c r="A25" t="s">
        <v>13</v>
      </c>
      <c r="B25" t="s">
        <v>14</v>
      </c>
      <c r="C25" t="s">
        <v>15</v>
      </c>
      <c r="D25" t="s">
        <v>16</v>
      </c>
      <c r="E25" t="s">
        <v>17</v>
      </c>
      <c r="F25" t="s">
        <v>18</v>
      </c>
      <c r="G25" s="26" t="s">
        <v>19</v>
      </c>
      <c r="H25" s="26" t="s">
        <v>20</v>
      </c>
      <c r="I25" s="26" t="s">
        <v>21</v>
      </c>
      <c r="J25" s="26" t="s">
        <v>22</v>
      </c>
      <c r="K25" t="s">
        <v>23</v>
      </c>
      <c r="L25" t="s">
        <v>24</v>
      </c>
      <c r="M25" t="s">
        <v>25</v>
      </c>
      <c r="N25" t="s">
        <v>26</v>
      </c>
    </row>
    <row r="26" spans="1:14" x14ac:dyDescent="0.25">
      <c r="A26" s="34">
        <v>7</v>
      </c>
      <c r="B26" s="9" t="b">
        <v>0</v>
      </c>
      <c r="C26" s="9" t="s">
        <v>5</v>
      </c>
      <c r="D26" s="9" t="s">
        <v>31</v>
      </c>
      <c r="E26" s="9">
        <v>0.11943587251412052</v>
      </c>
      <c r="F26" s="9">
        <v>3.8490996802864053E-2</v>
      </c>
      <c r="G26" s="30">
        <v>1.4600287395344124E-2</v>
      </c>
      <c r="H26" s="30">
        <v>0.86351319546238081</v>
      </c>
      <c r="I26" s="30">
        <v>0.81233064376077357</v>
      </c>
      <c r="J26" s="30">
        <v>8.0597647064962281E-4</v>
      </c>
      <c r="K26" s="9">
        <v>1777.7646729641101</v>
      </c>
      <c r="L26" s="9">
        <v>37925366.789270267</v>
      </c>
      <c r="M26" s="9"/>
      <c r="N26" s="10" t="s">
        <v>162</v>
      </c>
    </row>
    <row r="27" spans="1:14" x14ac:dyDescent="0.25">
      <c r="A27" s="11"/>
      <c r="B27" s="12"/>
      <c r="C27" s="12" t="s">
        <v>6</v>
      </c>
      <c r="D27" s="12" t="s">
        <v>31</v>
      </c>
      <c r="E27" s="12">
        <v>-1.3134054093292655</v>
      </c>
      <c r="F27" s="12">
        <v>1.6446957679546335</v>
      </c>
      <c r="G27" s="31">
        <v>0.44759578967315311</v>
      </c>
      <c r="H27" s="31"/>
      <c r="I27" s="31"/>
      <c r="J27" s="31"/>
      <c r="K27" s="12"/>
      <c r="L27" s="12"/>
      <c r="M27" s="12"/>
      <c r="N27" s="13"/>
    </row>
    <row r="28" spans="1:14" x14ac:dyDescent="0.25">
      <c r="A28" s="11"/>
      <c r="B28" s="12"/>
      <c r="C28" s="12" t="s">
        <v>7</v>
      </c>
      <c r="D28" s="12" t="s">
        <v>31</v>
      </c>
      <c r="E28" s="12">
        <v>14.381118445900134</v>
      </c>
      <c r="F28" s="12">
        <v>6.308208230052001</v>
      </c>
      <c r="G28" s="31">
        <v>5.2091895811545462E-2</v>
      </c>
      <c r="H28" s="31"/>
      <c r="I28" s="31"/>
      <c r="J28" s="31"/>
      <c r="K28" s="12"/>
      <c r="L28" s="12"/>
      <c r="M28" s="12"/>
      <c r="N28" s="13"/>
    </row>
    <row r="29" spans="1:14" ht="15.75" thickBot="1" x14ac:dyDescent="0.3">
      <c r="A29" s="14"/>
      <c r="B29" s="15"/>
      <c r="C29" s="15"/>
      <c r="D29" s="15"/>
      <c r="E29" s="15">
        <v>19839.200048434552</v>
      </c>
      <c r="F29" s="15"/>
      <c r="G29" s="32"/>
      <c r="H29" s="32"/>
      <c r="I29" s="32"/>
      <c r="J29" s="32"/>
      <c r="K29" s="15"/>
      <c r="L29" s="15"/>
      <c r="M29" s="15"/>
      <c r="N29" s="16"/>
    </row>
    <row r="30" spans="1:14" x14ac:dyDescent="0.25">
      <c r="A30" s="34">
        <v>6</v>
      </c>
      <c r="B30" s="9" t="b">
        <v>0</v>
      </c>
      <c r="C30" s="9" t="s">
        <v>6</v>
      </c>
      <c r="D30" s="9" t="s">
        <v>31</v>
      </c>
      <c r="E30" s="9">
        <v>-1.6646223423754825</v>
      </c>
      <c r="F30" s="9">
        <v>2.296355345284081</v>
      </c>
      <c r="G30" s="30">
        <v>0.48693265561554666</v>
      </c>
      <c r="H30" s="30">
        <v>0.69924558645582291</v>
      </c>
      <c r="I30" s="30">
        <v>0.63241127233489469</v>
      </c>
      <c r="J30" s="30">
        <v>4.4869790502376243E-3</v>
      </c>
      <c r="K30" s="9">
        <v>2638.9729791140621</v>
      </c>
      <c r="L30" s="9">
        <v>83570140.613929778</v>
      </c>
      <c r="M30" s="9"/>
      <c r="N30" s="10" t="s">
        <v>163</v>
      </c>
    </row>
    <row r="31" spans="1:14" x14ac:dyDescent="0.25">
      <c r="A31" s="11"/>
      <c r="B31" s="12"/>
      <c r="C31" s="12" t="s">
        <v>7</v>
      </c>
      <c r="D31" s="12" t="s">
        <v>31</v>
      </c>
      <c r="E31" s="12">
        <v>19.605711043231171</v>
      </c>
      <c r="F31" s="12">
        <v>8.5082747448140612</v>
      </c>
      <c r="G31" s="31">
        <v>4.6669001393763412E-2</v>
      </c>
      <c r="H31" s="31"/>
      <c r="I31" s="31"/>
      <c r="J31" s="31"/>
      <c r="K31" s="12"/>
      <c r="L31" s="12"/>
      <c r="M31" s="12"/>
      <c r="N31" s="13"/>
    </row>
    <row r="32" spans="1:14" x14ac:dyDescent="0.25">
      <c r="A32" s="11"/>
      <c r="B32" s="12"/>
      <c r="C32" s="12"/>
      <c r="D32" s="12"/>
      <c r="E32" s="12">
        <v>45434.545700631337</v>
      </c>
      <c r="F32" s="12"/>
      <c r="G32" s="31"/>
      <c r="H32" s="31"/>
      <c r="I32" s="31"/>
      <c r="J32" s="31"/>
      <c r="K32" s="12"/>
      <c r="L32" s="12"/>
      <c r="M32" s="12"/>
      <c r="N32" s="13"/>
    </row>
  </sheetData>
  <mergeCells count="5">
    <mergeCell ref="A2:E2"/>
    <mergeCell ref="A3:G3"/>
    <mergeCell ref="A4:G4"/>
    <mergeCell ref="A20:C20"/>
    <mergeCell ref="G20:N20"/>
  </mergeCells>
  <hyperlinks>
    <hyperlink ref="A7" location="$A$7" tooltip="Graph model 5" display="$A$7" xr:uid="{6D1C1BE9-3404-4D2B-95AB-BBC203900062}"/>
    <hyperlink ref="A10" location="$A$10" tooltip="Graph model 4" display="$A$10" xr:uid="{26A3FD6E-0279-4863-A2FC-51B4D3D8E6D0}"/>
    <hyperlink ref="A13" location="$A$13" tooltip="Graph model 3" display="$A$13" xr:uid="{A2CF4A13-9ED2-471A-B761-651E1C13477D}"/>
    <hyperlink ref="A15" location="$A$15" tooltip="Graph model 1" display="$A$15" xr:uid="{10529D83-0857-42FE-BD03-27D01CF0F24D}"/>
    <hyperlink ref="A17" location="$A$17" tooltip="Graph model 2" display="$A$17" xr:uid="{FB0D0D58-C23E-4E01-BFAB-FE67646BD43A}"/>
  </hyperlinks>
  <pageMargins left="0.7" right="0.7" top="0.75" bottom="0.75" header="0.3" footer="0.3"/>
  <customProperties>
    <customPr name="SheetGUID" r:id="rId1"/>
  </customProperties>
  <drawing r:id="rId2"/>
  <tableParts count="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Minneapolis</vt:lpstr>
      <vt:lpstr>1 Electricity (MMBTU)</vt:lpstr>
      <vt:lpstr>1 Natural Gas (MMBTU)</vt:lpstr>
      <vt:lpstr>1 Model Data</vt:lpstr>
      <vt:lpstr>1 EnPI Results</vt:lpstr>
      <vt:lpstr>1 SEP Results</vt:lpstr>
      <vt:lpstr>2 EnPI Actual Results</vt:lpstr>
      <vt:lpstr>2 Detail Data</vt:lpstr>
      <vt:lpstr>3 Electricity (MMBTU)</vt:lpstr>
      <vt:lpstr>3 Natural Gas (MMBTU)</vt:lpstr>
      <vt:lpstr>3 Model Data</vt:lpstr>
      <vt:lpstr>3 EnPI Results</vt:lpstr>
      <vt:lpstr>3 SEP Results</vt:lpstr>
      <vt:lpstr>'1 SEP Results'!Print_Area</vt:lpstr>
      <vt:lpstr>'3 SEP Results'!Print_Area</vt:lpstr>
      <vt:lpstr>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Price, Chris</dc:creator>
  <cp:lastModifiedBy>Price, Chris</cp:lastModifiedBy>
  <dcterms:created xsi:type="dcterms:W3CDTF">2015-06-05T18:17:20Z</dcterms:created>
  <dcterms:modified xsi:type="dcterms:W3CDTF">2020-03-04T23:04:11Z</dcterms:modified>
</cp:coreProperties>
</file>