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tables/table2.xml" ContentType="application/vnd.openxmlformats-officedocument.spreadsheetml.table+xml"/>
  <Override PartName="/xl/customProperty8.bin" ContentType="application/vnd.openxmlformats-officedocument.spreadsheetml.customProperty"/>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ustomProperty9.bin" ContentType="application/vnd.openxmlformats-officedocument.spreadsheetml.customProperty"/>
  <Override PartName="/xl/drawings/drawing2.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ustomProperty10.bin" ContentType="application/vnd.openxmlformats-officedocument.spreadsheetml.customProperty"/>
  <Override PartName="/xl/customProperty11.bin" ContentType="application/vnd.openxmlformats-officedocument.spreadsheetml.customProperty"/>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4.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11.xml" ContentType="application/vnd.openxmlformats-officedocument.drawingml.chart+xml"/>
  <Override PartName="/xl/charts/chart12.xml" ContentType="application/vnd.openxmlformats-officedocument.drawingml.chart+xml"/>
  <Override PartName="/xl/customProperty15.bin" ContentType="application/vnd.openxmlformats-officedocument.spreadsheetml.customProperty"/>
  <Override PartName="/xl/customProperty16.bin" ContentType="application/vnd.openxmlformats-officedocument.spreadsheetml.customProperty"/>
  <Override PartName="/xl/drawings/drawing5.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7rp\Dropbox (ORNL)\ORNL Documents\BP Companies\zz Software Demos\EnPI Sample Data\"/>
    </mc:Choice>
  </mc:AlternateContent>
  <xr:revisionPtr revIDLastSave="0" documentId="13_ncr:1_{50FC68D8-7488-4B48-B697-5E30A7EE215B}" xr6:coauthVersionLast="43" xr6:coauthVersionMax="43" xr10:uidLastSave="{00000000-0000-0000-0000-000000000000}"/>
  <bookViews>
    <workbookView xWindow="28680" yWindow="-120" windowWidth="29040" windowHeight="15840" firstSheet="1" activeTab="1" xr2:uid="{00000000-000D-0000-FFFF-FFFF00000000}"/>
  </bookViews>
  <sheets>
    <sheet name="stateData" sheetId="7" state="veryHidden" r:id="rId1"/>
    <sheet name="Rochester" sheetId="1" r:id="rId2"/>
    <sheet name="1 Electricity (MMBTU)" sheetId="2" r:id="rId3"/>
    <sheet name="1 Natural gas (MMBTU)" sheetId="3" r:id="rId4"/>
    <sheet name="1 Model Data" sheetId="4" r:id="rId5"/>
    <sheet name="1 EnPI Results" sheetId="5" r:id="rId6"/>
    <sheet name="1 SEP Results" sheetId="6" r:id="rId7"/>
  </sheets>
  <definedNames>
    <definedName name="_xlnm.Print_Area" localSheetId="6">'1 SEP Results'!$A$1:$N$35</definedName>
    <definedName name="test">'1 Natural gas (MMBTU)'!$A$4:$G$4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6" l="1"/>
  <c r="B15" i="6"/>
  <c r="C15" i="6"/>
  <c r="B13" i="6"/>
  <c r="C13" i="6"/>
  <c r="B11" i="6"/>
  <c r="C11" i="6"/>
  <c r="B8" i="6"/>
  <c r="C8" i="6"/>
  <c r="C16" i="6" s="1"/>
  <c r="B7" i="6"/>
  <c r="C7" i="6"/>
  <c r="B6" i="6"/>
  <c r="C6" i="6"/>
  <c r="B15" i="5"/>
  <c r="B14" i="5"/>
  <c r="C14" i="5"/>
  <c r="D14" i="5"/>
  <c r="D18" i="5" s="1"/>
  <c r="B12" i="5"/>
  <c r="C12" i="5"/>
  <c r="D12" i="5"/>
  <c r="B10" i="5"/>
  <c r="C10" i="5"/>
  <c r="D10" i="5"/>
  <c r="B7" i="5"/>
  <c r="C7" i="5"/>
  <c r="C15" i="5" s="1"/>
  <c r="D7" i="5"/>
  <c r="D15" i="5" s="1"/>
  <c r="B6" i="5"/>
  <c r="C6" i="5"/>
  <c r="D6" i="5"/>
  <c r="B5" i="5"/>
  <c r="C5" i="5"/>
  <c r="D5" i="5"/>
  <c r="AD15" i="4"/>
  <c r="AD16" i="4"/>
  <c r="AD17" i="4"/>
  <c r="AD18" i="4"/>
  <c r="AD19" i="4"/>
  <c r="AD20" i="4"/>
  <c r="AD21" i="4"/>
  <c r="AD22" i="4"/>
  <c r="AD23" i="4"/>
  <c r="AD24" i="4"/>
  <c r="AD25" i="4"/>
  <c r="AD26" i="4"/>
  <c r="AC15" i="4"/>
  <c r="AC16" i="4"/>
  <c r="AC17" i="4"/>
  <c r="AC18" i="4"/>
  <c r="AC19" i="4"/>
  <c r="AC20" i="4"/>
  <c r="AC21" i="4"/>
  <c r="AC22" i="4"/>
  <c r="AC23" i="4"/>
  <c r="AC24" i="4"/>
  <c r="AC25" i="4"/>
  <c r="AC26" i="4"/>
  <c r="AB15" i="4"/>
  <c r="AB16" i="4"/>
  <c r="AB17" i="4"/>
  <c r="AB18" i="4"/>
  <c r="AB19" i="4"/>
  <c r="AB20" i="4"/>
  <c r="AB21" i="4"/>
  <c r="AB22" i="4"/>
  <c r="AB23" i="4"/>
  <c r="AB24" i="4"/>
  <c r="AB25" i="4"/>
  <c r="AB26" i="4"/>
  <c r="AA15" i="4"/>
  <c r="AA16" i="4"/>
  <c r="AA17" i="4"/>
  <c r="AA18" i="4"/>
  <c r="AA19" i="4"/>
  <c r="AA20" i="4"/>
  <c r="AA21" i="4"/>
  <c r="AA22" i="4"/>
  <c r="AA23" i="4"/>
  <c r="AA24" i="4"/>
  <c r="AA25" i="4"/>
  <c r="Z15" i="4"/>
  <c r="Z16" i="4"/>
  <c r="Z17" i="4"/>
  <c r="Z18" i="4"/>
  <c r="Z19" i="4"/>
  <c r="Z20" i="4"/>
  <c r="Z21" i="4"/>
  <c r="Z22" i="4"/>
  <c r="Z23" i="4"/>
  <c r="Z24" i="4"/>
  <c r="Z25" i="4"/>
  <c r="Y15" i="4"/>
  <c r="Y16" i="4"/>
  <c r="Y17" i="4"/>
  <c r="Y18" i="4"/>
  <c r="Y19" i="4"/>
  <c r="Y20" i="4"/>
  <c r="Y21" i="4"/>
  <c r="Y22" i="4"/>
  <c r="Y23" i="4"/>
  <c r="Y24" i="4"/>
  <c r="Y25" i="4"/>
  <c r="X15" i="4"/>
  <c r="X16" i="4"/>
  <c r="X17" i="4"/>
  <c r="X18" i="4"/>
  <c r="X19" i="4"/>
  <c r="X20" i="4"/>
  <c r="X21" i="4"/>
  <c r="X22" i="4"/>
  <c r="X23" i="4"/>
  <c r="X24" i="4"/>
  <c r="X25" i="4"/>
  <c r="W15" i="4"/>
  <c r="W16" i="4"/>
  <c r="W17" i="4"/>
  <c r="W18" i="4"/>
  <c r="W19" i="4"/>
  <c r="W20" i="4"/>
  <c r="W21" i="4"/>
  <c r="W22" i="4"/>
  <c r="W23" i="4"/>
  <c r="W24" i="4"/>
  <c r="W25" i="4"/>
  <c r="W26" i="4"/>
  <c r="V15" i="4"/>
  <c r="V16" i="4"/>
  <c r="V17" i="4"/>
  <c r="V18" i="4"/>
  <c r="V19" i="4"/>
  <c r="V20" i="4"/>
  <c r="V21" i="4"/>
  <c r="V22" i="4"/>
  <c r="V23" i="4"/>
  <c r="V24" i="4"/>
  <c r="V25" i="4"/>
  <c r="U15" i="4"/>
  <c r="U16" i="4"/>
  <c r="U17" i="4"/>
  <c r="U18" i="4"/>
  <c r="U19" i="4"/>
  <c r="U20" i="4"/>
  <c r="U21" i="4"/>
  <c r="U22" i="4"/>
  <c r="U23" i="4"/>
  <c r="U24" i="4"/>
  <c r="U25" i="4"/>
  <c r="U26" i="4"/>
  <c r="R15" i="4"/>
  <c r="R16" i="4"/>
  <c r="R17" i="4"/>
  <c r="R18" i="4"/>
  <c r="R19" i="4"/>
  <c r="R20" i="4"/>
  <c r="R21" i="4"/>
  <c r="R22" i="4"/>
  <c r="R23" i="4"/>
  <c r="R24" i="4"/>
  <c r="R25" i="4"/>
  <c r="R26" i="4"/>
  <c r="O15" i="4"/>
  <c r="T15" i="4" s="1"/>
  <c r="O16" i="4"/>
  <c r="T16" i="4" s="1"/>
  <c r="O17" i="4"/>
  <c r="T17" i="4" s="1"/>
  <c r="O18" i="4"/>
  <c r="T18" i="4" s="1"/>
  <c r="O19" i="4"/>
  <c r="T19" i="4" s="1"/>
  <c r="O20" i="4"/>
  <c r="T20" i="4" s="1"/>
  <c r="O21" i="4"/>
  <c r="T21" i="4" s="1"/>
  <c r="O22" i="4"/>
  <c r="T22" i="4" s="1"/>
  <c r="O23" i="4"/>
  <c r="T23" i="4" s="1"/>
  <c r="O24" i="4"/>
  <c r="T24" i="4" s="1"/>
  <c r="O25" i="4"/>
  <c r="T25" i="4" s="1"/>
  <c r="O26" i="4"/>
  <c r="T26" i="4" s="1"/>
  <c r="O27" i="4"/>
  <c r="T27" i="4" s="1"/>
  <c r="O28" i="4"/>
  <c r="T28" i="4" s="1"/>
  <c r="O29" i="4"/>
  <c r="T29" i="4" s="1"/>
  <c r="O30" i="4"/>
  <c r="T30" i="4" s="1"/>
  <c r="O31" i="4"/>
  <c r="T31" i="4" s="1"/>
  <c r="O32" i="4"/>
  <c r="T32" i="4" s="1"/>
  <c r="O33" i="4"/>
  <c r="T33" i="4" s="1"/>
  <c r="O34" i="4"/>
  <c r="T34" i="4" s="1"/>
  <c r="O35" i="4"/>
  <c r="T35" i="4" s="1"/>
  <c r="O36" i="4"/>
  <c r="T36" i="4" s="1"/>
  <c r="O37" i="4"/>
  <c r="T37" i="4" s="1"/>
  <c r="O38" i="4"/>
  <c r="T38" i="4" s="1"/>
  <c r="O39" i="4"/>
  <c r="T39" i="4" s="1"/>
  <c r="O40" i="4"/>
  <c r="T40" i="4" s="1"/>
  <c r="O41" i="4"/>
  <c r="T41" i="4" s="1"/>
  <c r="O42" i="4"/>
  <c r="T42" i="4" s="1"/>
  <c r="O43" i="4"/>
  <c r="T43" i="4" s="1"/>
  <c r="O44" i="4"/>
  <c r="T44" i="4" s="1"/>
  <c r="O45" i="4"/>
  <c r="T45" i="4" s="1"/>
  <c r="O46" i="4"/>
  <c r="T46" i="4" s="1"/>
  <c r="O47" i="4"/>
  <c r="T47" i="4" s="1"/>
  <c r="O48" i="4"/>
  <c r="T48" i="4" s="1"/>
  <c r="O49" i="4"/>
  <c r="T49" i="4" s="1"/>
  <c r="O50" i="4"/>
  <c r="T50" i="4" s="1"/>
  <c r="N15" i="4"/>
  <c r="P15" i="4" s="1"/>
  <c r="N16" i="4"/>
  <c r="P16" i="4" s="1"/>
  <c r="N17" i="4"/>
  <c r="P17" i="4" s="1"/>
  <c r="N18" i="4"/>
  <c r="P18" i="4" s="1"/>
  <c r="N19" i="4"/>
  <c r="P19" i="4" s="1"/>
  <c r="N20" i="4"/>
  <c r="P20" i="4" s="1"/>
  <c r="N21" i="4"/>
  <c r="P21" i="4" s="1"/>
  <c r="N22" i="4"/>
  <c r="P22" i="4" s="1"/>
  <c r="N23" i="4"/>
  <c r="P23" i="4" s="1"/>
  <c r="N24" i="4"/>
  <c r="P24" i="4" s="1"/>
  <c r="N25" i="4"/>
  <c r="P25" i="4" s="1"/>
  <c r="N26" i="4"/>
  <c r="P26" i="4" s="1"/>
  <c r="N27" i="4"/>
  <c r="P27" i="4" s="1"/>
  <c r="N28" i="4"/>
  <c r="P28" i="4" s="1"/>
  <c r="N29" i="4"/>
  <c r="P29" i="4" s="1"/>
  <c r="N30" i="4"/>
  <c r="P30" i="4" s="1"/>
  <c r="N31" i="4"/>
  <c r="P31" i="4" s="1"/>
  <c r="N32" i="4"/>
  <c r="P32" i="4" s="1"/>
  <c r="N33" i="4"/>
  <c r="P33" i="4" s="1"/>
  <c r="N34" i="4"/>
  <c r="P34" i="4" s="1"/>
  <c r="N35" i="4"/>
  <c r="P35" i="4" s="1"/>
  <c r="N36" i="4"/>
  <c r="P36" i="4" s="1"/>
  <c r="N37" i="4"/>
  <c r="P37" i="4" s="1"/>
  <c r="N38" i="4"/>
  <c r="P38" i="4" s="1"/>
  <c r="N39" i="4"/>
  <c r="P39" i="4" s="1"/>
  <c r="N40" i="4"/>
  <c r="P40" i="4" s="1"/>
  <c r="N41" i="4"/>
  <c r="P41" i="4" s="1"/>
  <c r="N42" i="4"/>
  <c r="P42" i="4" s="1"/>
  <c r="N43" i="4"/>
  <c r="P43" i="4" s="1"/>
  <c r="N44" i="4"/>
  <c r="P44" i="4" s="1"/>
  <c r="N45" i="4"/>
  <c r="P45" i="4" s="1"/>
  <c r="N46" i="4"/>
  <c r="P46" i="4" s="1"/>
  <c r="N47" i="4"/>
  <c r="P47" i="4" s="1"/>
  <c r="N48" i="4"/>
  <c r="P48" i="4" s="1"/>
  <c r="N49" i="4"/>
  <c r="P49" i="4" s="1"/>
  <c r="N50" i="4"/>
  <c r="P50" i="4" s="1"/>
  <c r="M15" i="4"/>
  <c r="M16" i="4"/>
  <c r="M17" i="4"/>
  <c r="M18" i="4"/>
  <c r="M19" i="4"/>
  <c r="M20" i="4"/>
  <c r="M21" i="4"/>
  <c r="M22" i="4"/>
  <c r="M23" i="4"/>
  <c r="M24" i="4"/>
  <c r="M25" i="4"/>
  <c r="M26" i="4"/>
  <c r="M27" i="4"/>
  <c r="Z27" i="4" s="1"/>
  <c r="AC27" i="4" s="1"/>
  <c r="M28" i="4"/>
  <c r="M29" i="4"/>
  <c r="M30" i="4"/>
  <c r="M31" i="4"/>
  <c r="Z31" i="4" s="1"/>
  <c r="AC31" i="4" s="1"/>
  <c r="M32" i="4"/>
  <c r="M33" i="4"/>
  <c r="M34" i="4"/>
  <c r="M35" i="4"/>
  <c r="Z35" i="4" s="1"/>
  <c r="AC35" i="4" s="1"/>
  <c r="M36" i="4"/>
  <c r="M37" i="4"/>
  <c r="M38" i="4"/>
  <c r="M39" i="4"/>
  <c r="Z39" i="4" s="1"/>
  <c r="AC39" i="4" s="1"/>
  <c r="M40" i="4"/>
  <c r="M41" i="4"/>
  <c r="M42" i="4"/>
  <c r="M43" i="4"/>
  <c r="Z43" i="4" s="1"/>
  <c r="AC43" i="4" s="1"/>
  <c r="M44" i="4"/>
  <c r="M45" i="4"/>
  <c r="M46" i="4"/>
  <c r="M47" i="4"/>
  <c r="Z47" i="4" s="1"/>
  <c r="AC47" i="4" s="1"/>
  <c r="M48" i="4"/>
  <c r="M49" i="4"/>
  <c r="M50"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C17" i="6"/>
  <c r="D21" i="5"/>
  <c r="C16" i="5"/>
  <c r="C17" i="5" s="1"/>
  <c r="D16" i="5"/>
  <c r="D17" i="5" s="1"/>
  <c r="Q15" i="4"/>
  <c r="Q16" i="4"/>
  <c r="Q17" i="4"/>
  <c r="Q18" i="4"/>
  <c r="Q19" i="4" s="1"/>
  <c r="Q20" i="4" s="1"/>
  <c r="Q21" i="4" s="1"/>
  <c r="Q22" i="4"/>
  <c r="Q23" i="4" s="1"/>
  <c r="Q24" i="4" s="1"/>
  <c r="Q25" i="4" s="1"/>
  <c r="Q26" i="4"/>
  <c r="Q27" i="4" s="1"/>
  <c r="Q28" i="4"/>
  <c r="Q29" i="4"/>
  <c r="Q30" i="4"/>
  <c r="Q31" i="4"/>
  <c r="Q32" i="4"/>
  <c r="Q33" i="4"/>
  <c r="Q34" i="4"/>
  <c r="Q35" i="4"/>
  <c r="Q36" i="4"/>
  <c r="Q37" i="4"/>
  <c r="Q38" i="4"/>
  <c r="Q39" i="4"/>
  <c r="Q40" i="4"/>
  <c r="Q41" i="4"/>
  <c r="Q42" i="4"/>
  <c r="Q43" i="4"/>
  <c r="Q44" i="4"/>
  <c r="Q45" i="4"/>
  <c r="Q46" i="4"/>
  <c r="Q47" i="4"/>
  <c r="Q48" i="4"/>
  <c r="Q49" i="4"/>
  <c r="Q50" i="4"/>
  <c r="C14" i="6" l="1"/>
  <c r="B14" i="6"/>
  <c r="C12" i="6"/>
  <c r="B12" i="6"/>
  <c r="C18" i="5"/>
  <c r="D13" i="5"/>
  <c r="C13" i="5"/>
  <c r="B13" i="5"/>
  <c r="C11" i="5"/>
  <c r="B11" i="5"/>
  <c r="D11" i="5"/>
  <c r="AA50" i="4"/>
  <c r="AD50" i="4" s="1"/>
  <c r="AA34" i="4"/>
  <c r="AD34" i="4" s="1"/>
  <c r="AA42" i="4"/>
  <c r="AD42" i="4" s="1"/>
  <c r="AA30" i="4"/>
  <c r="AD30" i="4" s="1"/>
  <c r="Y49" i="4"/>
  <c r="AB49" i="4" s="1"/>
  <c r="Y41" i="4"/>
  <c r="AB41" i="4" s="1"/>
  <c r="Y33" i="4"/>
  <c r="AB33" i="4" s="1"/>
  <c r="Y29" i="4"/>
  <c r="AB29" i="4" s="1"/>
  <c r="AA46" i="4"/>
  <c r="AD46" i="4" s="1"/>
  <c r="AA38" i="4"/>
  <c r="AD38" i="4" s="1"/>
  <c r="Y45" i="4"/>
  <c r="AB45" i="4" s="1"/>
  <c r="Y37" i="4"/>
  <c r="AB37" i="4" s="1"/>
  <c r="Z48" i="4"/>
  <c r="AC48" i="4" s="1"/>
  <c r="Z44" i="4"/>
  <c r="AC44" i="4" s="1"/>
  <c r="Z40" i="4"/>
  <c r="AC40" i="4" s="1"/>
  <c r="Z36" i="4"/>
  <c r="AC36" i="4" s="1"/>
  <c r="Z32" i="4"/>
  <c r="AC32" i="4" s="1"/>
  <c r="Z28" i="4"/>
  <c r="AC28" i="4" s="1"/>
  <c r="AA26" i="4"/>
  <c r="AA49" i="4"/>
  <c r="AD49" i="4" s="1"/>
  <c r="AA45" i="4"/>
  <c r="AD45" i="4" s="1"/>
  <c r="AA41" i="4"/>
  <c r="AD41" i="4" s="1"/>
  <c r="AA37" i="4"/>
  <c r="AD37" i="4" s="1"/>
  <c r="AA33" i="4"/>
  <c r="AD33" i="4" s="1"/>
  <c r="AA29" i="4"/>
  <c r="AD29" i="4" s="1"/>
  <c r="AA48" i="4"/>
  <c r="AD48" i="4" s="1"/>
  <c r="AA44" i="4"/>
  <c r="AD44" i="4" s="1"/>
  <c r="AA40" i="4"/>
  <c r="AD40" i="4" s="1"/>
  <c r="AA36" i="4"/>
  <c r="AD36" i="4" s="1"/>
  <c r="AA32" i="4"/>
  <c r="AD32" i="4" s="1"/>
  <c r="AA28" i="4"/>
  <c r="AD28" i="4" s="1"/>
  <c r="AA47" i="4"/>
  <c r="AD47" i="4" s="1"/>
  <c r="AA43" i="4"/>
  <c r="AD43" i="4" s="1"/>
  <c r="AA39" i="4"/>
  <c r="AD39" i="4" s="1"/>
  <c r="AA35" i="4"/>
  <c r="AD35" i="4" s="1"/>
  <c r="AA31" i="4"/>
  <c r="AD31" i="4" s="1"/>
  <c r="AA27" i="4"/>
  <c r="AD27" i="4" s="1"/>
  <c r="Z50" i="4"/>
  <c r="AC50" i="4" s="1"/>
  <c r="Z46" i="4"/>
  <c r="AC46" i="4" s="1"/>
  <c r="Z42" i="4"/>
  <c r="AC42" i="4" s="1"/>
  <c r="Z38" i="4"/>
  <c r="AC38" i="4" s="1"/>
  <c r="Z34" i="4"/>
  <c r="AC34" i="4" s="1"/>
  <c r="Z30" i="4"/>
  <c r="AC30" i="4" s="1"/>
  <c r="Z26" i="4"/>
  <c r="Z49" i="4"/>
  <c r="AC49" i="4" s="1"/>
  <c r="Z45" i="4"/>
  <c r="AC45" i="4" s="1"/>
  <c r="Z41" i="4"/>
  <c r="AC41" i="4" s="1"/>
  <c r="Z37" i="4"/>
  <c r="AC37" i="4" s="1"/>
  <c r="Z33" i="4"/>
  <c r="AC33" i="4" s="1"/>
  <c r="Z29" i="4"/>
  <c r="AC29" i="4" s="1"/>
  <c r="Y48" i="4"/>
  <c r="AB48" i="4" s="1"/>
  <c r="Y44" i="4"/>
  <c r="AB44" i="4" s="1"/>
  <c r="Y40" i="4"/>
  <c r="AB40" i="4" s="1"/>
  <c r="Y36" i="4"/>
  <c r="AB36" i="4" s="1"/>
  <c r="Y32" i="4"/>
  <c r="AB32" i="4" s="1"/>
  <c r="Y28" i="4"/>
  <c r="AB28" i="4" s="1"/>
  <c r="X50" i="4"/>
  <c r="Y43" i="4"/>
  <c r="AB43" i="4" s="1"/>
  <c r="Y39" i="4"/>
  <c r="AB39" i="4" s="1"/>
  <c r="Y35" i="4"/>
  <c r="AB35" i="4" s="1"/>
  <c r="Y31" i="4"/>
  <c r="AB31" i="4" s="1"/>
  <c r="Y27" i="4"/>
  <c r="AB27" i="4" s="1"/>
  <c r="Y50" i="4"/>
  <c r="AB50" i="4" s="1"/>
  <c r="Y46" i="4"/>
  <c r="AB46" i="4" s="1"/>
  <c r="Y42" i="4"/>
  <c r="AB42" i="4" s="1"/>
  <c r="Y38" i="4"/>
  <c r="AB38" i="4" s="1"/>
  <c r="Y34" i="4"/>
  <c r="AB34" i="4" s="1"/>
  <c r="Y30" i="4"/>
  <c r="AB30" i="4" s="1"/>
  <c r="Y26" i="4"/>
  <c r="X47" i="4"/>
  <c r="X43" i="4"/>
  <c r="X39" i="4"/>
  <c r="X35" i="4"/>
  <c r="X31" i="4"/>
  <c r="X27" i="4"/>
  <c r="X46" i="4"/>
  <c r="X42" i="4"/>
  <c r="X38" i="4"/>
  <c r="X34" i="4"/>
  <c r="X30" i="4"/>
  <c r="X26" i="4"/>
  <c r="W47" i="4"/>
  <c r="X49" i="4"/>
  <c r="X45" i="4"/>
  <c r="X41" i="4"/>
  <c r="X37" i="4"/>
  <c r="X33" i="4"/>
  <c r="X29" i="4"/>
  <c r="X48" i="4"/>
  <c r="X44" i="4"/>
  <c r="X40" i="4"/>
  <c r="X36" i="4"/>
  <c r="X32" i="4"/>
  <c r="X28" i="4"/>
  <c r="Y47" i="4"/>
  <c r="AB47" i="4" s="1"/>
  <c r="W43" i="4"/>
  <c r="W27" i="4"/>
  <c r="W31" i="4"/>
  <c r="W50" i="4"/>
  <c r="W46" i="4"/>
  <c r="W42" i="4"/>
  <c r="W38" i="4"/>
  <c r="W34" i="4"/>
  <c r="W30" i="4"/>
  <c r="W35" i="4"/>
  <c r="W49" i="4"/>
  <c r="W45" i="4"/>
  <c r="W41" i="4"/>
  <c r="W37" i="4"/>
  <c r="W33" i="4"/>
  <c r="W29" i="4"/>
  <c r="W39" i="4"/>
  <c r="W48" i="4"/>
  <c r="W44" i="4"/>
  <c r="W40" i="4"/>
  <c r="W36" i="4"/>
  <c r="W32" i="4"/>
  <c r="W28" i="4"/>
  <c r="V39" i="4"/>
  <c r="V35" i="4"/>
  <c r="V31" i="4"/>
  <c r="V27" i="4"/>
  <c r="V50" i="4"/>
  <c r="V46" i="4"/>
  <c r="V42" i="4"/>
  <c r="V38" i="4"/>
  <c r="V34" i="4"/>
  <c r="V30" i="4"/>
  <c r="V26" i="4"/>
  <c r="U46" i="4"/>
  <c r="V43" i="4"/>
  <c r="V49" i="4"/>
  <c r="V45" i="4"/>
  <c r="V41" i="4"/>
  <c r="V37" i="4"/>
  <c r="V33" i="4"/>
  <c r="V29" i="4"/>
  <c r="V47" i="4"/>
  <c r="V48" i="4"/>
  <c r="V44" i="4"/>
  <c r="V40" i="4"/>
  <c r="V36" i="4"/>
  <c r="V32" i="4"/>
  <c r="V28" i="4"/>
  <c r="U34" i="4"/>
  <c r="U48" i="4"/>
  <c r="U44" i="4"/>
  <c r="U40" i="4"/>
  <c r="U36" i="4"/>
  <c r="U32" i="4"/>
  <c r="U28" i="4"/>
  <c r="U50" i="4"/>
  <c r="U42" i="4"/>
  <c r="U29" i="4"/>
  <c r="U47" i="4"/>
  <c r="U43" i="4"/>
  <c r="U39" i="4"/>
  <c r="U35" i="4"/>
  <c r="U31" i="4"/>
  <c r="U27" i="4"/>
  <c r="U41" i="4"/>
  <c r="U33" i="4"/>
  <c r="U38" i="4"/>
  <c r="U30" i="4"/>
  <c r="U49" i="4"/>
  <c r="U45" i="4"/>
  <c r="U37" i="4"/>
  <c r="S50" i="4"/>
  <c r="S46" i="4"/>
  <c r="S42" i="4"/>
  <c r="S38" i="4"/>
  <c r="S34" i="4"/>
  <c r="S30" i="4"/>
  <c r="S26" i="4"/>
  <c r="S22" i="4"/>
  <c r="S18" i="4"/>
  <c r="S49" i="4"/>
  <c r="S45" i="4"/>
  <c r="S41" i="4"/>
  <c r="S37" i="4"/>
  <c r="S33" i="4"/>
  <c r="S29" i="4"/>
  <c r="S25" i="4"/>
  <c r="S21" i="4"/>
  <c r="S17" i="4"/>
  <c r="S48" i="4"/>
  <c r="S44" i="4"/>
  <c r="S40" i="4"/>
  <c r="S36" i="4"/>
  <c r="S32" i="4"/>
  <c r="S28" i="4"/>
  <c r="S24" i="4"/>
  <c r="S20" i="4"/>
  <c r="S16" i="4"/>
  <c r="S47" i="4"/>
  <c r="S43" i="4"/>
  <c r="S39" i="4"/>
  <c r="S35" i="4"/>
  <c r="S31" i="4"/>
  <c r="S27" i="4"/>
  <c r="S23" i="4"/>
  <c r="S19" i="4"/>
  <c r="S15" i="4"/>
  <c r="R50" i="4"/>
  <c r="R49" i="4"/>
  <c r="R48" i="4"/>
  <c r="R47" i="4"/>
  <c r="R46" i="4"/>
  <c r="R45" i="4"/>
  <c r="R44" i="4"/>
  <c r="R43" i="4"/>
  <c r="R42" i="4"/>
  <c r="R41" i="4"/>
  <c r="R40" i="4"/>
  <c r="R39" i="4"/>
  <c r="R38" i="4"/>
  <c r="R37" i="4"/>
  <c r="R36" i="4"/>
  <c r="R35" i="4"/>
  <c r="R34" i="4"/>
  <c r="R33" i="4"/>
  <c r="R32" i="4"/>
  <c r="R31" i="4"/>
  <c r="R30" i="4"/>
  <c r="R29" i="4"/>
  <c r="R28" i="4"/>
  <c r="R27" i="4"/>
  <c r="C21" i="5"/>
  <c r="C19" i="5"/>
  <c r="D19" i="5" s="1"/>
  <c r="D20" i="5"/>
  <c r="C20" i="5"/>
</calcChain>
</file>

<file path=xl/sharedStrings.xml><?xml version="1.0" encoding="utf-8"?>
<sst xmlns="http://schemas.openxmlformats.org/spreadsheetml/2006/main" count="231" uniqueCount="133">
  <si>
    <t>Date</t>
  </si>
  <si>
    <t>Electricity (kWh)</t>
  </si>
  <si>
    <t>Electricity (MMBTU)</t>
  </si>
  <si>
    <t>Natural gas (therms)</t>
  </si>
  <si>
    <t>Natural gas (MMBTU)</t>
  </si>
  <si>
    <t>Production</t>
  </si>
  <si>
    <t>Temperature</t>
  </si>
  <si>
    <t>Period</t>
  </si>
  <si>
    <t>The best model for the data provided is #1</t>
  </si>
  <si>
    <t>1 Electricity (MMBTU) Models</t>
  </si>
  <si>
    <t>The table below shows all possible models for 1 Electricity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</si>
  <si>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Model Number</t>
  </si>
  <si>
    <t>Model is Appropriate for SEP</t>
  </si>
  <si>
    <t>Variables</t>
  </si>
  <si>
    <t>SEP Validation Check</t>
  </si>
  <si>
    <t>Coefficients</t>
  </si>
  <si>
    <t>Variable Std. Error</t>
  </si>
  <si>
    <t>Variable p-Values</t>
  </si>
  <si>
    <t>R2</t>
  </si>
  <si>
    <t>Adjusted R2</t>
  </si>
  <si>
    <t>Model p-Value</t>
  </si>
  <si>
    <t>RMSError</t>
  </si>
  <si>
    <t>Residual</t>
  </si>
  <si>
    <t>AIC</t>
  </si>
  <si>
    <t>Formula</t>
  </si>
  <si>
    <t>(5.086166746649 * [Production]) + 20110.25</t>
  </si>
  <si>
    <t>Pass</t>
  </si>
  <si>
    <t>(5.201791739770 * [Production]) + (87.332392560189 * [Temperature]) + 11577.03</t>
  </si>
  <si>
    <t>Fail</t>
  </si>
  <si>
    <t>(-389.491913251611 * [Temperature]) + 162483.96</t>
  </si>
  <si>
    <t>The plots below show the actual energy consumption versus the independent variables for the model year.</t>
  </si>
  <si>
    <t>The line labeled "Actuals"  in the plot below has not been adjusted. This is the original data entered by the user. The line labeled "Model" is the predicted energy consumption using the model selected above.</t>
  </si>
  <si>
    <t>The best model for the data provided is #3</t>
  </si>
  <si>
    <t>1 Natural gas (MMBTU) Models</t>
  </si>
  <si>
    <t>The table below shows all possible models for 1 Natural gas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</si>
  <si>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(2.560044576545 * [Production]) + (211.520605238538 * [Temperature]) + 7322.73</t>
  </si>
  <si>
    <t>(2.279998790456 * [Production]) + 27990.35</t>
  </si>
  <si>
    <t>(-23.146897638532 * [Temperature]) + 81591.07</t>
  </si>
  <si>
    <t>Column1</t>
  </si>
  <si>
    <t>TOTAL  (MMBTU)</t>
  </si>
  <si>
    <t>Baseline Year</t>
  </si>
  <si>
    <t>Model Year</t>
  </si>
  <si>
    <t>Last Year</t>
  </si>
  <si>
    <t>Adjustment Method</t>
  </si>
  <si>
    <t>Modeled Electricity (MMBTU)</t>
  </si>
  <si>
    <t>Modeled Natural gas (MMBTU)</t>
  </si>
  <si>
    <t>Total Modeled Energy Consumption (MMBTU)</t>
  </si>
  <si>
    <t>CUSUMHidden</t>
  </si>
  <si>
    <t>SEP CUSUM</t>
  </si>
  <si>
    <t>Energy Savings: Electricity (MMBTU)</t>
  </si>
  <si>
    <t>Energy Savings: Natural gas (MMBTU)</t>
  </si>
  <si>
    <t>Energy Savings TTM (MMBtu)</t>
  </si>
  <si>
    <t>For SEP Only: Trailing Twelve Month Energy Performance Indicator</t>
  </si>
  <si>
    <t>For SEP Only: Trailing Twelve Month Energy Savings</t>
  </si>
  <si>
    <t>For SEP Only: Trailing Twelve Month Actual Energy Consumption</t>
  </si>
  <si>
    <t>For SEP Only: Trailing Twelve Month Actual Energy Consumption to meet 5% improvement target</t>
  </si>
  <si>
    <t>For SEP Only: Trailing Twelve Month Actual Energy Consumption to meet 10% improvement target</t>
  </si>
  <si>
    <t>For SEP Only: Trailing Twelve Month Actual Energy Consumption to meet 15% improvement target</t>
  </si>
  <si>
    <t>For SEP Only: Trailing Twelve Month Energy Savings to Meet 5% Improvement</t>
  </si>
  <si>
    <t>For SEP Only: Trailing Twelve Month Energy Savings to Meet 10% Improvement</t>
  </si>
  <si>
    <t>For SEP Only: Trailing Twelve Month Energy Savings to Meet 15% Improvement</t>
  </si>
  <si>
    <t>Negative Values</t>
  </si>
  <si>
    <t>One or more of the calculated modeled energy consumption values is negative. The negative modeled energy value(s) is shown in yellow. Consider setting the negative modeled energy value as zero.</t>
  </si>
  <si>
    <t>Validation Check</t>
  </si>
  <si>
    <t>A model must satisfy validity requirements in order to be used for SEP or Better Plants reporting. In addition to the model having acceptable R-squared and p-values, the average of the variables entered into the model must fall within one of the following ranges: _x000D_
_x000D_
 1. The range of observed data that went into the model OR _x000D_
 2. Three standard deviations from the mean of the data that went into the model _x000D_
_x000D_
 The following table shows these ranges for the data set provided.</t>
  </si>
  <si>
    <t>Range 1</t>
  </si>
  <si>
    <t>Range 2</t>
  </si>
  <si>
    <t>SEP mean baseline year value</t>
  </si>
  <si>
    <t>SEP mean report year value</t>
  </si>
  <si>
    <t>Minimum of Model Variable</t>
  </si>
  <si>
    <t>Maximum of Model Variable</t>
  </si>
  <si>
    <t>Model Avg -3 Std Dev</t>
  </si>
  <si>
    <t>Model Avg +3 Std Dev</t>
  </si>
  <si>
    <t>Column2</t>
  </si>
  <si>
    <t>General Energy Performance Results</t>
  </si>
  <si>
    <t>The table below shows the unadjusted and adjusted energy consumption and intensity data. The models used to adjust the data for each energy source are shown below the plots and on the individual sheets for each energy source. Note that the tool selects the model that is appropriate for the SEP Program and has the highest adjusted R-squared value.</t>
  </si>
  <si>
    <t>2007</t>
  </si>
  <si>
    <t>2008</t>
  </si>
  <si>
    <t>2009</t>
  </si>
  <si>
    <t xml:space="preserve"> </t>
  </si>
  <si>
    <t>Actual Electricity (MMBTU)</t>
  </si>
  <si>
    <t>Actual Natural gas (MMBTU)</t>
  </si>
  <si>
    <t>Forecast</t>
  </si>
  <si>
    <t>Electricity (MMBTU) Annual Savings</t>
  </si>
  <si>
    <t>Natural gas (MMBTU) Annual Savings</t>
  </si>
  <si>
    <t>SEnPI</t>
  </si>
  <si>
    <t>Total Improvement in Energy Intensity (%)</t>
  </si>
  <si>
    <t>Annual Improvement in Energy Intensity (%)</t>
  </si>
  <si>
    <t>Total Energy Savings since Baseline Year (MMBTU/Year)</t>
  </si>
  <si>
    <t>Cumulative Savings (MMBTU)</t>
  </si>
  <si>
    <t>New Energy Savings for Current Year (MMBTU/year)</t>
  </si>
  <si>
    <t>Adjustment for Baseline Primary Energy Use (MMBTU/year)</t>
  </si>
  <si>
    <t>Warnings</t>
  </si>
  <si>
    <t>Energy Use</t>
  </si>
  <si>
    <t>1 Electricity (MMBTU)</t>
  </si>
  <si>
    <t>1 Natural gas (MMBTU)</t>
  </si>
  <si>
    <t>Superior Energy Performance Results</t>
  </si>
  <si>
    <t>The table below shows the unadjusted and adjusted energy consumption. The models used to adjust the data for each energy source are shown under the table below and on the individual sheets for each energy source. Note that the tool selects the model that is appropriate for the SEP Program and has the highest adjusted R-squared value, although evaluating models based on adjusted R-squared is not an SEP requirement.See individual energy source model sheets for adjusted R-squared values.</t>
  </si>
  <si>
    <t>Baseline</t>
  </si>
  <si>
    <t>Report Year</t>
  </si>
  <si>
    <t>Actual Primary Electricity (MMBTU)</t>
  </si>
  <si>
    <t>Actual Primary Natural gas (MMBTU)</t>
  </si>
  <si>
    <t>TOTAL  Actual Primary Energy (MMBTU)</t>
  </si>
  <si>
    <t>Adjustment Model</t>
  </si>
  <si>
    <t>Modeled Primary Electricity (MMBTU)</t>
  </si>
  <si>
    <t>Reporting Period Primary Electricity (MMBTU) Savings</t>
  </si>
  <si>
    <t>Modeled Primary Natural gas (MMBTU)</t>
  </si>
  <si>
    <t>Reporting Period Primary Natural gas (MMBTU) Savings</t>
  </si>
  <si>
    <t>Total Modeled Primary Energy Consumption</t>
  </si>
  <si>
    <t>Energy Performance Improvement</t>
  </si>
  <si>
    <t>Facility identifying information</t>
  </si>
  <si>
    <t xml:space="preserve">  </t>
  </si>
  <si>
    <t>Company Name</t>
  </si>
  <si>
    <t>Unique Facility Name per SEP Certificate</t>
  </si>
  <si>
    <t>SEP Enrollment Number</t>
  </si>
  <si>
    <t>Facility zip code</t>
  </si>
  <si>
    <t>Facility boundaries</t>
  </si>
  <si>
    <t>Facility square footage (ft2)</t>
  </si>
  <si>
    <t>Date SEP/ISO 50001 Stage 2 audit started (month/day/year)</t>
  </si>
  <si>
    <t>Relevant Variables</t>
  </si>
  <si>
    <t>c2d29838-425b-45b5-b606-387d46623e96</t>
  </si>
  <si>
    <t>463f3ed8-05e4-4a49-89f3-3e9e230ebb77</t>
  </si>
  <si>
    <t>bd748434-462a-4a89-a30f-1b5fef814884</t>
  </si>
  <si>
    <t>1 Model Data</t>
  </si>
  <si>
    <t>9ffe3634-4688-494c-a1b7-ae8253a02c11</t>
  </si>
  <si>
    <t>1 EnPI Results</t>
  </si>
  <si>
    <t>24d8f894-6324-4165-83ea-b90ca2ecd236</t>
  </si>
  <si>
    <t>1 SEP Results</t>
  </si>
  <si>
    <t>regressionIteration</t>
  </si>
  <si>
    <t>plantName</t>
  </si>
  <si>
    <t>Rochester</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</si>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</sst>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5" formatCode="0.0000"/>
    <numFmt numFmtId="166" formatCode="##,##0"/>
    <numFmt numFmtId="167" formatCode="####"/>
    <numFmt numFmtId="168" formatCode="###,##0"/>
    <numFmt numFmtId="169"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rgb="FF00AA00"/>
      <name val="Calibri"/>
      <family val="2"/>
      <scheme val="minor"/>
    </font>
    <font>
      <b/>
      <sz val="11"/>
      <color rgb="FF00AA00"/>
      <name val="Calibri"/>
      <family val="2"/>
      <scheme val="minor"/>
    </font>
    <font>
      <sz val="11"/>
      <color rgb="FF0000AA"/>
      <name val="Calibri"/>
      <family val="2"/>
      <scheme val="minor"/>
    </font>
    <font>
      <sz val="11"/>
      <color rgb="FFFFFFFF"/>
      <name val="Calibri"/>
      <family val="2"/>
      <scheme val="minor"/>
    </font>
    <font>
      <b/>
      <sz val="11"/>
      <color rgb="FFFFFFFF"/>
      <name val="Calibri"/>
      <family val="2"/>
      <scheme val="minor"/>
    </font>
    <font>
      <b/>
      <sz val="14"/>
      <color theme="1"/>
      <name val="Calibri"/>
      <family val="2"/>
      <scheme val="minor"/>
    </font>
    <font>
      <sz val="11"/>
      <color rgb="FF000000"/>
      <name val="Calibri"/>
      <family val="2"/>
      <scheme val="minor"/>
    </font>
    <font>
      <b/>
      <sz val="15"/>
      <color rgb="FF008000"/>
      <name val="Calibri"/>
      <family val="2"/>
      <scheme val="minor"/>
    </font>
  </fonts>
  <fills count="10">
    <fill>
      <patternFill patternType="none"/>
    </fill>
    <fill>
      <patternFill patternType="gray125"/>
    </fill>
    <fill>
      <patternFill patternType="solid">
        <fgColor rgb="FFC6EFCD"/>
        <bgColor indexed="64"/>
      </patternFill>
    </fill>
    <fill>
      <patternFill patternType="solid">
        <fgColor rgb="FFBCE4D8"/>
        <bgColor indexed="64"/>
      </patternFill>
    </fill>
    <fill>
      <patternFill patternType="solid">
        <fgColor rgb="FF000000"/>
        <bgColor indexed="64"/>
      </patternFill>
    </fill>
    <fill>
      <patternFill patternType="solid">
        <fgColor rgb="FFFFFFFF"/>
        <bgColor indexed="64"/>
      </patternFill>
    </fill>
    <fill>
      <patternFill patternType="solid">
        <fgColor rgb="FFD3D3D3"/>
        <bgColor indexed="64"/>
      </patternFill>
    </fill>
    <fill>
      <patternFill patternType="solid">
        <fgColor rgb="FFD8E4BC"/>
        <bgColor indexed="64"/>
      </patternFill>
    </fill>
    <fill>
      <patternFill patternType="solid">
        <fgColor rgb="FF4F6228"/>
        <bgColor indexed="64"/>
      </patternFill>
    </fill>
    <fill>
      <patternFill patternType="solid">
        <fgColor rgb="FF00800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horizontal="left"/>
    </xf>
    <xf numFmtId="0" fontId="1"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2">
    <xf numFmtId="0" fontId="0" fillId="0" borderId="0" xfId="0">
      <alignment horizontal="left"/>
    </xf>
    <xf numFmtId="14" fontId="0" fillId="0" borderId="0" xfId="0" applyNumberFormat="1" applyAlignment="1">
      <alignment horizontal="center"/>
    </xf>
    <xf numFmtId="3" fontId="0" fillId="0" borderId="0" xfId="0" applyNumberFormat="1" applyAlignment="1">
      <alignment horizontal="center"/>
    </xf>
    <xf numFmtId="0" fontId="0" fillId="0" borderId="0" xfId="0" applyNumberFormat="1" applyAlignment="1">
      <alignment horizontal="center"/>
    </xf>
    <xf numFmtId="0" fontId="0" fillId="0" borderId="0" xfId="0">
      <alignment horizontal="left"/>
    </xf>
    <xf numFmtId="0" fontId="2" fillId="0" borderId="0" xfId="0" applyFont="1" applyAlignment="1">
      <alignment wrapText="1"/>
    </xf>
    <xf numFmtId="0" fontId="0" fillId="0" borderId="0" xfId="0" applyAlignment="1">
      <alignment wrapText="1"/>
    </xf>
    <xf numFmtId="0" fontId="3" fillId="0" borderId="1" xfId="4" applyBorder="1"/>
    <xf numFmtId="0" fontId="0" fillId="0" borderId="2" xfId="0" applyBorder="1">
      <alignment horizontal="left"/>
    </xf>
    <xf numFmtId="0" fontId="0" fillId="0" borderId="3" xfId="0" applyBorder="1">
      <alignment horizontal="left"/>
    </xf>
    <xf numFmtId="0" fontId="0" fillId="0" borderId="4" xfId="0" applyBorder="1">
      <alignment horizontal="left"/>
    </xf>
    <xf numFmtId="0" fontId="0" fillId="0" borderId="5" xfId="0" applyBorder="1">
      <alignment horizontal="left"/>
    </xf>
    <xf numFmtId="0" fontId="0" fillId="0" borderId="6" xfId="0" applyBorder="1">
      <alignment horizontal="left"/>
    </xf>
    <xf numFmtId="0" fontId="4" fillId="2" borderId="1" xfId="4" applyFont="1" applyFill="1" applyBorder="1"/>
    <xf numFmtId="0" fontId="5" fillId="2" borderId="2" xfId="0" applyFont="1" applyFill="1" applyBorder="1">
      <alignment horizontal="left"/>
    </xf>
    <xf numFmtId="0" fontId="5" fillId="2" borderId="3" xfId="0" applyFont="1" applyFill="1" applyBorder="1">
      <alignment horizontal="left"/>
    </xf>
    <xf numFmtId="0" fontId="5" fillId="2" borderId="4" xfId="0" applyFont="1" applyFill="1" applyBorder="1">
      <alignment horizontal="left"/>
    </xf>
    <xf numFmtId="0" fontId="5" fillId="2" borderId="5" xfId="0" applyFont="1" applyFill="1" applyBorder="1">
      <alignment horizontal="left"/>
    </xf>
    <xf numFmtId="0" fontId="5" fillId="2" borderId="6" xfId="0" applyFont="1" applyFill="1" applyBorder="1">
      <alignment horizontal="left"/>
    </xf>
    <xf numFmtId="0" fontId="0" fillId="0" borderId="7" xfId="0" applyBorder="1">
      <alignment horizontal="left"/>
    </xf>
    <xf numFmtId="0" fontId="0" fillId="0" borderId="0" xfId="0" applyBorder="1">
      <alignment horizontal="left"/>
    </xf>
    <xf numFmtId="0" fontId="0" fillId="0" borderId="8" xfId="0" applyBorder="1">
      <alignment horizontal="left"/>
    </xf>
    <xf numFmtId="165" fontId="0" fillId="0" borderId="0" xfId="0" applyNumberFormat="1">
      <alignment horizontal="left"/>
    </xf>
    <xf numFmtId="165" fontId="5" fillId="2" borderId="2" xfId="0" applyNumberFormat="1" applyFont="1" applyFill="1" applyBorder="1">
      <alignment horizontal="left"/>
    </xf>
    <xf numFmtId="165" fontId="5" fillId="2" borderId="5" xfId="0" applyNumberFormat="1" applyFont="1" applyFill="1" applyBorder="1">
      <alignment horizontal="left"/>
    </xf>
    <xf numFmtId="165" fontId="0" fillId="0" borderId="2" xfId="0" applyNumberFormat="1" applyBorder="1">
      <alignment horizontal="left"/>
    </xf>
    <xf numFmtId="165" fontId="0" fillId="0" borderId="0" xfId="0" applyNumberFormat="1" applyBorder="1">
      <alignment horizontal="left"/>
    </xf>
    <xf numFmtId="165" fontId="0" fillId="0" borderId="5" xfId="0" applyNumberFormat="1" applyBorder="1">
      <alignment horizontal="left"/>
    </xf>
    <xf numFmtId="0" fontId="2" fillId="0" borderId="0" xfId="0" applyFont="1" applyAlignment="1">
      <alignment wrapText="1"/>
    </xf>
    <xf numFmtId="165" fontId="2" fillId="0" borderId="0" xfId="0" applyNumberFormat="1" applyFont="1" applyAlignment="1">
      <alignment wrapText="1"/>
    </xf>
    <xf numFmtId="0" fontId="5" fillId="2" borderId="7" xfId="0" applyFont="1" applyFill="1" applyBorder="1">
      <alignment horizontal="left"/>
    </xf>
    <xf numFmtId="0" fontId="5" fillId="2" borderId="0" xfId="0" applyFont="1" applyFill="1" applyBorder="1">
      <alignment horizontal="left"/>
    </xf>
    <xf numFmtId="0" fontId="5" fillId="2" borderId="8" xfId="0" applyFont="1" applyFill="1" applyBorder="1">
      <alignment horizontal="left"/>
    </xf>
    <xf numFmtId="165" fontId="5" fillId="2" borderId="0" xfId="0" applyNumberFormat="1" applyFont="1" applyFill="1" applyBorder="1">
      <alignment horizontal="left"/>
    </xf>
    <xf numFmtId="166" fontId="0" fillId="0" borderId="0" xfId="0" applyNumberFormat="1">
      <alignment horizontal="left"/>
    </xf>
    <xf numFmtId="166" fontId="0" fillId="0" borderId="0" xfId="0" applyNumberFormat="1" applyBorder="1">
      <alignment horizontal="left"/>
    </xf>
    <xf numFmtId="167" fontId="0" fillId="0" borderId="0" xfId="0" applyNumberFormat="1">
      <alignment horizontal="left"/>
    </xf>
    <xf numFmtId="166" fontId="6" fillId="3" borderId="0" xfId="0" applyNumberFormat="1" applyFont="1" applyFill="1">
      <alignment horizontal="left"/>
    </xf>
    <xf numFmtId="167" fontId="6" fillId="3" borderId="0" xfId="0" applyNumberFormat="1" applyFont="1" applyFill="1">
      <alignment horizontal="left"/>
    </xf>
    <xf numFmtId="166" fontId="6" fillId="3" borderId="0" xfId="0" applyNumberFormat="1" applyFont="1" applyFill="1" applyBorder="1">
      <alignment horizontal="left"/>
    </xf>
    <xf numFmtId="14" fontId="6" fillId="3" borderId="0" xfId="0" applyNumberFormat="1" applyFont="1" applyFill="1">
      <alignment horizontal="left"/>
    </xf>
    <xf numFmtId="14" fontId="0" fillId="0" borderId="0" xfId="0" applyNumberFormat="1">
      <alignment horizontal="left"/>
    </xf>
    <xf numFmtId="0" fontId="0" fillId="0" borderId="0" xfId="0" applyAlignment="1">
      <alignment horizontal="center" wrapText="1"/>
    </xf>
    <xf numFmtId="0" fontId="8" fillId="4" borderId="0" xfId="0" applyFont="1" applyFill="1" applyAlignment="1">
      <alignment horizontal="center" wrapText="1"/>
    </xf>
    <xf numFmtId="0" fontId="8" fillId="4" borderId="0" xfId="0" applyFont="1" applyFill="1" applyBorder="1" applyAlignment="1">
      <alignment horizontal="center" wrapText="1"/>
    </xf>
    <xf numFmtId="166" fontId="6" fillId="3" borderId="0" xfId="0" applyNumberFormat="1" applyFont="1" applyFill="1" applyBorder="1" applyAlignment="1">
      <alignment horizontal="right"/>
    </xf>
    <xf numFmtId="166" fontId="0" fillId="0" borderId="0" xfId="0" applyNumberFormat="1" applyBorder="1" applyAlignment="1">
      <alignment horizontal="right"/>
    </xf>
    <xf numFmtId="2" fontId="6" fillId="3" borderId="0" xfId="0" applyNumberFormat="1" applyFont="1" applyFill="1" applyBorder="1" applyAlignment="1">
      <alignment horizontal="right"/>
    </xf>
    <xf numFmtId="2" fontId="0" fillId="0" borderId="0" xfId="0" applyNumberFormat="1" applyBorder="1" applyAlignment="1">
      <alignment horizontal="right"/>
    </xf>
    <xf numFmtId="0" fontId="9" fillId="0" borderId="0" xfId="0" applyFont="1">
      <alignment horizontal="left"/>
    </xf>
    <xf numFmtId="0" fontId="0" fillId="0" borderId="0" xfId="0" applyAlignment="1">
      <alignment vertical="top" wrapText="1"/>
    </xf>
    <xf numFmtId="0" fontId="7" fillId="0" borderId="0" xfId="0" applyFont="1">
      <alignment horizontal="left"/>
    </xf>
    <xf numFmtId="0" fontId="7" fillId="4" borderId="0" xfId="0" applyFont="1" applyFill="1">
      <alignment horizontal="left"/>
    </xf>
    <xf numFmtId="0" fontId="0" fillId="6" borderId="0" xfId="0" applyFill="1">
      <alignment horizontal="left"/>
    </xf>
    <xf numFmtId="0" fontId="0" fillId="6" borderId="0" xfId="0" applyNumberFormat="1" applyFill="1">
      <alignment horizontal="left"/>
    </xf>
    <xf numFmtId="0" fontId="10" fillId="4" borderId="0" xfId="0" applyFont="1" applyFill="1">
      <alignment horizontal="left"/>
    </xf>
    <xf numFmtId="0" fontId="10" fillId="0" borderId="0" xfId="0" applyFont="1">
      <alignment horizontal="left"/>
    </xf>
    <xf numFmtId="166" fontId="10" fillId="0" borderId="0" xfId="0" applyNumberFormat="1" applyFont="1">
      <alignment horizontal="left"/>
    </xf>
    <xf numFmtId="0" fontId="10" fillId="5" borderId="0" xfId="0" applyFont="1" applyFill="1">
      <alignment horizontal="left"/>
    </xf>
    <xf numFmtId="166" fontId="10" fillId="5" borderId="0" xfId="0" applyNumberFormat="1" applyFont="1" applyFill="1">
      <alignment horizontal="left"/>
    </xf>
    <xf numFmtId="0" fontId="10" fillId="6" borderId="0" xfId="0" applyFont="1" applyFill="1">
      <alignment horizontal="left"/>
    </xf>
    <xf numFmtId="166" fontId="10" fillId="6" borderId="0" xfId="0" applyNumberFormat="1" applyFont="1" applyFill="1">
      <alignment horizontal="left"/>
    </xf>
    <xf numFmtId="0" fontId="11" fillId="0" borderId="0" xfId="0" applyFont="1">
      <alignment horizontal="left"/>
    </xf>
    <xf numFmtId="0" fontId="0" fillId="0" borderId="0" xfId="0" applyAlignment="1">
      <alignment horizontal="left" wrapText="1"/>
    </xf>
    <xf numFmtId="168" fontId="8" fillId="8" borderId="0" xfId="2" applyNumberFormat="1" applyFont="1" applyFill="1" applyAlignment="1">
      <alignment horizontal="left"/>
    </xf>
    <xf numFmtId="168" fontId="0" fillId="7" borderId="0" xfId="2" applyNumberFormat="1" applyFont="1" applyFill="1" applyAlignment="1">
      <alignment horizontal="left"/>
    </xf>
    <xf numFmtId="168" fontId="8" fillId="9" borderId="0" xfId="2" applyNumberFormat="1" applyFont="1" applyFill="1" applyAlignment="1">
      <alignment horizontal="left"/>
    </xf>
    <xf numFmtId="168" fontId="0" fillId="9" borderId="0" xfId="2" applyNumberFormat="1" applyFont="1" applyFill="1" applyAlignment="1">
      <alignment horizontal="left"/>
    </xf>
    <xf numFmtId="168" fontId="0" fillId="5" borderId="0" xfId="2" applyNumberFormat="1" applyFont="1" applyFill="1" applyAlignment="1">
      <alignment horizontal="left"/>
    </xf>
    <xf numFmtId="168" fontId="2" fillId="5" borderId="0" xfId="2" applyNumberFormat="1" applyFont="1" applyFill="1" applyAlignment="1">
      <alignment horizontal="left"/>
    </xf>
    <xf numFmtId="169" fontId="8" fillId="8" borderId="0" xfId="2" applyNumberFormat="1" applyFont="1" applyFill="1" applyAlignment="1">
      <alignment horizontal="left"/>
    </xf>
    <xf numFmtId="169" fontId="0" fillId="7" borderId="0" xfId="2" applyNumberFormat="1" applyFont="1" applyFill="1" applyAlignment="1">
      <alignment horizontal="left"/>
    </xf>
    <xf numFmtId="10" fontId="8" fillId="8" borderId="0" xfId="3" applyNumberFormat="1" applyFont="1" applyFill="1" applyAlignment="1">
      <alignment horizontal="left"/>
    </xf>
    <xf numFmtId="10" fontId="0" fillId="7" borderId="0" xfId="3" applyNumberFormat="1" applyFont="1" applyFill="1" applyAlignment="1">
      <alignment horizontal="left"/>
    </xf>
    <xf numFmtId="0" fontId="0" fillId="0" borderId="0" xfId="0" applyAlignment="1">
      <alignment horizontal="left" wrapText="1"/>
    </xf>
    <xf numFmtId="0" fontId="8" fillId="9" borderId="0" xfId="0" applyFont="1" applyFill="1">
      <alignment horizontal="left"/>
    </xf>
    <xf numFmtId="0" fontId="5" fillId="0" borderId="0" xfId="0" applyFont="1">
      <alignment horizontal="left"/>
    </xf>
    <xf numFmtId="11" fontId="5" fillId="0" borderId="0" xfId="0" applyNumberFormat="1" applyFont="1">
      <alignment horizontal="left"/>
    </xf>
    <xf numFmtId="0" fontId="8" fillId="8" borderId="0" xfId="0" applyFont="1" applyFill="1">
      <alignment horizontal="left"/>
    </xf>
    <xf numFmtId="0" fontId="2" fillId="7" borderId="9" xfId="2" applyNumberFormat="1" applyFont="1" applyFill="1" applyBorder="1" applyAlignment="1">
      <alignment horizontal="left" wrapText="1"/>
    </xf>
    <xf numFmtId="0" fontId="0" fillId="5" borderId="9" xfId="2" applyNumberFormat="1" applyFont="1" applyFill="1" applyBorder="1" applyAlignment="1">
      <alignment horizontal="left" wrapText="1"/>
    </xf>
    <xf numFmtId="168" fontId="8" fillId="8" borderId="0" xfId="2" applyNumberFormat="1" applyFont="1" applyFill="1" applyAlignment="1">
      <alignment horizontal="left" wrapText="1"/>
    </xf>
    <xf numFmtId="168" fontId="0" fillId="7" borderId="0" xfId="2" applyNumberFormat="1" applyFont="1" applyFill="1" applyAlignment="1">
      <alignment horizontal="left" wrapText="1"/>
    </xf>
    <xf numFmtId="168" fontId="8" fillId="9" borderId="0" xfId="2" applyNumberFormat="1" applyFont="1" applyFill="1" applyAlignment="1">
      <alignment horizontal="left" wrapText="1"/>
    </xf>
    <xf numFmtId="168" fontId="0" fillId="9" borderId="0" xfId="2" applyNumberFormat="1" applyFont="1" applyFill="1" applyAlignment="1">
      <alignment horizontal="left" wrapText="1"/>
    </xf>
    <xf numFmtId="168" fontId="2" fillId="5" borderId="0" xfId="2" applyNumberFormat="1" applyFont="1" applyFill="1" applyAlignment="1">
      <alignment horizontal="left" wrapText="1"/>
    </xf>
    <xf numFmtId="168" fontId="0" fillId="5" borderId="0" xfId="2" applyNumberFormat="1" applyFont="1" applyFill="1" applyAlignment="1">
      <alignment horizontal="left" wrapText="1"/>
    </xf>
    <xf numFmtId="169" fontId="8" fillId="8" borderId="0" xfId="2" applyNumberFormat="1" applyFont="1" applyFill="1" applyAlignment="1">
      <alignment horizontal="left" wrapText="1"/>
    </xf>
    <xf numFmtId="169" fontId="0" fillId="7" borderId="0" xfId="2" applyNumberFormat="1" applyFont="1" applyFill="1" applyAlignment="1">
      <alignment horizontal="left" wrapText="1"/>
    </xf>
    <xf numFmtId="10" fontId="8" fillId="8" borderId="0" xfId="3" applyNumberFormat="1" applyFont="1" applyFill="1" applyAlignment="1">
      <alignment horizontal="left" wrapText="1"/>
    </xf>
    <xf numFmtId="10" fontId="0" fillId="7" borderId="0" xfId="3" applyNumberFormat="1" applyFont="1" applyFill="1" applyAlignment="1">
      <alignment horizontal="left" wrapText="1"/>
    </xf>
    <xf numFmtId="165" fontId="5" fillId="0" borderId="0" xfId="0" applyNumberFormat="1" applyFont="1">
      <alignment horizontal="left"/>
    </xf>
  </cellXfs>
  <cellStyles count="5">
    <cellStyle name="Comma" xfId="2" builtinId="3"/>
    <cellStyle name="Hyperlink" xfId="4" builtinId="8"/>
    <cellStyle name="Normal" xfId="0" builtinId="0" customBuiltin="1"/>
    <cellStyle name="Normal 2 2" xfId="1" xr:uid="{D9173D8B-C1AE-4CF0-B96E-CE604C77BF35}"/>
    <cellStyle name="Percent" xfId="3" builtinId="5"/>
  </cellStyles>
  <dxfs count="85">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numFmt numFmtId="168" formatCode="###,##0"/>
      <fill>
        <patternFill patternType="solid">
          <fgColor indexed="64"/>
          <bgColor rgb="FFD8E4BC"/>
        </patternFill>
      </fill>
      <alignment vertical="bottom" textRotation="0" wrapText="1" indent="0" justifyLastLine="0" shrinkToFit="0" readingOrder="0"/>
    </dxf>
    <dxf>
      <alignment horizontal="center" vertical="bottom" textRotation="0" wrapText="1" indent="0" justifyLastLine="0" shrinkToFit="0" readingOrder="0"/>
    </dxf>
    <dxf>
      <numFmt numFmtId="168" formatCode="###,##0"/>
      <fill>
        <patternFill patternType="solid">
          <fgColor indexed="64"/>
          <bgColor rgb="FFD8E4BC"/>
        </patternFill>
      </fill>
      <alignment vertical="bottom" textRotation="0" wrapText="1" indent="0" justifyLastLine="0" shrinkToFit="0" readingOrder="0"/>
    </dxf>
    <dxf>
      <numFmt numFmtId="168" formatCode="###,##0"/>
      <fill>
        <patternFill patternType="solid">
          <fgColor indexed="64"/>
          <bgColor rgb="FFD8E4BC"/>
        </patternFill>
      </fill>
      <alignment vertical="bottom" textRotation="0" wrapText="1" indent="0" justifyLastLine="0" shrinkToFit="0" readingOrder="0"/>
    </dxf>
    <dxf>
      <font>
        <b/>
        <color rgb="FFFFFFFF"/>
      </font>
      <numFmt numFmtId="168" formatCode="###,##0"/>
      <fill>
        <patternFill patternType="solid">
          <fgColor indexed="64"/>
          <bgColor rgb="FF4F6228"/>
        </patternFill>
      </fill>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numFmt numFmtId="168" formatCode="###,##0"/>
      <fill>
        <patternFill patternType="solid">
          <fgColor indexed="64"/>
          <bgColor rgb="FFD8E4BC"/>
        </patternFill>
      </fill>
    </dxf>
    <dxf>
      <numFmt numFmtId="168" formatCode="###,##0"/>
      <fill>
        <patternFill patternType="solid">
          <fgColor indexed="64"/>
          <bgColor rgb="FFD8E4BC"/>
        </patternFill>
      </fill>
    </dxf>
    <dxf>
      <numFmt numFmtId="168" formatCode="###,##0"/>
      <fill>
        <patternFill patternType="solid">
          <fgColor indexed="64"/>
          <bgColor rgb="FFD8E4BC"/>
        </patternFill>
      </fill>
    </dxf>
    <dxf>
      <numFmt numFmtId="168" formatCode="###,##0"/>
      <fill>
        <patternFill patternType="solid">
          <fgColor indexed="64"/>
          <bgColor rgb="FFD8E4BC"/>
        </patternFill>
      </fill>
    </dxf>
    <dxf>
      <font>
        <b/>
        <color rgb="FFFFFFFF"/>
      </font>
      <numFmt numFmtId="168" formatCode="###,##0"/>
      <fill>
        <patternFill patternType="solid">
          <fgColor indexed="64"/>
          <bgColor rgb="FF4F6228"/>
        </patternFill>
      </fill>
    </dxf>
    <dxf>
      <font>
        <color rgb="FF000000"/>
      </font>
    </dxf>
    <dxf>
      <font>
        <b val="0"/>
        <i val="0"/>
        <strike val="0"/>
        <condense val="0"/>
        <extend val="0"/>
        <outline val="0"/>
        <shadow val="0"/>
        <u val="none"/>
        <vertAlign val="baseline"/>
        <sz val="11"/>
        <color rgb="FF000000"/>
        <name val="Calibri"/>
        <family val="2"/>
        <scheme val="minor"/>
      </font>
      <fill>
        <patternFill patternType="solid">
          <fgColor indexed="64"/>
          <bgColor rgb="FF000000"/>
        </patternFill>
      </fill>
    </dxf>
    <dxf>
      <font>
        <color rgb="FF000000"/>
      </font>
    </dxf>
    <dxf>
      <font>
        <color rgb="FF000000"/>
      </font>
    </dxf>
    <dxf>
      <font>
        <color rgb="FF000000"/>
      </font>
    </dxf>
    <dxf>
      <font>
        <color rgb="FF000000"/>
      </font>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dxf>
    <dxf>
      <font>
        <b/>
        <color rgb="FFFFFFFF"/>
      </font>
      <fill>
        <patternFill patternType="solid">
          <fgColor indexed="64"/>
          <bgColor rgb="FF000000"/>
        </patternFill>
      </fill>
      <alignment horizontal="center" vertical="bottom" textRotation="0" wrapText="1" indent="0" justifyLastLine="0" shrinkToFit="0" readingOrder="0"/>
    </dxf>
    <dxf>
      <numFmt numFmtId="19" formatCode="m/d/yyyy"/>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7" formatCode="####"/>
    </dxf>
    <dxf>
      <numFmt numFmtId="166" formatCode="##,##0"/>
    </dxf>
    <dxf>
      <numFmt numFmtId="166" formatCode="##,##0"/>
    </dxf>
    <dxf>
      <numFmt numFmtId="166" formatCode="##,##0"/>
    </dxf>
    <dxf>
      <numFmt numFmtId="166" formatCode="##,##0"/>
    </dxf>
    <dxf>
      <numFmt numFmtId="166" formatCode="##,##0"/>
    </dxf>
    <dxf>
      <border diagonalUp="0" diagonalDown="0" outline="0">
        <left/>
        <right/>
        <top/>
        <bottom/>
      </border>
    </dxf>
    <dxf>
      <border diagonalUp="0" diagonalDown="0" outline="0">
        <left/>
        <right/>
        <top/>
        <bottom/>
      </border>
    </dxf>
    <dxf>
      <numFmt numFmtId="165" formatCode="0.0000"/>
    </dxf>
    <dxf>
      <numFmt numFmtId="165" formatCode="0.0000"/>
    </dxf>
    <dxf>
      <numFmt numFmtId="165" formatCode="0.0000"/>
    </dxf>
    <dxf>
      <numFmt numFmtId="165" formatCode="0.0000"/>
    </dxf>
    <dxf>
      <border outline="0">
        <bottom style="medium">
          <color indexed="64"/>
        </bottom>
      </border>
    </dxf>
    <dxf>
      <numFmt numFmtId="165" formatCode="0.0000"/>
    </dxf>
    <dxf>
      <numFmt numFmtId="165" formatCode="0.0000"/>
    </dxf>
    <dxf>
      <numFmt numFmtId="165" formatCode="0.0000"/>
    </dxf>
    <dxf>
      <numFmt numFmtId="165" formatCode="0.0000"/>
    </dxf>
    <dxf>
      <border outline="0">
        <bottom style="medium">
          <color indexed="64"/>
        </bottom>
      </border>
    </dxf>
    <dxf>
      <numFmt numFmtId="0" formatCode="General"/>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28724</c:v>
              </c:pt>
              <c:pt idx="1">
                <c:v>23799</c:v>
              </c:pt>
              <c:pt idx="2">
                <c:v>25162</c:v>
              </c:pt>
              <c:pt idx="3">
                <c:v>16838</c:v>
              </c:pt>
              <c:pt idx="4">
                <c:v>15705</c:v>
              </c:pt>
              <c:pt idx="5">
                <c:v>18179</c:v>
              </c:pt>
              <c:pt idx="6">
                <c:v>23289</c:v>
              </c:pt>
              <c:pt idx="7">
                <c:v>25115</c:v>
              </c:pt>
              <c:pt idx="8">
                <c:v>23978</c:v>
              </c:pt>
              <c:pt idx="9">
                <c:v>25098</c:v>
              </c:pt>
              <c:pt idx="10">
                <c:v>21929</c:v>
              </c:pt>
              <c:pt idx="11">
                <c:v>26071</c:v>
              </c:pt>
            </c:numLit>
          </c:xVal>
          <c:yVal>
            <c:numLit>
              <c:formatCode>General</c:formatCode>
              <c:ptCount val="12"/>
              <c:pt idx="0">
                <c:v>157626.14829157799</c:v>
              </c:pt>
              <c:pt idx="1">
                <c:v>143783.70579528</c:v>
              </c:pt>
              <c:pt idx="2">
                <c:v>152610.483807246</c:v>
              </c:pt>
              <c:pt idx="3">
                <c:v>88396.277975238001</c:v>
              </c:pt>
              <c:pt idx="4">
                <c:v>94347.306121746005</c:v>
              </c:pt>
              <c:pt idx="5">
                <c:v>121936.347457704</c:v>
              </c:pt>
              <c:pt idx="6">
                <c:v>150368.358474762</c:v>
              </c:pt>
              <c:pt idx="7">
                <c:v>130668.981059748</c:v>
              </c:pt>
              <c:pt idx="8">
                <c:v>147708.023958048</c:v>
              </c:pt>
              <c:pt idx="9">
                <c:v>145978.85616885</c:v>
              </c:pt>
              <c:pt idx="10">
                <c:v>152280.60474297</c:v>
              </c:pt>
              <c:pt idx="11">
                <c:v>148652.87678712601</c:v>
              </c:pt>
            </c:numLit>
          </c:yVal>
          <c:smooth val="0"/>
          <c:extLst>
            <c:ext xmlns:c16="http://schemas.microsoft.com/office/drawing/2014/chart" uri="{C3380CC4-5D6E-409C-BE32-E72D297353CC}">
              <c16:uniqueId val="{00000003-BC98-4DC1-B83E-9A4396D22B1F}"/>
            </c:ext>
          </c:extLst>
        </c:ser>
        <c:ser>
          <c:idx val="0"/>
          <c:order val="0"/>
          <c:tx>
            <c:strRef>
              <c:f>'1 Electricity (MMBTU)'!$A$2</c:f>
              <c:strCache>
                <c:ptCount val="1"/>
                <c:pt idx="0">
                  <c:v>The best model for the data provided is #1</c:v>
                </c:pt>
              </c:strCache>
            </c:strRef>
          </c:tx>
          <c:yVal>
            <c:numRef>
              <c:f>'1 Electricity (MMBTU)'!$B$2:$G$2</c:f>
            </c:numRef>
          </c:yVal>
          <c:smooth val="0"/>
          <c:extLst>
            <c:ext xmlns:c16="http://schemas.microsoft.com/office/drawing/2014/chart" uri="{C3380CC4-5D6E-409C-BE32-E72D297353CC}">
              <c16:uniqueId val="{00000000-BC98-4DC1-B83E-9A4396D22B1F}"/>
            </c:ext>
          </c:extLst>
        </c:ser>
        <c:dLbls>
          <c:showLegendKey val="0"/>
          <c:showVal val="0"/>
          <c:showCatName val="0"/>
          <c:showSerName val="0"/>
          <c:showPercent val="0"/>
          <c:showBubbleSize val="0"/>
        </c:dLbls>
        <c:axId val="504422944"/>
        <c:axId val="504418352"/>
      </c:scatterChart>
      <c:valAx>
        <c:axId val="504422944"/>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504418352"/>
        <c:crosses val="autoZero"/>
        <c:crossBetween val="midCat"/>
      </c:valAx>
      <c:valAx>
        <c:axId val="504418352"/>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44229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91046.1</c:v>
              </c:pt>
              <c:pt idx="1">
                <c:v>79405.8</c:v>
              </c:pt>
              <c:pt idx="2">
                <c:v>83577.2</c:v>
              </c:pt>
              <c:pt idx="3">
                <c:v>59024.7</c:v>
              </c:pt>
              <c:pt idx="4">
                <c:v>62117.8</c:v>
              </c:pt>
              <c:pt idx="5">
                <c:v>76703.199999999997</c:v>
              </c:pt>
              <c:pt idx="6">
                <c:v>85264.6</c:v>
              </c:pt>
              <c:pt idx="7">
                <c:v>87206.6</c:v>
              </c:pt>
              <c:pt idx="8">
                <c:v>88176</c:v>
              </c:pt>
              <c:pt idx="9">
                <c:v>83610.2</c:v>
              </c:pt>
              <c:pt idx="10">
                <c:v>79475.600000000006</c:v>
              </c:pt>
              <c:pt idx="11">
                <c:v>84738.4</c:v>
              </c:pt>
            </c:numLit>
          </c:val>
          <c:smooth val="0"/>
          <c:extLst>
            <c:ext xmlns:c16="http://schemas.microsoft.com/office/drawing/2014/chart" uri="{C3380CC4-5D6E-409C-BE32-E72D297353CC}">
              <c16:uniqueId val="{00000003-1A10-49E0-A72E-AADFE04ED219}"/>
            </c:ext>
          </c:extLst>
        </c:ser>
        <c:ser>
          <c:idx val="2"/>
          <c:order val="2"/>
          <c:tx>
            <c:v>Model 2</c:v>
          </c:tx>
          <c:val>
            <c:numLit>
              <c:formatCode>General</c:formatCode>
              <c:ptCount val="12"/>
              <c:pt idx="0">
                <c:v>80611.958929677363</c:v>
              </c:pt>
              <c:pt idx="1">
                <c:v>80449.930646207649</c:v>
              </c:pt>
              <c:pt idx="2">
                <c:v>80111.985940685074</c:v>
              </c:pt>
              <c:pt idx="3">
                <c:v>80149.02097690673</c:v>
              </c:pt>
              <c:pt idx="4">
                <c:v>79868.943515480481</c:v>
              </c:pt>
              <c:pt idx="5">
                <c:v>79706.915232010753</c:v>
              </c:pt>
              <c:pt idx="6">
                <c:v>79653.677367442127</c:v>
              </c:pt>
              <c:pt idx="7">
                <c:v>79558.775087124159</c:v>
              </c:pt>
              <c:pt idx="8">
                <c:v>79702.285852483052</c:v>
              </c:pt>
              <c:pt idx="9">
                <c:v>79922.181380049107</c:v>
              </c:pt>
              <c:pt idx="10">
                <c:v>80172.167874545252</c:v>
              </c:pt>
              <c:pt idx="11">
                <c:v>80438.357197388381</c:v>
              </c:pt>
            </c:numLit>
          </c:val>
          <c:smooth val="0"/>
          <c:extLst>
            <c:ext xmlns:c16="http://schemas.microsoft.com/office/drawing/2014/chart" uri="{C3380CC4-5D6E-409C-BE32-E72D297353CC}">
              <c16:uniqueId val="{00000004-1A10-49E0-A72E-AADFE04ED219}"/>
            </c:ext>
          </c:extLst>
        </c:ser>
        <c:ser>
          <c:idx val="0"/>
          <c:order val="0"/>
          <c:tx>
            <c:strRef>
              <c:f>'1 Natural gas (MMBTU)'!$A$2</c:f>
              <c:strCache>
                <c:ptCount val="1"/>
                <c:pt idx="0">
                  <c:v>The best model for the data provided is #3</c:v>
                </c:pt>
              </c:strCache>
            </c:strRef>
          </c:tx>
          <c:val>
            <c:numRef>
              <c:f>'1 Natural gas (MMBTU)'!$B$2:$G$2</c:f>
            </c:numRef>
          </c:val>
          <c:smooth val="0"/>
          <c:extLst>
            <c:ext xmlns:c16="http://schemas.microsoft.com/office/drawing/2014/chart" uri="{C3380CC4-5D6E-409C-BE32-E72D297353CC}">
              <c16:uniqueId val="{00000000-1A10-49E0-A72E-AADFE04ED219}"/>
            </c:ext>
          </c:extLst>
        </c:ser>
        <c:dLbls>
          <c:showLegendKey val="0"/>
          <c:showVal val="0"/>
          <c:showCatName val="0"/>
          <c:showSerName val="0"/>
          <c:showPercent val="0"/>
          <c:showBubbleSize val="0"/>
        </c:dLbls>
        <c:marker val="1"/>
        <c:smooth val="0"/>
        <c:axId val="504415072"/>
        <c:axId val="498449928"/>
      </c:lineChart>
      <c:catAx>
        <c:axId val="504415072"/>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498449928"/>
        <c:crosses val="autoZero"/>
        <c:auto val="1"/>
        <c:lblAlgn val="ctr"/>
        <c:lblOffset val="100"/>
        <c:noMultiLvlLbl val="0"/>
      </c:catAx>
      <c:valAx>
        <c:axId val="498449928"/>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504415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strRef>
              <c:f>'1 Model Data'!$P$14</c:f>
              <c:strCache>
                <c:ptCount val="1"/>
                <c:pt idx="0">
                  <c:v>Total Modeled Energy Consumption (MMBTU)</c:v>
                </c:pt>
              </c:strCache>
            </c:strRef>
          </c:tx>
          <c:spPr>
            <a:ln>
              <a:solidFill>
                <a:srgbClr val="008000"/>
              </a:solidFill>
            </a:ln>
          </c:spPr>
          <c:marker>
            <c:spPr>
              <a:ln>
                <a:solidFill>
                  <a:srgbClr val="008000"/>
                </a:solidFill>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Data'!$P$15:$P$50</c:f>
              <c:numCache>
                <c:formatCode>##,##0</c:formatCode>
                <c:ptCount val="36"/>
                <c:pt idx="0">
                  <c:v>256010.07564901462</c:v>
                </c:pt>
                <c:pt idx="1">
                  <c:v>219833.12911895395</c:v>
                </c:pt>
                <c:pt idx="2">
                  <c:v>233343.11598895001</c:v>
                </c:pt>
                <c:pt idx="3">
                  <c:v>169357.61996630148</c:v>
                </c:pt>
                <c:pt idx="4">
                  <c:v>163253.861860509</c:v>
                </c:pt>
                <c:pt idx="5">
                  <c:v>183651.23291076074</c:v>
                </c:pt>
                <c:pt idx="6">
                  <c:v>223209.8701643307</c:v>
                </c:pt>
                <c:pt idx="7">
                  <c:v>238039.08652196097</c:v>
                </c:pt>
                <c:pt idx="8">
                  <c:v>228033.91649501043</c:v>
                </c:pt>
                <c:pt idx="9">
                  <c:v>234588.2274272216</c:v>
                </c:pt>
                <c:pt idx="10">
                  <c:v>208072.96120744362</c:v>
                </c:pt>
                <c:pt idx="11">
                  <c:v>237311.08154786995</c:v>
                </c:pt>
                <c:pt idx="12">
                  <c:v>237454.64671367442</c:v>
                </c:pt>
                <c:pt idx="13">
                  <c:v>222050.66977528611</c:v>
                </c:pt>
                <c:pt idx="14">
                  <c:v>166270.62398600171</c:v>
                </c:pt>
                <c:pt idx="15">
                  <c:v>163486.75569859985</c:v>
                </c:pt>
                <c:pt idx="16">
                  <c:v>191314.88377498119</c:v>
                </c:pt>
                <c:pt idx="17">
                  <c:v>165775.03012727934</c:v>
                </c:pt>
                <c:pt idx="18">
                  <c:v>160989.71477075585</c:v>
                </c:pt>
                <c:pt idx="19">
                  <c:v>169961.5807854982</c:v>
                </c:pt>
                <c:pt idx="20">
                  <c:v>159296.33699705161</c:v>
                </c:pt>
                <c:pt idx="21">
                  <c:v>171215.21504879376</c:v>
                </c:pt>
                <c:pt idx="22">
                  <c:v>165779.76670869646</c:v>
                </c:pt>
                <c:pt idx="23">
                  <c:v>127762.81208538896</c:v>
                </c:pt>
                <c:pt idx="24">
                  <c:v>158967.78723370883</c:v>
                </c:pt>
                <c:pt idx="25">
                  <c:v>148882.50014691238</c:v>
                </c:pt>
                <c:pt idx="26">
                  <c:v>109602.05228210958</c:v>
                </c:pt>
                <c:pt idx="27">
                  <c:v>161911.4230693065</c:v>
                </c:pt>
                <c:pt idx="28">
                  <c:v>168885.8332796364</c:v>
                </c:pt>
                <c:pt idx="29">
                  <c:v>140279.63579461834</c:v>
                </c:pt>
                <c:pt idx="30">
                  <c:v>170752.71369867865</c:v>
                </c:pt>
                <c:pt idx="31">
                  <c:v>169040.24918310804</c:v>
                </c:pt>
                <c:pt idx="32">
                  <c:v>152875.16668640845</c:v>
                </c:pt>
                <c:pt idx="33">
                  <c:v>142810.47416971222</c:v>
                </c:pt>
                <c:pt idx="34">
                  <c:v>183894.71489253308</c:v>
                </c:pt>
                <c:pt idx="35">
                  <c:v>159301.29475079718</c:v>
                </c:pt>
              </c:numCache>
            </c:numRef>
          </c:val>
          <c:smooth val="0"/>
          <c:extLst>
            <c:ext xmlns:c16="http://schemas.microsoft.com/office/drawing/2014/chart" uri="{C3380CC4-5D6E-409C-BE32-E72D297353CC}">
              <c16:uniqueId val="{00000003-35E2-4F31-B0C3-B94204BC6F72}"/>
            </c:ext>
          </c:extLst>
        </c:ser>
        <c:ser>
          <c:idx val="1"/>
          <c:order val="1"/>
          <c:tx>
            <c:strRef>
              <c:f>'1 Model Data'!$I$14</c:f>
              <c:strCache>
                <c:ptCount val="1"/>
                <c:pt idx="0">
                  <c:v>TOTAL  (MMBTU)</c:v>
                </c:pt>
              </c:strCache>
            </c:strRef>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Data'!$I$15:$I$50</c:f>
              <c:numCache>
                <c:formatCode>##,##0</c:formatCode>
                <c:ptCount val="36"/>
                <c:pt idx="0">
                  <c:v>248672.248291578</c:v>
                </c:pt>
                <c:pt idx="1">
                  <c:v>223189.50579527998</c:v>
                </c:pt>
                <c:pt idx="2">
                  <c:v>236187.68380724601</c:v>
                </c:pt>
                <c:pt idx="3">
                  <c:v>147420.977975238</c:v>
                </c:pt>
                <c:pt idx="4">
                  <c:v>156465.10612174601</c:v>
                </c:pt>
                <c:pt idx="5">
                  <c:v>198639.54745770397</c:v>
                </c:pt>
                <c:pt idx="6">
                  <c:v>235632.95847476201</c:v>
                </c:pt>
                <c:pt idx="7">
                  <c:v>217875.58105974799</c:v>
                </c:pt>
                <c:pt idx="8">
                  <c:v>235884.023958048</c:v>
                </c:pt>
                <c:pt idx="9">
                  <c:v>229589.05616885002</c:v>
                </c:pt>
                <c:pt idx="10">
                  <c:v>231756.20474297</c:v>
                </c:pt>
                <c:pt idx="11">
                  <c:v>233391.27678712603</c:v>
                </c:pt>
                <c:pt idx="12">
                  <c:v>240615.71743413602</c:v>
                </c:pt>
                <c:pt idx="13">
                  <c:v>223286.01905970403</c:v>
                </c:pt>
                <c:pt idx="14">
                  <c:v>162403.84814678601</c:v>
                </c:pt>
                <c:pt idx="15">
                  <c:v>166456.57943036</c:v>
                </c:pt>
                <c:pt idx="16">
                  <c:v>191329.96722261599</c:v>
                </c:pt>
                <c:pt idx="17">
                  <c:v>152120.28966547799</c:v>
                </c:pt>
                <c:pt idx="18">
                  <c:v>151991.103677426</c:v>
                </c:pt>
                <c:pt idx="19">
                  <c:v>149069.80126693999</c:v>
                </c:pt>
                <c:pt idx="20">
                  <c:v>145992.310667718</c:v>
                </c:pt>
                <c:pt idx="21">
                  <c:v>152471.10099451401</c:v>
                </c:pt>
                <c:pt idx="22">
                  <c:v>151686.80132512201</c:v>
                </c:pt>
                <c:pt idx="23">
                  <c:v>137248.364547954</c:v>
                </c:pt>
                <c:pt idx="24">
                  <c:v>152108.64461539802</c:v>
                </c:pt>
                <c:pt idx="25">
                  <c:v>135144.76240622002</c:v>
                </c:pt>
                <c:pt idx="26">
                  <c:v>112035.740184814</c:v>
                </c:pt>
                <c:pt idx="27">
                  <c:v>142844.614718686</c:v>
                </c:pt>
                <c:pt idx="28">
                  <c:v>150300.080265686</c:v>
                </c:pt>
                <c:pt idx="29">
                  <c:v>127606.110294454</c:v>
                </c:pt>
                <c:pt idx="30">
                  <c:v>151125.72733762802</c:v>
                </c:pt>
                <c:pt idx="31">
                  <c:v>154776.63558838199</c:v>
                </c:pt>
                <c:pt idx="32">
                  <c:v>141872.271504848</c:v>
                </c:pt>
                <c:pt idx="33">
                  <c:v>144913.22025176001</c:v>
                </c:pt>
                <c:pt idx="34">
                  <c:v>138718.438024534</c:v>
                </c:pt>
                <c:pt idx="35">
                  <c:v>141980.06452591001</c:v>
                </c:pt>
              </c:numCache>
            </c:numRef>
          </c:val>
          <c:smooth val="0"/>
          <c:extLst>
            <c:ext xmlns:c16="http://schemas.microsoft.com/office/drawing/2014/chart" uri="{C3380CC4-5D6E-409C-BE32-E72D297353CC}">
              <c16:uniqueId val="{00000004-35E2-4F31-B0C3-B94204BC6F72}"/>
            </c:ext>
          </c:extLst>
        </c:ser>
        <c:dLbls>
          <c:showLegendKey val="0"/>
          <c:showVal val="0"/>
          <c:showCatName val="0"/>
          <c:showSerName val="0"/>
          <c:showPercent val="0"/>
          <c:showBubbleSize val="0"/>
        </c:dLbls>
        <c:marker val="1"/>
        <c:smooth val="0"/>
        <c:axId val="504430816"/>
        <c:axId val="504436064"/>
      </c:lineChart>
      <c:catAx>
        <c:axId val="504430816"/>
        <c:scaling>
          <c:orientation val="minMax"/>
        </c:scaling>
        <c:delete val="0"/>
        <c:axPos val="b"/>
        <c:title>
          <c:tx>
            <c:rich>
              <a:bodyPr/>
              <a:lstStyle/>
              <a:p>
                <a:pPr>
                  <a:defRPr/>
                </a:pPr>
                <a:r>
                  <a:rPr lang="en-US"/>
                  <a:t>Input Interval</a:t>
                </a:r>
              </a:p>
            </c:rich>
          </c:tx>
          <c:overlay val="0"/>
        </c:title>
        <c:numFmt formatCode="General" sourceLinked="1"/>
        <c:majorTickMark val="out"/>
        <c:minorTickMark val="none"/>
        <c:tickLblPos val="nextTo"/>
        <c:crossAx val="504436064"/>
        <c:crosses val="autoZero"/>
        <c:auto val="1"/>
        <c:lblAlgn val="ctr"/>
        <c:lblOffset val="100"/>
        <c:tickLblSkip val="6"/>
        <c:tickMarkSkip val="6"/>
        <c:noMultiLvlLbl val="0"/>
      </c:catAx>
      <c:valAx>
        <c:axId val="504436064"/>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504430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lineChart>
        <c:grouping val="standard"/>
        <c:varyColors val="0"/>
        <c:ser>
          <c:idx val="0"/>
          <c:order val="0"/>
          <c:tx>
            <c:strRef>
              <c:f>'1 EnPI Results'!$A$17</c:f>
              <c:strCache>
                <c:ptCount val="1"/>
                <c:pt idx="0">
                  <c:v>Annual Improvement in Energy Intensity (%)</c:v>
                </c:pt>
              </c:strCache>
            </c:strRef>
          </c:tx>
          <c:spPr>
            <a:ln>
              <a:solidFill>
                <a:srgbClr val="006400"/>
              </a:solidFill>
            </a:ln>
          </c:spPr>
          <c:marker>
            <c:spPr>
              <a:solidFill>
                <a:srgbClr val="006400"/>
              </a:solidFill>
              <a:ln>
                <a:solidFill>
                  <a:srgbClr val="006400"/>
                </a:solidFill>
              </a:ln>
            </c:spPr>
          </c:marker>
          <c:val>
            <c:numRef>
              <c:f>'1 EnPI Results'!$B$17:$D$17</c:f>
              <c:numCache>
                <c:formatCode>0.00%</c:formatCode>
                <c:ptCount val="3"/>
                <c:pt idx="0">
                  <c:v>0</c:v>
                </c:pt>
                <c:pt idx="1">
                  <c:v>3.6493606373715348E-2</c:v>
                </c:pt>
                <c:pt idx="2">
                  <c:v>5.657471924970181E-2</c:v>
                </c:pt>
              </c:numCache>
            </c:numRef>
          </c:val>
          <c:smooth val="0"/>
          <c:extLst>
            <c:ext xmlns:c16="http://schemas.microsoft.com/office/drawing/2014/chart" uri="{C3380CC4-5D6E-409C-BE32-E72D297353CC}">
              <c16:uniqueId val="{00000003-9ADC-457E-948C-D8DBEE6FAD8C}"/>
            </c:ext>
          </c:extLst>
        </c:ser>
        <c:ser>
          <c:idx val="1"/>
          <c:order val="1"/>
          <c:tx>
            <c:strRef>
              <c:f>'1 EnPI Results'!$A$16</c:f>
              <c:strCache>
                <c:ptCount val="1"/>
                <c:pt idx="0">
                  <c:v>Total Improvement in Energy Intensity (%)</c:v>
                </c:pt>
              </c:strCache>
            </c:strRef>
          </c:tx>
          <c:spPr>
            <a:ln>
              <a:solidFill>
                <a:srgbClr val="9ACD32"/>
              </a:solidFill>
            </a:ln>
          </c:spPr>
          <c:marker>
            <c:spPr>
              <a:solidFill>
                <a:srgbClr val="9ACD32"/>
              </a:solidFill>
              <a:ln>
                <a:solidFill>
                  <a:srgbClr val="9ACD32"/>
                </a:solidFill>
              </a:ln>
            </c:spPr>
          </c:marker>
          <c:val>
            <c:numRef>
              <c:f>'1 EnPI Results'!$B$16:$D$16</c:f>
              <c:numCache>
                <c:formatCode>0.00%</c:formatCode>
                <c:ptCount val="3"/>
                <c:pt idx="0">
                  <c:v>0</c:v>
                </c:pt>
                <c:pt idx="1">
                  <c:v>3.6493606373715348E-2</c:v>
                </c:pt>
                <c:pt idx="2">
                  <c:v>9.3068325623417159E-2</c:v>
                </c:pt>
              </c:numCache>
            </c:numRef>
          </c:val>
          <c:smooth val="0"/>
          <c:extLst>
            <c:ext xmlns:c16="http://schemas.microsoft.com/office/drawing/2014/chart" uri="{C3380CC4-5D6E-409C-BE32-E72D297353CC}">
              <c16:uniqueId val="{00000004-9ADC-457E-948C-D8DBEE6FAD8C}"/>
            </c:ext>
          </c:extLst>
        </c:ser>
        <c:dLbls>
          <c:showLegendKey val="0"/>
          <c:showVal val="0"/>
          <c:showCatName val="0"/>
          <c:showSerName val="0"/>
          <c:showPercent val="0"/>
          <c:showBubbleSize val="0"/>
        </c:dLbls>
        <c:marker val="1"/>
        <c:smooth val="0"/>
        <c:axId val="496742648"/>
        <c:axId val="496069528"/>
      </c:lineChart>
      <c:catAx>
        <c:axId val="496742648"/>
        <c:scaling>
          <c:orientation val="minMax"/>
        </c:scaling>
        <c:delete val="0"/>
        <c:axPos val="b"/>
        <c:title>
          <c:tx>
            <c:rich>
              <a:bodyPr/>
              <a:lstStyle/>
              <a:p>
                <a:pPr>
                  <a:defRPr/>
                </a:pPr>
                <a:r>
                  <a:rPr lang="en-US"/>
                  <a:t>Reporting Year</a:t>
                </a:r>
              </a:p>
            </c:rich>
          </c:tx>
          <c:overlay val="0"/>
        </c:title>
        <c:majorTickMark val="out"/>
        <c:minorTickMark val="none"/>
        <c:tickLblPos val="nextTo"/>
        <c:crossAx val="496069528"/>
        <c:crosses val="autoZero"/>
        <c:auto val="1"/>
        <c:lblAlgn val="ctr"/>
        <c:lblOffset val="100"/>
        <c:noMultiLvlLbl val="0"/>
      </c:catAx>
      <c:valAx>
        <c:axId val="496069528"/>
        <c:scaling>
          <c:orientation val="minMax"/>
        </c:scaling>
        <c:delete val="0"/>
        <c:axPos val="l"/>
        <c:majorGridlines/>
        <c:title>
          <c:tx>
            <c:rich>
              <a:bodyPr/>
              <a:lstStyle/>
              <a:p>
                <a:pPr>
                  <a:defRPr/>
                </a:pPr>
                <a:r>
                  <a:rPr lang="en-US"/>
                  <a:t>Percent Improvement</a:t>
                </a:r>
              </a:p>
            </c:rich>
          </c:tx>
          <c:overlay val="0"/>
        </c:title>
        <c:numFmt formatCode="0.00%" sourceLinked="1"/>
        <c:majorTickMark val="out"/>
        <c:minorTickMark val="none"/>
        <c:tickLblPos val="nextTo"/>
        <c:crossAx val="4967426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v>Total Modeled Energy Consumption (MMBTU)</c:v>
          </c:tx>
          <c:spPr>
            <a:ln>
              <a:solidFill>
                <a:srgbClr val="006400"/>
              </a:solidFill>
            </a:ln>
          </c:spPr>
          <c:marker>
            <c:symbol val="none"/>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Data'!$P$15:$P$50</c:f>
              <c:numCache>
                <c:formatCode>##,##0</c:formatCode>
                <c:ptCount val="36"/>
                <c:pt idx="0">
                  <c:v>256010.07564901462</c:v>
                </c:pt>
                <c:pt idx="1">
                  <c:v>219833.12911895395</c:v>
                </c:pt>
                <c:pt idx="2">
                  <c:v>233343.11598895001</c:v>
                </c:pt>
                <c:pt idx="3">
                  <c:v>169357.61996630148</c:v>
                </c:pt>
                <c:pt idx="4">
                  <c:v>163253.861860509</c:v>
                </c:pt>
                <c:pt idx="5">
                  <c:v>183651.23291076074</c:v>
                </c:pt>
                <c:pt idx="6">
                  <c:v>223209.8701643307</c:v>
                </c:pt>
                <c:pt idx="7">
                  <c:v>238039.08652196097</c:v>
                </c:pt>
                <c:pt idx="8">
                  <c:v>228033.91649501043</c:v>
                </c:pt>
                <c:pt idx="9">
                  <c:v>234588.2274272216</c:v>
                </c:pt>
                <c:pt idx="10">
                  <c:v>208072.96120744362</c:v>
                </c:pt>
                <c:pt idx="11">
                  <c:v>237311.08154786995</c:v>
                </c:pt>
                <c:pt idx="12">
                  <c:v>237454.64671367442</c:v>
                </c:pt>
                <c:pt idx="13">
                  <c:v>222050.66977528611</c:v>
                </c:pt>
                <c:pt idx="14">
                  <c:v>166270.62398600171</c:v>
                </c:pt>
                <c:pt idx="15">
                  <c:v>163486.75569859985</c:v>
                </c:pt>
                <c:pt idx="16">
                  <c:v>191314.88377498119</c:v>
                </c:pt>
                <c:pt idx="17">
                  <c:v>165775.03012727934</c:v>
                </c:pt>
                <c:pt idx="18">
                  <c:v>160989.71477075585</c:v>
                </c:pt>
                <c:pt idx="19">
                  <c:v>169961.5807854982</c:v>
                </c:pt>
                <c:pt idx="20">
                  <c:v>159296.33699705161</c:v>
                </c:pt>
                <c:pt idx="21">
                  <c:v>171215.21504879376</c:v>
                </c:pt>
                <c:pt idx="22">
                  <c:v>165779.76670869646</c:v>
                </c:pt>
                <c:pt idx="23">
                  <c:v>127762.81208538896</c:v>
                </c:pt>
                <c:pt idx="24">
                  <c:v>158967.78723370883</c:v>
                </c:pt>
                <c:pt idx="25">
                  <c:v>148882.50014691238</c:v>
                </c:pt>
                <c:pt idx="26">
                  <c:v>109602.05228210958</c:v>
                </c:pt>
                <c:pt idx="27">
                  <c:v>161911.4230693065</c:v>
                </c:pt>
                <c:pt idx="28">
                  <c:v>168885.8332796364</c:v>
                </c:pt>
                <c:pt idx="29">
                  <c:v>140279.63579461834</c:v>
                </c:pt>
                <c:pt idx="30">
                  <c:v>170752.71369867865</c:v>
                </c:pt>
                <c:pt idx="31">
                  <c:v>169040.24918310804</c:v>
                </c:pt>
                <c:pt idx="32">
                  <c:v>152875.16668640845</c:v>
                </c:pt>
                <c:pt idx="33">
                  <c:v>142810.47416971222</c:v>
                </c:pt>
                <c:pt idx="34">
                  <c:v>183894.71489253308</c:v>
                </c:pt>
                <c:pt idx="35">
                  <c:v>159301.29475079718</c:v>
                </c:pt>
              </c:numCache>
            </c:numRef>
          </c:val>
          <c:smooth val="0"/>
          <c:extLst>
            <c:ext xmlns:c16="http://schemas.microsoft.com/office/drawing/2014/chart" uri="{C3380CC4-5D6E-409C-BE32-E72D297353CC}">
              <c16:uniqueId val="{00000001-AD49-45B0-BB5F-653903764F0F}"/>
            </c:ext>
          </c:extLst>
        </c:ser>
        <c:ser>
          <c:idx val="1"/>
          <c:order val="1"/>
          <c:tx>
            <c:v>TOTAL (MMBTU)</c:v>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Data'!$I$15:$I$50</c:f>
              <c:numCache>
                <c:formatCode>##,##0</c:formatCode>
                <c:ptCount val="36"/>
                <c:pt idx="0">
                  <c:v>248672.248291578</c:v>
                </c:pt>
                <c:pt idx="1">
                  <c:v>223189.50579527998</c:v>
                </c:pt>
                <c:pt idx="2">
                  <c:v>236187.68380724601</c:v>
                </c:pt>
                <c:pt idx="3">
                  <c:v>147420.977975238</c:v>
                </c:pt>
                <c:pt idx="4">
                  <c:v>156465.10612174601</c:v>
                </c:pt>
                <c:pt idx="5">
                  <c:v>198639.54745770397</c:v>
                </c:pt>
                <c:pt idx="6">
                  <c:v>235632.95847476201</c:v>
                </c:pt>
                <c:pt idx="7">
                  <c:v>217875.58105974799</c:v>
                </c:pt>
                <c:pt idx="8">
                  <c:v>235884.023958048</c:v>
                </c:pt>
                <c:pt idx="9">
                  <c:v>229589.05616885002</c:v>
                </c:pt>
                <c:pt idx="10">
                  <c:v>231756.20474297</c:v>
                </c:pt>
                <c:pt idx="11">
                  <c:v>233391.27678712603</c:v>
                </c:pt>
                <c:pt idx="12">
                  <c:v>240615.71743413602</c:v>
                </c:pt>
                <c:pt idx="13">
                  <c:v>223286.01905970403</c:v>
                </c:pt>
                <c:pt idx="14">
                  <c:v>162403.84814678601</c:v>
                </c:pt>
                <c:pt idx="15">
                  <c:v>166456.57943036</c:v>
                </c:pt>
                <c:pt idx="16">
                  <c:v>191329.96722261599</c:v>
                </c:pt>
                <c:pt idx="17">
                  <c:v>152120.28966547799</c:v>
                </c:pt>
                <c:pt idx="18">
                  <c:v>151991.103677426</c:v>
                </c:pt>
                <c:pt idx="19">
                  <c:v>149069.80126693999</c:v>
                </c:pt>
                <c:pt idx="20">
                  <c:v>145992.310667718</c:v>
                </c:pt>
                <c:pt idx="21">
                  <c:v>152471.10099451401</c:v>
                </c:pt>
                <c:pt idx="22">
                  <c:v>151686.80132512201</c:v>
                </c:pt>
                <c:pt idx="23">
                  <c:v>137248.364547954</c:v>
                </c:pt>
                <c:pt idx="24">
                  <c:v>152108.64461539802</c:v>
                </c:pt>
                <c:pt idx="25">
                  <c:v>135144.76240622002</c:v>
                </c:pt>
                <c:pt idx="26">
                  <c:v>112035.740184814</c:v>
                </c:pt>
                <c:pt idx="27">
                  <c:v>142844.614718686</c:v>
                </c:pt>
                <c:pt idx="28">
                  <c:v>150300.080265686</c:v>
                </c:pt>
                <c:pt idx="29">
                  <c:v>127606.110294454</c:v>
                </c:pt>
                <c:pt idx="30">
                  <c:v>151125.72733762802</c:v>
                </c:pt>
                <c:pt idx="31">
                  <c:v>154776.63558838199</c:v>
                </c:pt>
                <c:pt idx="32">
                  <c:v>141872.271504848</c:v>
                </c:pt>
                <c:pt idx="33">
                  <c:v>144913.22025176001</c:v>
                </c:pt>
                <c:pt idx="34">
                  <c:v>138718.438024534</c:v>
                </c:pt>
                <c:pt idx="35">
                  <c:v>141980.06452591001</c:v>
                </c:pt>
              </c:numCache>
            </c:numRef>
          </c:val>
          <c:smooth val="0"/>
          <c:extLst>
            <c:ext xmlns:c16="http://schemas.microsoft.com/office/drawing/2014/chart" uri="{C3380CC4-5D6E-409C-BE32-E72D297353CC}">
              <c16:uniqueId val="{00000002-AD49-45B0-BB5F-653903764F0F}"/>
            </c:ext>
          </c:extLst>
        </c:ser>
        <c:dLbls>
          <c:showLegendKey val="0"/>
          <c:showVal val="0"/>
          <c:showCatName val="0"/>
          <c:showSerName val="0"/>
          <c:showPercent val="0"/>
          <c:showBubbleSize val="0"/>
        </c:dLbls>
        <c:smooth val="0"/>
        <c:axId val="712541440"/>
        <c:axId val="712546032"/>
      </c:lineChart>
      <c:catAx>
        <c:axId val="712541440"/>
        <c:scaling>
          <c:orientation val="minMax"/>
        </c:scaling>
        <c:delete val="0"/>
        <c:axPos val="b"/>
        <c:title>
          <c:tx>
            <c:rich>
              <a:bodyPr/>
              <a:lstStyle/>
              <a:p>
                <a:pPr>
                  <a:defRPr/>
                </a:pPr>
                <a:r>
                  <a:rPr lang="en-US"/>
                  <a:t>Time Period</a:t>
                </a:r>
              </a:p>
            </c:rich>
          </c:tx>
          <c:overlay val="0"/>
        </c:title>
        <c:numFmt formatCode="General" sourceLinked="1"/>
        <c:majorTickMark val="out"/>
        <c:minorTickMark val="none"/>
        <c:tickLblPos val="nextTo"/>
        <c:crossAx val="712546032"/>
        <c:crosses val="autoZero"/>
        <c:auto val="1"/>
        <c:lblAlgn val="ctr"/>
        <c:lblOffset val="100"/>
        <c:tickLblSkip val="6"/>
        <c:tickMarkSkip val="6"/>
        <c:noMultiLvlLbl val="0"/>
      </c:catAx>
      <c:valAx>
        <c:axId val="712546032"/>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712541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tx>
            <c:v>Energy Performance Indicator (forecast)</c:v>
          </c:tx>
          <c:spPr>
            <a:ln w="19050">
              <a:noFill/>
            </a:ln>
          </c:spPr>
          <c:marker>
            <c:symbol val="circle"/>
            <c:size val="5"/>
            <c:spPr>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Data'!$V$26:$V$50</c:f>
              <c:numCache>
                <c:formatCode>0.00</c:formatCode>
                <c:ptCount val="25"/>
                <c:pt idx="0">
                  <c:v>1</c:v>
                </c:pt>
                <c:pt idx="1">
                  <c:v>1.0040754206682285</c:v>
                </c:pt>
                <c:pt idx="2">
                  <c:v>1.0032492910330737</c:v>
                </c:pt>
                <c:pt idx="3">
                  <c:v>1.0006636096546697</c:v>
                </c:pt>
                <c:pt idx="4">
                  <c:v>1.0106061871508345</c:v>
                </c:pt>
                <c:pt idx="5">
                  <c:v>1.0131742786993707</c:v>
                </c:pt>
                <c:pt idx="6">
                  <c:v>1.001881759469238</c:v>
                </c:pt>
                <c:pt idx="7">
                  <c:v>0.99319800478891795</c:v>
                </c:pt>
                <c:pt idx="8">
                  <c:v>0.99269855738868806</c:v>
                </c:pt>
                <c:pt idx="9">
                  <c:v>0.98335025632556616</c:v>
                </c:pt>
                <c:pt idx="10">
                  <c:v>0.97678178016309603</c:v>
                </c:pt>
                <c:pt idx="11">
                  <c:v>0.95925133054497203</c:v>
                </c:pt>
                <c:pt idx="12">
                  <c:v>0.96350639362628465</c:v>
                </c:pt>
                <c:pt idx="13">
                  <c:v>0.95713699055173851</c:v>
                </c:pt>
                <c:pt idx="14">
                  <c:v>0.94784875798359458</c:v>
                </c:pt>
                <c:pt idx="15">
                  <c:v>0.94961582955992352</c:v>
                </c:pt>
                <c:pt idx="16">
                  <c:v>0.93792326699029649</c:v>
                </c:pt>
                <c:pt idx="17">
                  <c:v>0.92722618985463068</c:v>
                </c:pt>
                <c:pt idx="18">
                  <c:v>0.92675200184779283</c:v>
                </c:pt>
                <c:pt idx="19">
                  <c:v>0.92140302020841736</c:v>
                </c:pt>
                <c:pt idx="20">
                  <c:v>0.92494212398131226</c:v>
                </c:pt>
                <c:pt idx="21">
                  <c:v>0.92592761473798657</c:v>
                </c:pt>
                <c:pt idx="22">
                  <c:v>0.9362397651349198</c:v>
                </c:pt>
                <c:pt idx="23">
                  <c:v>0.91993597755757262</c:v>
                </c:pt>
                <c:pt idx="24">
                  <c:v>0.90693167437658273</c:v>
                </c:pt>
              </c:numCache>
            </c:numRef>
          </c:yVal>
          <c:smooth val="0"/>
          <c:extLst>
            <c:ext xmlns:c16="http://schemas.microsoft.com/office/drawing/2014/chart" uri="{C3380CC4-5D6E-409C-BE32-E72D297353CC}">
              <c16:uniqueId val="{00000001-6E73-4109-90BE-EA6622312BB8}"/>
            </c:ext>
          </c:extLst>
        </c:ser>
        <c:dLbls>
          <c:showLegendKey val="0"/>
          <c:showVal val="0"/>
          <c:showCatName val="0"/>
          <c:showSerName val="0"/>
          <c:showPercent val="0"/>
          <c:showBubbleSize val="0"/>
        </c:dLbls>
        <c:axId val="712537832"/>
        <c:axId val="712540784"/>
      </c:scatterChart>
      <c:valAx>
        <c:axId val="712537832"/>
        <c:scaling>
          <c:orientation val="minMax"/>
          <c:min val="25"/>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712540784"/>
        <c:crosses val="autoZero"/>
        <c:crossBetween val="midCat"/>
      </c:valAx>
      <c:valAx>
        <c:axId val="712540784"/>
        <c:scaling>
          <c:orientation val="minMax"/>
        </c:scaling>
        <c:delete val="0"/>
        <c:axPos val="l"/>
        <c:majorGridlines/>
        <c:title>
          <c:tx>
            <c:rich>
              <a:bodyPr/>
              <a:lstStyle/>
              <a:p>
                <a:pPr>
                  <a:defRPr/>
                </a:pPr>
                <a:r>
                  <a:rPr lang="en-US"/>
                  <a:t>Trailing Twelve Month EnPI(TTM)</a:t>
                </a:r>
              </a:p>
            </c:rich>
          </c:tx>
          <c:overlay val="0"/>
        </c:title>
        <c:numFmt formatCode="0.00" sourceLinked="1"/>
        <c:majorTickMark val="out"/>
        <c:minorTickMark val="none"/>
        <c:tickLblPos val="nextTo"/>
        <c:crossAx val="7125378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Actual Energy Consumption (TTM)</c:v>
          </c:tx>
          <c:spPr>
            <a:ln w="19050">
              <a:noFill/>
            </a:ln>
          </c:spPr>
          <c:marker>
            <c:symbol val="x"/>
            <c:size val="5"/>
            <c:spPr>
              <a:ln>
                <a:solidFill>
                  <a:srgbClr val="7D60A0"/>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Data'!$X$26:$X$50</c:f>
              <c:numCache>
                <c:formatCode>##,##0</c:formatCode>
                <c:ptCount val="25"/>
                <c:pt idx="0">
                  <c:v>2594704.1706402958</c:v>
                </c:pt>
                <c:pt idx="1">
                  <c:v>2586647.6397828544</c:v>
                </c:pt>
                <c:pt idx="2">
                  <c:v>2586744.1530472785</c:v>
                </c:pt>
                <c:pt idx="3">
                  <c:v>2512960.3173868181</c:v>
                </c:pt>
                <c:pt idx="4">
                  <c:v>2531995.9188419399</c:v>
                </c:pt>
                <c:pt idx="5">
                  <c:v>2566860.7799428096</c:v>
                </c:pt>
                <c:pt idx="6">
                  <c:v>2520341.5221505836</c:v>
                </c:pt>
                <c:pt idx="7">
                  <c:v>2436699.6673532478</c:v>
                </c:pt>
                <c:pt idx="8">
                  <c:v>2367893.8875604398</c:v>
                </c:pt>
                <c:pt idx="9">
                  <c:v>2278002.1742701097</c:v>
                </c:pt>
                <c:pt idx="10">
                  <c:v>2200884.2190957745</c:v>
                </c:pt>
                <c:pt idx="11">
                  <c:v>2120814.8156779264</c:v>
                </c:pt>
                <c:pt idx="12">
                  <c:v>2024671.9034387544</c:v>
                </c:pt>
                <c:pt idx="13">
                  <c:v>1936164.8306200162</c:v>
                </c:pt>
                <c:pt idx="14">
                  <c:v>1848023.573966532</c:v>
                </c:pt>
                <c:pt idx="15">
                  <c:v>1797655.46600456</c:v>
                </c:pt>
                <c:pt idx="16">
                  <c:v>1774043.5012928862</c:v>
                </c:pt>
                <c:pt idx="17">
                  <c:v>1733013.6143359561</c:v>
                </c:pt>
                <c:pt idx="18">
                  <c:v>1708499.434964932</c:v>
                </c:pt>
                <c:pt idx="19">
                  <c:v>1707634.0586251342</c:v>
                </c:pt>
                <c:pt idx="20">
                  <c:v>1713340.8929465758</c:v>
                </c:pt>
                <c:pt idx="21">
                  <c:v>1709220.853783706</c:v>
                </c:pt>
                <c:pt idx="22">
                  <c:v>1701662.9730409521</c:v>
                </c:pt>
                <c:pt idx="23">
                  <c:v>1688694.6097403639</c:v>
                </c:pt>
                <c:pt idx="24">
                  <c:v>1693426.3097183199</c:v>
                </c:pt>
              </c:numCache>
            </c:numRef>
          </c:yVal>
          <c:smooth val="0"/>
          <c:extLst>
            <c:ext xmlns:c16="http://schemas.microsoft.com/office/drawing/2014/chart" uri="{C3380CC4-5D6E-409C-BE32-E72D297353CC}">
              <c16:uniqueId val="{00000001-B612-454C-A882-24F7FB803C1E}"/>
            </c:ext>
          </c:extLst>
        </c:ser>
        <c:ser>
          <c:idx val="1"/>
          <c:order val="1"/>
          <c:tx>
            <c:v>Actual Energy Consumption to meet 5% target</c:v>
          </c:tx>
          <c:spPr>
            <a:ln w="19050">
              <a:noFill/>
            </a:ln>
          </c:spPr>
          <c:marker>
            <c:symbol val="diamond"/>
            <c:size val="5"/>
            <c:spPr>
              <a:solidFill>
                <a:srgbClr val="4F81BD"/>
              </a:solidFill>
              <a:ln>
                <a:solidFill>
                  <a:srgbClr val="4F81BD"/>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Data'!$Y$26:$Y$50</c:f>
              <c:numCache>
                <c:formatCode>##,##0</c:formatCode>
                <c:ptCount val="25"/>
                <c:pt idx="0">
                  <c:v>2464968.962108281</c:v>
                </c:pt>
                <c:pt idx="1">
                  <c:v>2447341.3124268376</c:v>
                </c:pt>
                <c:pt idx="2">
                  <c:v>2449447.9760503536</c:v>
                </c:pt>
                <c:pt idx="3">
                  <c:v>2385729.1086475523</c:v>
                </c:pt>
                <c:pt idx="4">
                  <c:v>2380151.7875932357</c:v>
                </c:pt>
                <c:pt idx="5">
                  <c:v>2406809.7584119844</c:v>
                </c:pt>
                <c:pt idx="6">
                  <c:v>2389827.3657676768</c:v>
                </c:pt>
                <c:pt idx="7">
                  <c:v>2330718.2181437812</c:v>
                </c:pt>
                <c:pt idx="8">
                  <c:v>2266044.5876941406</c:v>
                </c:pt>
                <c:pt idx="9">
                  <c:v>2200743.8871710799</c:v>
                </c:pt>
                <c:pt idx="10">
                  <c:v>2140539.5254115737</c:v>
                </c:pt>
                <c:pt idx="11">
                  <c:v>2100360.9906377634</c:v>
                </c:pt>
                <c:pt idx="12">
                  <c:v>1996290.1346484066</c:v>
                </c:pt>
                <c:pt idx="13">
                  <c:v>1921727.6181424398</c:v>
                </c:pt>
                <c:pt idx="14">
                  <c:v>1852217.8569954848</c:v>
                </c:pt>
                <c:pt idx="15">
                  <c:v>1798382.7138767873</c:v>
                </c:pt>
                <c:pt idx="16">
                  <c:v>1796886.1478789586</c:v>
                </c:pt>
                <c:pt idx="17">
                  <c:v>1775578.549908381</c:v>
                </c:pt>
                <c:pt idx="18">
                  <c:v>1751357.9252923531</c:v>
                </c:pt>
                <c:pt idx="19">
                  <c:v>1760632.7742738796</c:v>
                </c:pt>
                <c:pt idx="20">
                  <c:v>1759757.509251609</c:v>
                </c:pt>
                <c:pt idx="21">
                  <c:v>1753657.3974564981</c:v>
                </c:pt>
                <c:pt idx="22">
                  <c:v>1726672.8936213707</c:v>
                </c:pt>
                <c:pt idx="23">
                  <c:v>1743882.0943960156</c:v>
                </c:pt>
                <c:pt idx="24">
                  <c:v>1773843.6529281531</c:v>
                </c:pt>
              </c:numCache>
            </c:numRef>
          </c:yVal>
          <c:smooth val="0"/>
          <c:extLst>
            <c:ext xmlns:c16="http://schemas.microsoft.com/office/drawing/2014/chart" uri="{C3380CC4-5D6E-409C-BE32-E72D297353CC}">
              <c16:uniqueId val="{00000002-B612-454C-A882-24F7FB803C1E}"/>
            </c:ext>
          </c:extLst>
        </c:ser>
        <c:ser>
          <c:idx val="2"/>
          <c:order val="2"/>
          <c:tx>
            <c:v>Actual Energy Consumption to meet 10% target</c:v>
          </c:tx>
          <c:spPr>
            <a:ln w="19050">
              <a:noFill/>
            </a:ln>
          </c:spPr>
          <c:marker>
            <c:symbol val="square"/>
            <c:size val="5"/>
            <c:spPr>
              <a:solidFill>
                <a:srgbClr val="C0504D"/>
              </a:solidFill>
              <a:ln>
                <a:solidFill>
                  <a:srgbClr val="C0504D"/>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Data'!$Z$26:$Z$50</c:f>
              <c:numCache>
                <c:formatCode>##,##0</c:formatCode>
                <c:ptCount val="25"/>
                <c:pt idx="0">
                  <c:v>2335233.7535762666</c:v>
                </c:pt>
                <c:pt idx="1">
                  <c:v>2318533.8749306886</c:v>
                </c:pt>
                <c:pt idx="2">
                  <c:v>2320529.6615213878</c:v>
                </c:pt>
                <c:pt idx="3">
                  <c:v>2260164.4187187338</c:v>
                </c:pt>
                <c:pt idx="4">
                  <c:v>2254880.6408778024</c:v>
                </c:pt>
                <c:pt idx="5">
                  <c:v>2280135.5606008274</c:v>
                </c:pt>
                <c:pt idx="6">
                  <c:v>2264046.9780956944</c:v>
                </c:pt>
                <c:pt idx="7">
                  <c:v>2208048.838241477</c:v>
                </c:pt>
                <c:pt idx="8">
                  <c:v>2146779.0830786596</c:v>
                </c:pt>
                <c:pt idx="9">
                  <c:v>2084915.2615304969</c:v>
                </c:pt>
                <c:pt idx="10">
                  <c:v>2027879.550389912</c:v>
                </c:pt>
                <c:pt idx="11">
                  <c:v>1989815.6753410392</c:v>
                </c:pt>
                <c:pt idx="12">
                  <c:v>1891222.2328248066</c:v>
                </c:pt>
                <c:pt idx="13">
                  <c:v>1820584.0592928377</c:v>
                </c:pt>
                <c:pt idx="14">
                  <c:v>1754732.7066273014</c:v>
                </c:pt>
                <c:pt idx="15">
                  <c:v>1703730.9920937987</c:v>
                </c:pt>
                <c:pt idx="16">
                  <c:v>1702313.1927274344</c:v>
                </c:pt>
                <c:pt idx="17">
                  <c:v>1682127.0472816241</c:v>
                </c:pt>
                <c:pt idx="18">
                  <c:v>1659181.1923822293</c:v>
                </c:pt>
                <c:pt idx="19">
                  <c:v>1667967.8914173597</c:v>
                </c:pt>
                <c:pt idx="20">
                  <c:v>1667138.6929752086</c:v>
                </c:pt>
                <c:pt idx="21">
                  <c:v>1661359.6396956299</c:v>
                </c:pt>
                <c:pt idx="22">
                  <c:v>1635795.3729044567</c:v>
                </c:pt>
                <c:pt idx="23">
                  <c:v>1652098.8262699095</c:v>
                </c:pt>
                <c:pt idx="24">
                  <c:v>1680483.4606687766</c:v>
                </c:pt>
              </c:numCache>
            </c:numRef>
          </c:yVal>
          <c:smooth val="0"/>
          <c:extLst>
            <c:ext xmlns:c16="http://schemas.microsoft.com/office/drawing/2014/chart" uri="{C3380CC4-5D6E-409C-BE32-E72D297353CC}">
              <c16:uniqueId val="{00000003-B612-454C-A882-24F7FB803C1E}"/>
            </c:ext>
          </c:extLst>
        </c:ser>
        <c:ser>
          <c:idx val="3"/>
          <c:order val="3"/>
          <c:tx>
            <c:v>Actual Energy Consumption to meet 15% target</c:v>
          </c:tx>
          <c:spPr>
            <a:ln w="19050">
              <a:noFill/>
            </a:ln>
          </c:spPr>
          <c:marker>
            <c:symbol val="triangle"/>
            <c:size val="5"/>
            <c:spPr>
              <a:solidFill>
                <a:srgbClr val="9BBB59"/>
              </a:solidFill>
              <a:ln>
                <a:solidFill>
                  <a:srgbClr val="9BBB59"/>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Data'!$AA$26:$AA$50</c:f>
              <c:numCache>
                <c:formatCode>##,##0</c:formatCode>
                <c:ptCount val="25"/>
                <c:pt idx="0">
                  <c:v>2205498.5450442513</c:v>
                </c:pt>
                <c:pt idx="1">
                  <c:v>2189726.4374345387</c:v>
                </c:pt>
                <c:pt idx="2">
                  <c:v>2191611.3469924214</c:v>
                </c:pt>
                <c:pt idx="3">
                  <c:v>2134599.7287899153</c:v>
                </c:pt>
                <c:pt idx="4">
                  <c:v>2129609.4941623686</c:v>
                </c:pt>
                <c:pt idx="5">
                  <c:v>2153461.36278967</c:v>
                </c:pt>
                <c:pt idx="6">
                  <c:v>2138266.5904237111</c:v>
                </c:pt>
                <c:pt idx="7">
                  <c:v>2085379.4583391724</c:v>
                </c:pt>
                <c:pt idx="8">
                  <c:v>2027513.5784631784</c:v>
                </c:pt>
                <c:pt idx="9">
                  <c:v>1969086.6358899137</c:v>
                </c:pt>
                <c:pt idx="10">
                  <c:v>1915219.57536825</c:v>
                </c:pt>
                <c:pt idx="11">
                  <c:v>1879270.3600443145</c:v>
                </c:pt>
                <c:pt idx="12">
                  <c:v>1786154.3310012061</c:v>
                </c:pt>
                <c:pt idx="13">
                  <c:v>1719440.5004432357</c:v>
                </c:pt>
                <c:pt idx="14">
                  <c:v>1657247.556259118</c:v>
                </c:pt>
                <c:pt idx="15">
                  <c:v>1609079.2703108098</c:v>
                </c:pt>
                <c:pt idx="16">
                  <c:v>1607740.2375759103</c:v>
                </c:pt>
                <c:pt idx="17">
                  <c:v>1588675.5446548671</c:v>
                </c:pt>
                <c:pt idx="18">
                  <c:v>1567004.4594721054</c:v>
                </c:pt>
                <c:pt idx="19">
                  <c:v>1575303.0085608398</c:v>
                </c:pt>
                <c:pt idx="20">
                  <c:v>1574519.876698808</c:v>
                </c:pt>
                <c:pt idx="21">
                  <c:v>1569061.8819347615</c:v>
                </c:pt>
                <c:pt idx="22">
                  <c:v>1544917.8521875422</c:v>
                </c:pt>
                <c:pt idx="23">
                  <c:v>1560315.5581438034</c:v>
                </c:pt>
                <c:pt idx="24">
                  <c:v>1587123.2684094002</c:v>
                </c:pt>
              </c:numCache>
            </c:numRef>
          </c:yVal>
          <c:smooth val="0"/>
          <c:extLst>
            <c:ext xmlns:c16="http://schemas.microsoft.com/office/drawing/2014/chart" uri="{C3380CC4-5D6E-409C-BE32-E72D297353CC}">
              <c16:uniqueId val="{00000004-B612-454C-A882-24F7FB803C1E}"/>
            </c:ext>
          </c:extLst>
        </c:ser>
        <c:dLbls>
          <c:showLegendKey val="0"/>
          <c:showVal val="0"/>
          <c:showCatName val="0"/>
          <c:showSerName val="0"/>
          <c:showPercent val="0"/>
          <c:showBubbleSize val="0"/>
        </c:dLbls>
        <c:axId val="712542424"/>
        <c:axId val="712540128"/>
      </c:scatterChart>
      <c:valAx>
        <c:axId val="712542424"/>
        <c:scaling>
          <c:orientation val="minMax"/>
          <c:min val="25"/>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712540128"/>
        <c:crosses val="autoZero"/>
        <c:crossBetween val="midCat"/>
      </c:valAx>
      <c:valAx>
        <c:axId val="712540128"/>
        <c:scaling>
          <c:orientation val="minMax"/>
        </c:scaling>
        <c:delete val="0"/>
        <c:axPos val="l"/>
        <c:majorGridlines/>
        <c:title>
          <c:tx>
            <c:rich>
              <a:bodyPr/>
              <a:lstStyle/>
              <a:p>
                <a:pPr>
                  <a:defRPr/>
                </a:pPr>
                <a:r>
                  <a:rPr lang="en-US"/>
                  <a:t>Primary 12 months energy consumption across all energy sources (MMBtu)</a:t>
                </a:r>
              </a:p>
            </c:rich>
          </c:tx>
          <c:overlay val="0"/>
        </c:title>
        <c:numFmt formatCode="##,##0" sourceLinked="1"/>
        <c:majorTickMark val="out"/>
        <c:minorTickMark val="none"/>
        <c:tickLblPos val="nextTo"/>
        <c:crossAx val="712542424"/>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Energy savings TTM (MMBTu)</c:v>
          </c:tx>
          <c:spPr>
            <a:ln w="19050">
              <a:noFill/>
            </a:ln>
          </c:spPr>
          <c:marker>
            <c:symbol val="x"/>
            <c:size val="5"/>
            <c:spPr>
              <a:ln>
                <a:solidFill>
                  <a:srgbClr val="7D60A0"/>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Data'!$U$27:$U$50</c:f>
              <c:numCache>
                <c:formatCode>##,##0</c:formatCode>
                <c:ptCount val="24"/>
                <c:pt idx="0">
                  <c:v>-10498.889859867282</c:v>
                </c:pt>
                <c:pt idx="1">
                  <c:v>-8377.8624679590575</c:v>
                </c:pt>
                <c:pt idx="2">
                  <c:v>-1666.5188104473054</c:v>
                </c:pt>
                <c:pt idx="3">
                  <c:v>-26572.984533270821</c:v>
                </c:pt>
                <c:pt idx="4">
                  <c:v>-33376.823719668202</c:v>
                </c:pt>
                <c:pt idx="5">
                  <c:v>-4733.7687109233811</c:v>
                </c:pt>
                <c:pt idx="6">
                  <c:v>16687.930692837574</c:v>
                </c:pt>
                <c:pt idx="7">
                  <c:v>17416.204749181867</c:v>
                </c:pt>
                <c:pt idx="8">
                  <c:v>38570.338541553356</c:v>
                </c:pt>
                <c:pt idx="9">
                  <c:v>52315.281337460969</c:v>
                </c:pt>
                <c:pt idx="10">
                  <c:v>90091.490256561432</c:v>
                </c:pt>
                <c:pt idx="11">
                  <c:v>76686.133033252787</c:v>
                </c:pt>
                <c:pt idx="12">
                  <c:v>86706.346372025786</c:v>
                </c:pt>
                <c:pt idx="13">
                  <c:v>101679.43339713616</c:v>
                </c:pt>
                <c:pt idx="14">
                  <c:v>95378.969655216206</c:v>
                </c:pt>
                <c:pt idx="15">
                  <c:v>117415.60173759656</c:v>
                </c:pt>
                <c:pt idx="16">
                  <c:v>136016.43819918181</c:v>
                </c:pt>
                <c:pt idx="17">
                  <c:v>135035.223237545</c:v>
                </c:pt>
                <c:pt idx="18">
                  <c:v>145663.59850526555</c:v>
                </c:pt>
                <c:pt idx="19">
                  <c:v>139035.43258143379</c:v>
                </c:pt>
                <c:pt idx="20">
                  <c:v>136734.30143366056</c:v>
                </c:pt>
                <c:pt idx="21">
                  <c:v>115887.44129733299</c:v>
                </c:pt>
                <c:pt idx="22">
                  <c:v>146970.75278175785</c:v>
                </c:pt>
                <c:pt idx="23">
                  <c:v>173777.53546920978</c:v>
                </c:pt>
              </c:numCache>
            </c:numRef>
          </c:yVal>
          <c:smooth val="0"/>
          <c:extLst>
            <c:ext xmlns:c16="http://schemas.microsoft.com/office/drawing/2014/chart" uri="{C3380CC4-5D6E-409C-BE32-E72D297353CC}">
              <c16:uniqueId val="{00000001-FFBD-4751-A757-C708A6ED4F14}"/>
            </c:ext>
          </c:extLst>
        </c:ser>
        <c:ser>
          <c:idx val="1"/>
          <c:order val="1"/>
          <c:tx>
            <c:v>5% improvement savings</c:v>
          </c:tx>
          <c:spPr>
            <a:ln w="19050">
              <a:noFill/>
            </a:ln>
          </c:spPr>
          <c:marker>
            <c:symbol val="diamond"/>
            <c:size val="5"/>
            <c:spPr>
              <a:solidFill>
                <a:srgbClr val="4F81BD"/>
              </a:solidFill>
              <a:ln>
                <a:solidFill>
                  <a:srgbClr val="4F81BD"/>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Data'!$AB$27:$AB$50</c:f>
              <c:numCache>
                <c:formatCode>##,##0</c:formatCode>
                <c:ptCount val="24"/>
                <c:pt idx="0">
                  <c:v>128807.43749614945</c:v>
                </c:pt>
                <c:pt idx="1">
                  <c:v>128918.31452896586</c:v>
                </c:pt>
                <c:pt idx="2">
                  <c:v>125564.68992881849</c:v>
                </c:pt>
                <c:pt idx="3">
                  <c:v>125271.14671543334</c:v>
                </c:pt>
                <c:pt idx="4">
                  <c:v>126674.19781115698</c:v>
                </c:pt>
                <c:pt idx="5">
                  <c:v>125780.38767198334</c:v>
                </c:pt>
                <c:pt idx="6">
                  <c:v>122669.37990230415</c:v>
                </c:pt>
                <c:pt idx="7">
                  <c:v>119265.50461548101</c:v>
                </c:pt>
                <c:pt idx="8">
                  <c:v>115828.62564058322</c:v>
                </c:pt>
                <c:pt idx="9">
                  <c:v>112659.97502166172</c:v>
                </c:pt>
                <c:pt idx="10">
                  <c:v>110545.31529672444</c:v>
                </c:pt>
                <c:pt idx="11">
                  <c:v>105067.90182360052</c:v>
                </c:pt>
                <c:pt idx="12">
                  <c:v>101143.55884960224</c:v>
                </c:pt>
                <c:pt idx="13">
                  <c:v>97485.150368183386</c:v>
                </c:pt>
                <c:pt idx="14">
                  <c:v>94651.721782988869</c:v>
                </c:pt>
                <c:pt idx="15">
                  <c:v>94572.955151524162</c:v>
                </c:pt>
                <c:pt idx="16">
                  <c:v>93451.502626756905</c:v>
                </c:pt>
                <c:pt idx="17">
                  <c:v>92176.732910123887</c:v>
                </c:pt>
                <c:pt idx="18">
                  <c:v>92664.882856520126</c:v>
                </c:pt>
                <c:pt idx="19">
                  <c:v>92618.816276400583</c:v>
                </c:pt>
                <c:pt idx="20">
                  <c:v>92297.757760868408</c:v>
                </c:pt>
                <c:pt idx="21">
                  <c:v>90877.520716914441</c:v>
                </c:pt>
                <c:pt idx="22">
                  <c:v>91783.268126106123</c:v>
                </c:pt>
                <c:pt idx="23">
                  <c:v>93360.192259376636</c:v>
                </c:pt>
              </c:numCache>
            </c:numRef>
          </c:yVal>
          <c:smooth val="0"/>
          <c:extLst>
            <c:ext xmlns:c16="http://schemas.microsoft.com/office/drawing/2014/chart" uri="{C3380CC4-5D6E-409C-BE32-E72D297353CC}">
              <c16:uniqueId val="{00000002-FFBD-4751-A757-C708A6ED4F14}"/>
            </c:ext>
          </c:extLst>
        </c:ser>
        <c:ser>
          <c:idx val="2"/>
          <c:order val="2"/>
          <c:tx>
            <c:v>10% improvement savings</c:v>
          </c:tx>
          <c:spPr>
            <a:ln w="19050">
              <a:noFill/>
            </a:ln>
          </c:spPr>
          <c:marker>
            <c:symbol val="square"/>
            <c:size val="5"/>
            <c:spPr>
              <a:solidFill>
                <a:srgbClr val="C0504D"/>
              </a:solidFill>
              <a:ln>
                <a:solidFill>
                  <a:srgbClr val="C0504D"/>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Data'!$AC$27:$AC$50</c:f>
              <c:numCache>
                <c:formatCode>##,##0</c:formatCode>
                <c:ptCount val="24"/>
                <c:pt idx="0">
                  <c:v>257614.87499229843</c:v>
                </c:pt>
                <c:pt idx="1">
                  <c:v>257836.62905793171</c:v>
                </c:pt>
                <c:pt idx="2">
                  <c:v>251129.37985763699</c:v>
                </c:pt>
                <c:pt idx="3">
                  <c:v>250542.29343086667</c:v>
                </c:pt>
                <c:pt idx="4">
                  <c:v>253348.39562231395</c:v>
                </c:pt>
                <c:pt idx="5">
                  <c:v>251560.77534396574</c:v>
                </c:pt>
                <c:pt idx="6">
                  <c:v>245338.7598046083</c:v>
                </c:pt>
                <c:pt idx="7">
                  <c:v>238531.00923096202</c:v>
                </c:pt>
                <c:pt idx="8">
                  <c:v>231657.25128116622</c:v>
                </c:pt>
                <c:pt idx="9">
                  <c:v>225319.95004332345</c:v>
                </c:pt>
                <c:pt idx="10">
                  <c:v>221090.63059344864</c:v>
                </c:pt>
                <c:pt idx="11">
                  <c:v>210135.80364720058</c:v>
                </c:pt>
                <c:pt idx="12">
                  <c:v>202287.11769920425</c:v>
                </c:pt>
                <c:pt idx="13">
                  <c:v>194970.30073636677</c:v>
                </c:pt>
                <c:pt idx="14">
                  <c:v>189303.4435659775</c:v>
                </c:pt>
                <c:pt idx="15">
                  <c:v>189145.91030304832</c:v>
                </c:pt>
                <c:pt idx="16">
                  <c:v>186903.00525351381</c:v>
                </c:pt>
                <c:pt idx="17">
                  <c:v>184353.46582024777</c:v>
                </c:pt>
                <c:pt idx="18">
                  <c:v>185329.76571304002</c:v>
                </c:pt>
                <c:pt idx="19">
                  <c:v>185237.63255280093</c:v>
                </c:pt>
                <c:pt idx="20">
                  <c:v>184595.51552173658</c:v>
                </c:pt>
                <c:pt idx="21">
                  <c:v>181755.04143382842</c:v>
                </c:pt>
                <c:pt idx="22">
                  <c:v>183566.53625221225</c:v>
                </c:pt>
                <c:pt idx="23">
                  <c:v>186720.38451875304</c:v>
                </c:pt>
              </c:numCache>
            </c:numRef>
          </c:yVal>
          <c:smooth val="0"/>
          <c:extLst>
            <c:ext xmlns:c16="http://schemas.microsoft.com/office/drawing/2014/chart" uri="{C3380CC4-5D6E-409C-BE32-E72D297353CC}">
              <c16:uniqueId val="{00000003-FFBD-4751-A757-C708A6ED4F14}"/>
            </c:ext>
          </c:extLst>
        </c:ser>
        <c:ser>
          <c:idx val="3"/>
          <c:order val="3"/>
          <c:tx>
            <c:v>15% improvement savings</c:v>
          </c:tx>
          <c:spPr>
            <a:ln w="19050">
              <a:noFill/>
            </a:ln>
          </c:spPr>
          <c:marker>
            <c:symbol val="triangle"/>
            <c:size val="5"/>
            <c:spPr>
              <a:solidFill>
                <a:srgbClr val="9BBB59"/>
              </a:solidFill>
              <a:ln>
                <a:solidFill>
                  <a:srgbClr val="9BBB59"/>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Data'!$AD$27:$AD$50</c:f>
              <c:numCache>
                <c:formatCode>##,##0</c:formatCode>
                <c:ptCount val="24"/>
                <c:pt idx="0">
                  <c:v>386422.31248844834</c:v>
                </c:pt>
                <c:pt idx="1">
                  <c:v>386754.94358689804</c:v>
                </c:pt>
                <c:pt idx="2">
                  <c:v>376694.06978645548</c:v>
                </c:pt>
                <c:pt idx="3">
                  <c:v>375813.44014630048</c:v>
                </c:pt>
                <c:pt idx="4">
                  <c:v>380022.5934334714</c:v>
                </c:pt>
                <c:pt idx="5">
                  <c:v>377341.16301594907</c:v>
                </c:pt>
                <c:pt idx="6">
                  <c:v>368008.13970691292</c:v>
                </c:pt>
                <c:pt idx="7">
                  <c:v>357796.51384644327</c:v>
                </c:pt>
                <c:pt idx="8">
                  <c:v>347485.87692174944</c:v>
                </c:pt>
                <c:pt idx="9">
                  <c:v>337979.92506498541</c:v>
                </c:pt>
                <c:pt idx="10">
                  <c:v>331635.94589017332</c:v>
                </c:pt>
                <c:pt idx="11">
                  <c:v>315203.7054708011</c:v>
                </c:pt>
                <c:pt idx="12">
                  <c:v>303430.67654880625</c:v>
                </c:pt>
                <c:pt idx="13">
                  <c:v>292455.45110455016</c:v>
                </c:pt>
                <c:pt idx="14">
                  <c:v>283955.16534896637</c:v>
                </c:pt>
                <c:pt idx="15">
                  <c:v>283718.86545457249</c:v>
                </c:pt>
                <c:pt idx="16">
                  <c:v>280354.50788027071</c:v>
                </c:pt>
                <c:pt idx="17">
                  <c:v>276530.19873037166</c:v>
                </c:pt>
                <c:pt idx="18">
                  <c:v>277994.64856955991</c:v>
                </c:pt>
                <c:pt idx="19">
                  <c:v>277856.44882920152</c:v>
                </c:pt>
                <c:pt idx="20">
                  <c:v>276893.27328260499</c:v>
                </c:pt>
                <c:pt idx="21">
                  <c:v>272632.56215074286</c:v>
                </c:pt>
                <c:pt idx="22">
                  <c:v>275349.80437831837</c:v>
                </c:pt>
                <c:pt idx="23">
                  <c:v>280080.57677812944</c:v>
                </c:pt>
              </c:numCache>
            </c:numRef>
          </c:yVal>
          <c:smooth val="0"/>
          <c:extLst>
            <c:ext xmlns:c16="http://schemas.microsoft.com/office/drawing/2014/chart" uri="{C3380CC4-5D6E-409C-BE32-E72D297353CC}">
              <c16:uniqueId val="{00000004-FFBD-4751-A757-C708A6ED4F14}"/>
            </c:ext>
          </c:extLst>
        </c:ser>
        <c:dLbls>
          <c:showLegendKey val="0"/>
          <c:showVal val="0"/>
          <c:showCatName val="0"/>
          <c:showSerName val="0"/>
          <c:showPercent val="0"/>
          <c:showBubbleSize val="0"/>
        </c:dLbls>
        <c:axId val="712543736"/>
        <c:axId val="712545048"/>
      </c:scatterChart>
      <c:valAx>
        <c:axId val="712543736"/>
        <c:scaling>
          <c:orientation val="minMax"/>
          <c:min val="26"/>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712545048"/>
        <c:crosses val="autoZero"/>
        <c:crossBetween val="midCat"/>
      </c:valAx>
      <c:valAx>
        <c:axId val="712545048"/>
        <c:scaling>
          <c:orientation val="minMax"/>
        </c:scaling>
        <c:delete val="0"/>
        <c:axPos val="l"/>
        <c:majorGridlines/>
        <c:title>
          <c:tx>
            <c:rich>
              <a:bodyPr/>
              <a:lstStyle/>
              <a:p>
                <a:pPr>
                  <a:defRPr/>
                </a:pPr>
                <a:r>
                  <a:rPr lang="en-US"/>
                  <a:t>Primary trailing twelve months of energy savings (MMBtu)</a:t>
                </a:r>
              </a:p>
            </c:rich>
          </c:tx>
          <c:overlay val="0"/>
        </c:title>
        <c:numFmt formatCode="##,##0" sourceLinked="1"/>
        <c:majorTickMark val="out"/>
        <c:minorTickMark val="none"/>
        <c:tickLblPos val="nextTo"/>
        <c:crossAx val="7125437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42.3</c:v>
              </c:pt>
              <c:pt idx="1">
                <c:v>49.3</c:v>
              </c:pt>
              <c:pt idx="2">
                <c:v>63.9</c:v>
              </c:pt>
              <c:pt idx="3">
                <c:v>62.3</c:v>
              </c:pt>
              <c:pt idx="4">
                <c:v>74.400000000000006</c:v>
              </c:pt>
              <c:pt idx="5">
                <c:v>81.400000000000006</c:v>
              </c:pt>
              <c:pt idx="6">
                <c:v>83.7</c:v>
              </c:pt>
              <c:pt idx="7">
                <c:v>87.8</c:v>
              </c:pt>
              <c:pt idx="8">
                <c:v>81.599999999999994</c:v>
              </c:pt>
              <c:pt idx="9">
                <c:v>72.099999999999994</c:v>
              </c:pt>
              <c:pt idx="10">
                <c:v>61.3</c:v>
              </c:pt>
              <c:pt idx="11">
                <c:v>49.8</c:v>
              </c:pt>
            </c:numLit>
          </c:xVal>
          <c:yVal>
            <c:numLit>
              <c:formatCode>General</c:formatCode>
              <c:ptCount val="12"/>
              <c:pt idx="0">
                <c:v>157626.14829157799</c:v>
              </c:pt>
              <c:pt idx="1">
                <c:v>143783.70579528</c:v>
              </c:pt>
              <c:pt idx="2">
                <c:v>152610.483807246</c:v>
              </c:pt>
              <c:pt idx="3">
                <c:v>88396.277975238001</c:v>
              </c:pt>
              <c:pt idx="4">
                <c:v>94347.306121746005</c:v>
              </c:pt>
              <c:pt idx="5">
                <c:v>121936.347457704</c:v>
              </c:pt>
              <c:pt idx="6">
                <c:v>150368.358474762</c:v>
              </c:pt>
              <c:pt idx="7">
                <c:v>130668.981059748</c:v>
              </c:pt>
              <c:pt idx="8">
                <c:v>147708.023958048</c:v>
              </c:pt>
              <c:pt idx="9">
                <c:v>145978.85616885</c:v>
              </c:pt>
              <c:pt idx="10">
                <c:v>152280.60474297</c:v>
              </c:pt>
              <c:pt idx="11">
                <c:v>148652.87678712601</c:v>
              </c:pt>
            </c:numLit>
          </c:yVal>
          <c:smooth val="0"/>
          <c:extLst>
            <c:ext xmlns:c16="http://schemas.microsoft.com/office/drawing/2014/chart" uri="{C3380CC4-5D6E-409C-BE32-E72D297353CC}">
              <c16:uniqueId val="{00000003-CCB2-4AEC-B16B-8FC5CD971528}"/>
            </c:ext>
          </c:extLst>
        </c:ser>
        <c:ser>
          <c:idx val="0"/>
          <c:order val="0"/>
          <c:tx>
            <c:strRef>
              <c:f>'1 Electricity (MMBTU)'!$A$2</c:f>
              <c:strCache>
                <c:ptCount val="1"/>
                <c:pt idx="0">
                  <c:v>The best model for the data provided is #1</c:v>
                </c:pt>
              </c:strCache>
            </c:strRef>
          </c:tx>
          <c:yVal>
            <c:numRef>
              <c:f>'1 Electricity (MMBTU)'!$B$2:$G$2</c:f>
            </c:numRef>
          </c:yVal>
          <c:smooth val="0"/>
          <c:extLst>
            <c:ext xmlns:c16="http://schemas.microsoft.com/office/drawing/2014/chart" uri="{C3380CC4-5D6E-409C-BE32-E72D297353CC}">
              <c16:uniqueId val="{00000000-CCB2-4AEC-B16B-8FC5CD971528}"/>
            </c:ext>
          </c:extLst>
        </c:ser>
        <c:dLbls>
          <c:showLegendKey val="0"/>
          <c:showVal val="0"/>
          <c:showCatName val="0"/>
          <c:showSerName val="0"/>
          <c:showPercent val="0"/>
          <c:showBubbleSize val="0"/>
        </c:dLbls>
        <c:axId val="504421632"/>
        <c:axId val="504422288"/>
      </c:scatterChart>
      <c:valAx>
        <c:axId val="504421632"/>
        <c:scaling>
          <c:orientation val="minMax"/>
        </c:scaling>
        <c:delete val="0"/>
        <c:axPos val="b"/>
        <c:title>
          <c:tx>
            <c:rich>
              <a:bodyPr/>
              <a:lstStyle/>
              <a:p>
                <a:pPr>
                  <a:defRPr/>
                </a:pPr>
                <a:r>
                  <a:rPr lang="en-US"/>
                  <a:t>Temperature</a:t>
                </a:r>
              </a:p>
            </c:rich>
          </c:tx>
          <c:overlay val="0"/>
        </c:title>
        <c:numFmt formatCode="###,##0" sourceLinked="0"/>
        <c:majorTickMark val="out"/>
        <c:minorTickMark val="none"/>
        <c:tickLblPos val="nextTo"/>
        <c:crossAx val="504422288"/>
        <c:crosses val="autoZero"/>
        <c:crossBetween val="midCat"/>
      </c:valAx>
      <c:valAx>
        <c:axId val="504422288"/>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44216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157626.14829157799</c:v>
              </c:pt>
              <c:pt idx="1">
                <c:v>143783.70579528</c:v>
              </c:pt>
              <c:pt idx="2">
                <c:v>152610.483807246</c:v>
              </c:pt>
              <c:pt idx="3">
                <c:v>88396.277975238001</c:v>
              </c:pt>
              <c:pt idx="4">
                <c:v>94347.306121746005</c:v>
              </c:pt>
              <c:pt idx="5">
                <c:v>121936.347457704</c:v>
              </c:pt>
              <c:pt idx="6">
                <c:v>150368.358474762</c:v>
              </c:pt>
              <c:pt idx="7">
                <c:v>130668.981059748</c:v>
              </c:pt>
              <c:pt idx="8">
                <c:v>147708.023958048</c:v>
              </c:pt>
              <c:pt idx="9">
                <c:v>145978.85616885</c:v>
              </c:pt>
              <c:pt idx="10">
                <c:v>152280.60474297</c:v>
              </c:pt>
              <c:pt idx="11">
                <c:v>148652.87678712601</c:v>
              </c:pt>
            </c:numLit>
          </c:val>
          <c:smooth val="0"/>
          <c:extLst>
            <c:ext xmlns:c16="http://schemas.microsoft.com/office/drawing/2014/chart" uri="{C3380CC4-5D6E-409C-BE32-E72D297353CC}">
              <c16:uniqueId val="{00000003-DB84-459E-9A17-4CC367A28E27}"/>
            </c:ext>
          </c:extLst>
        </c:ser>
        <c:ser>
          <c:idx val="2"/>
          <c:order val="2"/>
          <c:tx>
            <c:v>Model 1</c:v>
          </c:tx>
          <c:val>
            <c:numLit>
              <c:formatCode>General</c:formatCode>
              <c:ptCount val="12"/>
              <c:pt idx="0">
                <c:v>166205.30520581693</c:v>
              </c:pt>
              <c:pt idx="1">
                <c:v>141155.93397856984</c:v>
              </c:pt>
              <c:pt idx="2">
                <c:v>148088.37925425265</c:v>
              </c:pt>
              <c:pt idx="3">
                <c:v>105751.12725514504</c:v>
              </c:pt>
              <c:pt idx="4">
                <c:v>99988.50033119155</c:v>
              </c:pt>
              <c:pt idx="5">
                <c:v>112571.67686240157</c:v>
              </c:pt>
              <c:pt idx="6">
                <c:v>138561.98893777878</c:v>
              </c:pt>
              <c:pt idx="7">
                <c:v>147849.32941716013</c:v>
              </c:pt>
              <c:pt idx="8">
                <c:v>142066.35782622005</c:v>
              </c:pt>
              <c:pt idx="9">
                <c:v>147762.8645824671</c:v>
              </c:pt>
              <c:pt idx="10">
                <c:v>131644.80216233589</c:v>
              </c:pt>
              <c:pt idx="11">
                <c:v>152711.70482695673</c:v>
              </c:pt>
            </c:numLit>
          </c:val>
          <c:smooth val="0"/>
          <c:extLst>
            <c:ext xmlns:c16="http://schemas.microsoft.com/office/drawing/2014/chart" uri="{C3380CC4-5D6E-409C-BE32-E72D297353CC}">
              <c16:uniqueId val="{00000004-DB84-459E-9A17-4CC367A28E27}"/>
            </c:ext>
          </c:extLst>
        </c:ser>
        <c:ser>
          <c:idx val="0"/>
          <c:order val="0"/>
          <c:tx>
            <c:strRef>
              <c:f>'1 Electricity (MMBTU)'!$A$2</c:f>
              <c:strCache>
                <c:ptCount val="1"/>
                <c:pt idx="0">
                  <c:v>The best model for the data provided is #1</c:v>
                </c:pt>
              </c:strCache>
            </c:strRef>
          </c:tx>
          <c:val>
            <c:numRef>
              <c:f>'1 Electricity (MMBTU)'!$B$2:$G$2</c:f>
            </c:numRef>
          </c:val>
          <c:smooth val="0"/>
          <c:extLst>
            <c:ext xmlns:c16="http://schemas.microsoft.com/office/drawing/2014/chart" uri="{C3380CC4-5D6E-409C-BE32-E72D297353CC}">
              <c16:uniqueId val="{00000000-DB84-459E-9A17-4CC367A28E27}"/>
            </c:ext>
          </c:extLst>
        </c:ser>
        <c:dLbls>
          <c:showLegendKey val="0"/>
          <c:showVal val="0"/>
          <c:showCatName val="0"/>
          <c:showSerName val="0"/>
          <c:showPercent val="0"/>
          <c:showBubbleSize val="0"/>
        </c:dLbls>
        <c:marker val="1"/>
        <c:smooth val="0"/>
        <c:axId val="504433440"/>
        <c:axId val="504433112"/>
      </c:lineChart>
      <c:catAx>
        <c:axId val="504433440"/>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4433112"/>
        <c:crosses val="autoZero"/>
        <c:auto val="1"/>
        <c:lblAlgn val="ctr"/>
        <c:lblOffset val="100"/>
        <c:noMultiLvlLbl val="0"/>
      </c:catAx>
      <c:valAx>
        <c:axId val="504433112"/>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4433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157626.14829157799</c:v>
              </c:pt>
              <c:pt idx="1">
                <c:v>143783.70579528</c:v>
              </c:pt>
              <c:pt idx="2">
                <c:v>152610.483807246</c:v>
              </c:pt>
              <c:pt idx="3">
                <c:v>88396.277975238001</c:v>
              </c:pt>
              <c:pt idx="4">
                <c:v>94347.306121746005</c:v>
              </c:pt>
              <c:pt idx="5">
                <c:v>121936.347457704</c:v>
              </c:pt>
              <c:pt idx="6">
                <c:v>150368.358474762</c:v>
              </c:pt>
              <c:pt idx="7">
                <c:v>130668.981059748</c:v>
              </c:pt>
              <c:pt idx="8">
                <c:v>147708.023958048</c:v>
              </c:pt>
              <c:pt idx="9">
                <c:v>145978.85616885</c:v>
              </c:pt>
              <c:pt idx="10">
                <c:v>152280.60474297</c:v>
              </c:pt>
              <c:pt idx="11">
                <c:v>148652.87678712601</c:v>
              </c:pt>
            </c:numLit>
          </c:val>
          <c:smooth val="0"/>
          <c:extLst>
            <c:ext xmlns:c16="http://schemas.microsoft.com/office/drawing/2014/chart" uri="{C3380CC4-5D6E-409C-BE32-E72D297353CC}">
              <c16:uniqueId val="{00000003-96B1-465B-B483-34E90E6BF108}"/>
            </c:ext>
          </c:extLst>
        </c:ser>
        <c:ser>
          <c:idx val="2"/>
          <c:order val="2"/>
          <c:tx>
            <c:v>Model 3</c:v>
          </c:tx>
          <c:val>
            <c:numLit>
              <c:formatCode>General</c:formatCode>
              <c:ptCount val="12"/>
              <c:pt idx="0">
                <c:v>164687.45377806641</c:v>
              </c:pt>
              <c:pt idx="1">
                <c:v>139679.95620762117</c:v>
              </c:pt>
              <c:pt idx="2">
                <c:v>148045.05128030624</c:v>
              </c:pt>
              <c:pt idx="3">
                <c:v>104605.60501036566</c:v>
              </c:pt>
              <c:pt idx="4">
                <c:v>99768.696919184687</c:v>
              </c:pt>
              <c:pt idx="5">
                <c:v>113249.25643129664</c:v>
              </c:pt>
              <c:pt idx="6">
                <c:v>140031.27672440905</c:v>
              </c:pt>
              <c:pt idx="7">
                <c:v>149887.81125072556</c:v>
              </c:pt>
              <c:pt idx="8">
                <c:v>143431.91320873407</c:v>
              </c:pt>
              <c:pt idx="9">
                <c:v>148428.26222795452</c:v>
              </c:pt>
              <c:pt idx="10">
                <c:v>131000.5943649738</c:v>
              </c:pt>
              <c:pt idx="11">
                <c:v>151542.0932366584</c:v>
              </c:pt>
            </c:numLit>
          </c:val>
          <c:smooth val="0"/>
          <c:extLst>
            <c:ext xmlns:c16="http://schemas.microsoft.com/office/drawing/2014/chart" uri="{C3380CC4-5D6E-409C-BE32-E72D297353CC}">
              <c16:uniqueId val="{00000004-96B1-465B-B483-34E90E6BF108}"/>
            </c:ext>
          </c:extLst>
        </c:ser>
        <c:ser>
          <c:idx val="0"/>
          <c:order val="0"/>
          <c:tx>
            <c:strRef>
              <c:f>'1 Electricity (MMBTU)'!$A$2</c:f>
              <c:strCache>
                <c:ptCount val="1"/>
                <c:pt idx="0">
                  <c:v>The best model for the data provided is #1</c:v>
                </c:pt>
              </c:strCache>
            </c:strRef>
          </c:tx>
          <c:val>
            <c:numRef>
              <c:f>'1 Electricity (MMBTU)'!$B$2:$G$2</c:f>
            </c:numRef>
          </c:val>
          <c:smooth val="0"/>
          <c:extLst>
            <c:ext xmlns:c16="http://schemas.microsoft.com/office/drawing/2014/chart" uri="{C3380CC4-5D6E-409C-BE32-E72D297353CC}">
              <c16:uniqueId val="{00000000-96B1-465B-B483-34E90E6BF108}"/>
            </c:ext>
          </c:extLst>
        </c:ser>
        <c:dLbls>
          <c:showLegendKey val="0"/>
          <c:showVal val="0"/>
          <c:showCatName val="0"/>
          <c:showSerName val="0"/>
          <c:showPercent val="0"/>
          <c:showBubbleSize val="0"/>
        </c:dLbls>
        <c:marker val="1"/>
        <c:smooth val="0"/>
        <c:axId val="504428848"/>
        <c:axId val="504430488"/>
      </c:lineChart>
      <c:catAx>
        <c:axId val="50442884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4430488"/>
        <c:crosses val="autoZero"/>
        <c:auto val="1"/>
        <c:lblAlgn val="ctr"/>
        <c:lblOffset val="100"/>
        <c:noMultiLvlLbl val="0"/>
      </c:catAx>
      <c:valAx>
        <c:axId val="504430488"/>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44288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157626.14829157799</c:v>
              </c:pt>
              <c:pt idx="1">
                <c:v>143783.70579528</c:v>
              </c:pt>
              <c:pt idx="2">
                <c:v>152610.483807246</c:v>
              </c:pt>
              <c:pt idx="3">
                <c:v>88396.277975238001</c:v>
              </c:pt>
              <c:pt idx="4">
                <c:v>94347.306121746005</c:v>
              </c:pt>
              <c:pt idx="5">
                <c:v>121936.347457704</c:v>
              </c:pt>
              <c:pt idx="6">
                <c:v>150368.358474762</c:v>
              </c:pt>
              <c:pt idx="7">
                <c:v>130668.981059748</c:v>
              </c:pt>
              <c:pt idx="8">
                <c:v>147708.023958048</c:v>
              </c:pt>
              <c:pt idx="9">
                <c:v>145978.85616885</c:v>
              </c:pt>
              <c:pt idx="10">
                <c:v>152280.60474297</c:v>
              </c:pt>
              <c:pt idx="11">
                <c:v>148652.87678712601</c:v>
              </c:pt>
            </c:numLit>
          </c:val>
          <c:smooth val="0"/>
          <c:extLst>
            <c:ext xmlns:c16="http://schemas.microsoft.com/office/drawing/2014/chart" uri="{C3380CC4-5D6E-409C-BE32-E72D297353CC}">
              <c16:uniqueId val="{00000003-2645-40A4-96E7-17F0DDFC5A2C}"/>
            </c:ext>
          </c:extLst>
        </c:ser>
        <c:ser>
          <c:idx val="2"/>
          <c:order val="2"/>
          <c:tx>
            <c:v>Model 2</c:v>
          </c:tx>
          <c:val>
            <c:numLit>
              <c:formatCode>General</c:formatCode>
              <c:ptCount val="12"/>
              <c:pt idx="0">
                <c:v>146008.44800135482</c:v>
              </c:pt>
              <c:pt idx="1">
                <c:v>143282.00460859353</c:v>
              </c:pt>
              <c:pt idx="2">
                <c:v>137595.42267512003</c:v>
              </c:pt>
              <c:pt idx="3">
                <c:v>138218.6097363226</c:v>
              </c:pt>
              <c:pt idx="4">
                <c:v>133505.75758597814</c:v>
              </c:pt>
              <c:pt idx="5">
                <c:v>130779.31419321685</c:v>
              </c:pt>
              <c:pt idx="6">
                <c:v>129883.48279273814</c:v>
              </c:pt>
              <c:pt idx="7">
                <c:v>128286.56594840654</c:v>
              </c:pt>
              <c:pt idx="8">
                <c:v>130701.41581056653</c:v>
              </c:pt>
              <c:pt idx="9">
                <c:v>134401.58898645683</c:v>
              </c:pt>
              <c:pt idx="10">
                <c:v>138608.10164957421</c:v>
              </c:pt>
              <c:pt idx="11">
                <c:v>143087.25865196774</c:v>
              </c:pt>
            </c:numLit>
          </c:val>
          <c:smooth val="0"/>
          <c:extLst>
            <c:ext xmlns:c16="http://schemas.microsoft.com/office/drawing/2014/chart" uri="{C3380CC4-5D6E-409C-BE32-E72D297353CC}">
              <c16:uniqueId val="{00000004-2645-40A4-96E7-17F0DDFC5A2C}"/>
            </c:ext>
          </c:extLst>
        </c:ser>
        <c:ser>
          <c:idx val="0"/>
          <c:order val="0"/>
          <c:tx>
            <c:strRef>
              <c:f>'1 Electricity (MMBTU)'!$A$2</c:f>
              <c:strCache>
                <c:ptCount val="1"/>
                <c:pt idx="0">
                  <c:v>The best model for the data provided is #1</c:v>
                </c:pt>
              </c:strCache>
            </c:strRef>
          </c:tx>
          <c:val>
            <c:numRef>
              <c:f>'1 Electricity (MMBTU)'!$B$2:$G$2</c:f>
            </c:numRef>
          </c:val>
          <c:smooth val="0"/>
          <c:extLst>
            <c:ext xmlns:c16="http://schemas.microsoft.com/office/drawing/2014/chart" uri="{C3380CC4-5D6E-409C-BE32-E72D297353CC}">
              <c16:uniqueId val="{00000000-2645-40A4-96E7-17F0DDFC5A2C}"/>
            </c:ext>
          </c:extLst>
        </c:ser>
        <c:dLbls>
          <c:showLegendKey val="0"/>
          <c:showVal val="0"/>
          <c:showCatName val="0"/>
          <c:showSerName val="0"/>
          <c:showPercent val="0"/>
          <c:showBubbleSize val="0"/>
        </c:dLbls>
        <c:marker val="1"/>
        <c:smooth val="0"/>
        <c:axId val="504429504"/>
        <c:axId val="504426880"/>
      </c:lineChart>
      <c:catAx>
        <c:axId val="504429504"/>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4426880"/>
        <c:crosses val="autoZero"/>
        <c:auto val="1"/>
        <c:lblAlgn val="ctr"/>
        <c:lblOffset val="100"/>
        <c:noMultiLvlLbl val="0"/>
      </c:catAx>
      <c:valAx>
        <c:axId val="504426880"/>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44295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28724</c:v>
              </c:pt>
              <c:pt idx="1">
                <c:v>23799</c:v>
              </c:pt>
              <c:pt idx="2">
                <c:v>25162</c:v>
              </c:pt>
              <c:pt idx="3">
                <c:v>16838</c:v>
              </c:pt>
              <c:pt idx="4">
                <c:v>15705</c:v>
              </c:pt>
              <c:pt idx="5">
                <c:v>18179</c:v>
              </c:pt>
              <c:pt idx="6">
                <c:v>23289</c:v>
              </c:pt>
              <c:pt idx="7">
                <c:v>25115</c:v>
              </c:pt>
              <c:pt idx="8">
                <c:v>23978</c:v>
              </c:pt>
              <c:pt idx="9">
                <c:v>25098</c:v>
              </c:pt>
              <c:pt idx="10">
                <c:v>21929</c:v>
              </c:pt>
              <c:pt idx="11">
                <c:v>26071</c:v>
              </c:pt>
            </c:numLit>
          </c:xVal>
          <c:yVal>
            <c:numLit>
              <c:formatCode>General</c:formatCode>
              <c:ptCount val="12"/>
              <c:pt idx="0">
                <c:v>91046.1</c:v>
              </c:pt>
              <c:pt idx="1">
                <c:v>79405.8</c:v>
              </c:pt>
              <c:pt idx="2">
                <c:v>83577.2</c:v>
              </c:pt>
              <c:pt idx="3">
                <c:v>59024.7</c:v>
              </c:pt>
              <c:pt idx="4">
                <c:v>62117.8</c:v>
              </c:pt>
              <c:pt idx="5">
                <c:v>76703.199999999997</c:v>
              </c:pt>
              <c:pt idx="6">
                <c:v>85264.6</c:v>
              </c:pt>
              <c:pt idx="7">
                <c:v>87206.6</c:v>
              </c:pt>
              <c:pt idx="8">
                <c:v>88176</c:v>
              </c:pt>
              <c:pt idx="9">
                <c:v>83610.2</c:v>
              </c:pt>
              <c:pt idx="10">
                <c:v>79475.600000000006</c:v>
              </c:pt>
              <c:pt idx="11">
                <c:v>84738.4</c:v>
              </c:pt>
            </c:numLit>
          </c:yVal>
          <c:smooth val="0"/>
          <c:extLst>
            <c:ext xmlns:c16="http://schemas.microsoft.com/office/drawing/2014/chart" uri="{C3380CC4-5D6E-409C-BE32-E72D297353CC}">
              <c16:uniqueId val="{00000003-60EE-416D-BD15-3F859B5B6456}"/>
            </c:ext>
          </c:extLst>
        </c:ser>
        <c:ser>
          <c:idx val="0"/>
          <c:order val="0"/>
          <c:tx>
            <c:strRef>
              <c:f>'1 Natural gas (MMBTU)'!$A$2</c:f>
              <c:strCache>
                <c:ptCount val="1"/>
                <c:pt idx="0">
                  <c:v>The best model for the data provided is #3</c:v>
                </c:pt>
              </c:strCache>
            </c:strRef>
          </c:tx>
          <c:yVal>
            <c:numRef>
              <c:f>'1 Natural gas (MMBTU)'!$B$2:$G$2</c:f>
            </c:numRef>
          </c:yVal>
          <c:smooth val="0"/>
          <c:extLst>
            <c:ext xmlns:c16="http://schemas.microsoft.com/office/drawing/2014/chart" uri="{C3380CC4-5D6E-409C-BE32-E72D297353CC}">
              <c16:uniqueId val="{00000000-60EE-416D-BD15-3F859B5B6456}"/>
            </c:ext>
          </c:extLst>
        </c:ser>
        <c:dLbls>
          <c:showLegendKey val="0"/>
          <c:showVal val="0"/>
          <c:showCatName val="0"/>
          <c:showSerName val="0"/>
          <c:showPercent val="0"/>
          <c:showBubbleSize val="0"/>
        </c:dLbls>
        <c:axId val="504431472"/>
        <c:axId val="504426224"/>
      </c:scatterChart>
      <c:valAx>
        <c:axId val="504431472"/>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504426224"/>
        <c:crosses val="autoZero"/>
        <c:crossBetween val="midCat"/>
      </c:valAx>
      <c:valAx>
        <c:axId val="504426224"/>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5044314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42.3</c:v>
              </c:pt>
              <c:pt idx="1">
                <c:v>49.3</c:v>
              </c:pt>
              <c:pt idx="2">
                <c:v>63.9</c:v>
              </c:pt>
              <c:pt idx="3">
                <c:v>62.3</c:v>
              </c:pt>
              <c:pt idx="4">
                <c:v>74.400000000000006</c:v>
              </c:pt>
              <c:pt idx="5">
                <c:v>81.400000000000006</c:v>
              </c:pt>
              <c:pt idx="6">
                <c:v>83.7</c:v>
              </c:pt>
              <c:pt idx="7">
                <c:v>87.8</c:v>
              </c:pt>
              <c:pt idx="8">
                <c:v>81.599999999999994</c:v>
              </c:pt>
              <c:pt idx="9">
                <c:v>72.099999999999994</c:v>
              </c:pt>
              <c:pt idx="10">
                <c:v>61.3</c:v>
              </c:pt>
              <c:pt idx="11">
                <c:v>49.8</c:v>
              </c:pt>
            </c:numLit>
          </c:xVal>
          <c:yVal>
            <c:numLit>
              <c:formatCode>General</c:formatCode>
              <c:ptCount val="12"/>
              <c:pt idx="0">
                <c:v>91046.1</c:v>
              </c:pt>
              <c:pt idx="1">
                <c:v>79405.8</c:v>
              </c:pt>
              <c:pt idx="2">
                <c:v>83577.2</c:v>
              </c:pt>
              <c:pt idx="3">
                <c:v>59024.7</c:v>
              </c:pt>
              <c:pt idx="4">
                <c:v>62117.8</c:v>
              </c:pt>
              <c:pt idx="5">
                <c:v>76703.199999999997</c:v>
              </c:pt>
              <c:pt idx="6">
                <c:v>85264.6</c:v>
              </c:pt>
              <c:pt idx="7">
                <c:v>87206.6</c:v>
              </c:pt>
              <c:pt idx="8">
                <c:v>88176</c:v>
              </c:pt>
              <c:pt idx="9">
                <c:v>83610.2</c:v>
              </c:pt>
              <c:pt idx="10">
                <c:v>79475.600000000006</c:v>
              </c:pt>
              <c:pt idx="11">
                <c:v>84738.4</c:v>
              </c:pt>
            </c:numLit>
          </c:yVal>
          <c:smooth val="0"/>
          <c:extLst>
            <c:ext xmlns:c16="http://schemas.microsoft.com/office/drawing/2014/chart" uri="{C3380CC4-5D6E-409C-BE32-E72D297353CC}">
              <c16:uniqueId val="{00000003-05F1-4039-A771-D31A2999C4A5}"/>
            </c:ext>
          </c:extLst>
        </c:ser>
        <c:ser>
          <c:idx val="0"/>
          <c:order val="0"/>
          <c:tx>
            <c:strRef>
              <c:f>'1 Natural gas (MMBTU)'!$A$2</c:f>
              <c:strCache>
                <c:ptCount val="1"/>
                <c:pt idx="0">
                  <c:v>The best model for the data provided is #3</c:v>
                </c:pt>
              </c:strCache>
            </c:strRef>
          </c:tx>
          <c:yVal>
            <c:numRef>
              <c:f>'1 Natural gas (MMBTU)'!$B$2:$G$2</c:f>
            </c:numRef>
          </c:yVal>
          <c:smooth val="0"/>
          <c:extLst>
            <c:ext xmlns:c16="http://schemas.microsoft.com/office/drawing/2014/chart" uri="{C3380CC4-5D6E-409C-BE32-E72D297353CC}">
              <c16:uniqueId val="{00000000-05F1-4039-A771-D31A2999C4A5}"/>
            </c:ext>
          </c:extLst>
        </c:ser>
        <c:dLbls>
          <c:showLegendKey val="0"/>
          <c:showVal val="0"/>
          <c:showCatName val="0"/>
          <c:showSerName val="0"/>
          <c:showPercent val="0"/>
          <c:showBubbleSize val="0"/>
        </c:dLbls>
        <c:axId val="504432456"/>
        <c:axId val="504432784"/>
      </c:scatterChart>
      <c:valAx>
        <c:axId val="504432456"/>
        <c:scaling>
          <c:orientation val="minMax"/>
        </c:scaling>
        <c:delete val="0"/>
        <c:axPos val="b"/>
        <c:title>
          <c:tx>
            <c:rich>
              <a:bodyPr/>
              <a:lstStyle/>
              <a:p>
                <a:pPr>
                  <a:defRPr/>
                </a:pPr>
                <a:r>
                  <a:rPr lang="en-US"/>
                  <a:t>Temperature</a:t>
                </a:r>
              </a:p>
            </c:rich>
          </c:tx>
          <c:overlay val="0"/>
        </c:title>
        <c:numFmt formatCode="###,##0" sourceLinked="0"/>
        <c:majorTickMark val="out"/>
        <c:minorTickMark val="none"/>
        <c:tickLblPos val="nextTo"/>
        <c:crossAx val="504432784"/>
        <c:crosses val="autoZero"/>
        <c:crossBetween val="midCat"/>
      </c:valAx>
      <c:valAx>
        <c:axId val="504432784"/>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5044324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91046.1</c:v>
              </c:pt>
              <c:pt idx="1">
                <c:v>79405.8</c:v>
              </c:pt>
              <c:pt idx="2">
                <c:v>83577.2</c:v>
              </c:pt>
              <c:pt idx="3">
                <c:v>59024.7</c:v>
              </c:pt>
              <c:pt idx="4">
                <c:v>62117.8</c:v>
              </c:pt>
              <c:pt idx="5">
                <c:v>76703.199999999997</c:v>
              </c:pt>
              <c:pt idx="6">
                <c:v>85264.6</c:v>
              </c:pt>
              <c:pt idx="7">
                <c:v>87206.6</c:v>
              </c:pt>
              <c:pt idx="8">
                <c:v>88176</c:v>
              </c:pt>
              <c:pt idx="9">
                <c:v>83610.2</c:v>
              </c:pt>
              <c:pt idx="10">
                <c:v>79475.600000000006</c:v>
              </c:pt>
              <c:pt idx="11">
                <c:v>84738.4</c:v>
              </c:pt>
            </c:numLit>
          </c:val>
          <c:smooth val="0"/>
          <c:extLst>
            <c:ext xmlns:c16="http://schemas.microsoft.com/office/drawing/2014/chart" uri="{C3380CC4-5D6E-409C-BE32-E72D297353CC}">
              <c16:uniqueId val="{00000003-2F27-4E69-A1AA-D969B2836787}"/>
            </c:ext>
          </c:extLst>
        </c:ser>
        <c:ser>
          <c:idx val="2"/>
          <c:order val="2"/>
          <c:tx>
            <c:v>Model 3</c:v>
          </c:tx>
          <c:val>
            <c:numLit>
              <c:formatCode>General</c:formatCode>
              <c:ptCount val="12"/>
              <c:pt idx="0">
                <c:v>89804.76975836308</c:v>
              </c:pt>
              <c:pt idx="1">
                <c:v>78677.194455548408</c:v>
              </c:pt>
              <c:pt idx="2">
                <c:v>85254.736049861996</c:v>
              </c:pt>
              <c:pt idx="3">
                <c:v>63606.492026319203</c:v>
              </c:pt>
              <c:pt idx="4">
                <c:v>63265.360844479961</c:v>
              </c:pt>
              <c:pt idx="5">
                <c:v>71079.555363522217</c:v>
              </c:pt>
              <c:pt idx="6">
                <c:v>84647.880541716135</c:v>
              </c:pt>
              <c:pt idx="7">
                <c:v>90189.75641996543</c:v>
              </c:pt>
              <c:pt idx="8">
                <c:v>85967.557983954757</c:v>
              </c:pt>
              <c:pt idx="9">
                <c:v>86825.36215991911</c:v>
              </c:pt>
              <c:pt idx="10">
                <c:v>76428.158360271598</c:v>
              </c:pt>
              <c:pt idx="11">
                <c:v>84599.376036078073</c:v>
              </c:pt>
            </c:numLit>
          </c:val>
          <c:smooth val="0"/>
          <c:extLst>
            <c:ext xmlns:c16="http://schemas.microsoft.com/office/drawing/2014/chart" uri="{C3380CC4-5D6E-409C-BE32-E72D297353CC}">
              <c16:uniqueId val="{00000004-2F27-4E69-A1AA-D969B2836787}"/>
            </c:ext>
          </c:extLst>
        </c:ser>
        <c:ser>
          <c:idx val="0"/>
          <c:order val="0"/>
          <c:tx>
            <c:strRef>
              <c:f>'1 Natural gas (MMBTU)'!$A$2</c:f>
              <c:strCache>
                <c:ptCount val="1"/>
                <c:pt idx="0">
                  <c:v>The best model for the data provided is #3</c:v>
                </c:pt>
              </c:strCache>
            </c:strRef>
          </c:tx>
          <c:val>
            <c:numRef>
              <c:f>'1 Natural gas (MMBTU)'!$B$2:$G$2</c:f>
            </c:numRef>
          </c:val>
          <c:smooth val="0"/>
          <c:extLst>
            <c:ext xmlns:c16="http://schemas.microsoft.com/office/drawing/2014/chart" uri="{C3380CC4-5D6E-409C-BE32-E72D297353CC}">
              <c16:uniqueId val="{00000000-2F27-4E69-A1AA-D969B2836787}"/>
            </c:ext>
          </c:extLst>
        </c:ser>
        <c:dLbls>
          <c:showLegendKey val="0"/>
          <c:showVal val="0"/>
          <c:showCatName val="0"/>
          <c:showSerName val="0"/>
          <c:showPercent val="0"/>
          <c:showBubbleSize val="0"/>
        </c:dLbls>
        <c:marker val="1"/>
        <c:smooth val="0"/>
        <c:axId val="500932408"/>
        <c:axId val="500935032"/>
      </c:lineChart>
      <c:catAx>
        <c:axId val="50093240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0935032"/>
        <c:crosses val="autoZero"/>
        <c:auto val="1"/>
        <c:lblAlgn val="ctr"/>
        <c:lblOffset val="100"/>
        <c:noMultiLvlLbl val="0"/>
      </c:catAx>
      <c:valAx>
        <c:axId val="500935032"/>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5009324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91046.1</c:v>
              </c:pt>
              <c:pt idx="1">
                <c:v>79405.8</c:v>
              </c:pt>
              <c:pt idx="2">
                <c:v>83577.2</c:v>
              </c:pt>
              <c:pt idx="3">
                <c:v>59024.7</c:v>
              </c:pt>
              <c:pt idx="4">
                <c:v>62117.8</c:v>
              </c:pt>
              <c:pt idx="5">
                <c:v>76703.199999999997</c:v>
              </c:pt>
              <c:pt idx="6">
                <c:v>85264.6</c:v>
              </c:pt>
              <c:pt idx="7">
                <c:v>87206.6</c:v>
              </c:pt>
              <c:pt idx="8">
                <c:v>88176</c:v>
              </c:pt>
              <c:pt idx="9">
                <c:v>83610.2</c:v>
              </c:pt>
              <c:pt idx="10">
                <c:v>79475.600000000006</c:v>
              </c:pt>
              <c:pt idx="11">
                <c:v>84738.4</c:v>
              </c:pt>
            </c:numLit>
          </c:val>
          <c:smooth val="0"/>
          <c:extLst>
            <c:ext xmlns:c16="http://schemas.microsoft.com/office/drawing/2014/chart" uri="{C3380CC4-5D6E-409C-BE32-E72D297353CC}">
              <c16:uniqueId val="{00000003-ABC9-469E-BAA9-E607FA9CD2EC}"/>
            </c:ext>
          </c:extLst>
        </c:ser>
        <c:ser>
          <c:idx val="2"/>
          <c:order val="2"/>
          <c:tx>
            <c:v>Model 1</c:v>
          </c:tx>
          <c:val>
            <c:numLit>
              <c:formatCode>General</c:formatCode>
              <c:ptCount val="12"/>
              <c:pt idx="0">
                <c:v>93481.032863587243</c:v>
              </c:pt>
              <c:pt idx="1">
                <c:v>82252.038820593414</c:v>
              </c:pt>
              <c:pt idx="2">
                <c:v>85359.677171984396</c:v>
              </c:pt>
              <c:pt idx="3">
                <c:v>66380.967240231956</c:v>
              </c:pt>
              <c:pt idx="4">
                <c:v>63797.728610645769</c:v>
              </c:pt>
              <c:pt idx="5">
                <c:v>69438.445618232916</c:v>
              </c:pt>
              <c:pt idx="6">
                <c:v>81089.239437461045</c:v>
              </c:pt>
              <c:pt idx="7">
                <c:v>85252.517228832978</c:v>
              </c:pt>
              <c:pt idx="8">
                <c:v>82660.158604084951</c:v>
              </c:pt>
              <c:pt idx="9">
                <c:v>85213.757249395232</c:v>
              </c:pt>
              <c:pt idx="10">
                <c:v>77988.441082441423</c:v>
              </c:pt>
              <c:pt idx="11">
                <c:v>87432.196072508523</c:v>
              </c:pt>
            </c:numLit>
          </c:val>
          <c:smooth val="0"/>
          <c:extLst>
            <c:ext xmlns:c16="http://schemas.microsoft.com/office/drawing/2014/chart" uri="{C3380CC4-5D6E-409C-BE32-E72D297353CC}">
              <c16:uniqueId val="{00000004-ABC9-469E-BAA9-E607FA9CD2EC}"/>
            </c:ext>
          </c:extLst>
        </c:ser>
        <c:ser>
          <c:idx val="0"/>
          <c:order val="0"/>
          <c:tx>
            <c:strRef>
              <c:f>'1 Natural gas (MMBTU)'!$A$2</c:f>
              <c:strCache>
                <c:ptCount val="1"/>
                <c:pt idx="0">
                  <c:v>The best model for the data provided is #3</c:v>
                </c:pt>
              </c:strCache>
            </c:strRef>
          </c:tx>
          <c:val>
            <c:numRef>
              <c:f>'1 Natural gas (MMBTU)'!$B$2:$G$2</c:f>
            </c:numRef>
          </c:val>
          <c:smooth val="0"/>
          <c:extLst>
            <c:ext xmlns:c16="http://schemas.microsoft.com/office/drawing/2014/chart" uri="{C3380CC4-5D6E-409C-BE32-E72D297353CC}">
              <c16:uniqueId val="{00000000-ABC9-469E-BAA9-E607FA9CD2EC}"/>
            </c:ext>
          </c:extLst>
        </c:ser>
        <c:dLbls>
          <c:showLegendKey val="0"/>
          <c:showVal val="0"/>
          <c:showCatName val="0"/>
          <c:showSerName val="0"/>
          <c:showPercent val="0"/>
          <c:showBubbleSize val="0"/>
        </c:dLbls>
        <c:marker val="1"/>
        <c:smooth val="0"/>
        <c:axId val="496746912"/>
        <c:axId val="496748552"/>
      </c:lineChart>
      <c:catAx>
        <c:axId val="496746912"/>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496748552"/>
        <c:crosses val="autoZero"/>
        <c:auto val="1"/>
        <c:lblAlgn val="ctr"/>
        <c:lblOffset val="100"/>
        <c:noMultiLvlLbl val="0"/>
      </c:catAx>
      <c:valAx>
        <c:axId val="496748552"/>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49674691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127000</xdr:colOff>
      <xdr:row>15</xdr:row>
      <xdr:rowOff>0</xdr:rowOff>
    </xdr:from>
    <xdr:to>
      <xdr:col>6</xdr:col>
      <xdr:colOff>892175</xdr:colOff>
      <xdr:row>15</xdr:row>
      <xdr:rowOff>3098800</xdr:rowOff>
    </xdr:to>
    <xdr:graphicFrame macro="">
      <xdr:nvGraphicFramePr>
        <xdr:cNvPr id="2" name="Chart 1">
          <a:extLst>
            <a:ext uri="{FF2B5EF4-FFF2-40B4-BE49-F238E27FC236}">
              <a16:creationId xmlns:a16="http://schemas.microsoft.com/office/drawing/2014/main" id="{B25F4F25-5B6B-461A-87CB-E1009934A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16</xdr:row>
      <xdr:rowOff>0</xdr:rowOff>
    </xdr:from>
    <xdr:to>
      <xdr:col>6</xdr:col>
      <xdr:colOff>892175</xdr:colOff>
      <xdr:row>16</xdr:row>
      <xdr:rowOff>3098800</xdr:rowOff>
    </xdr:to>
    <xdr:graphicFrame macro="">
      <xdr:nvGraphicFramePr>
        <xdr:cNvPr id="3" name="Chart 2">
          <a:extLst>
            <a:ext uri="{FF2B5EF4-FFF2-40B4-BE49-F238E27FC236}">
              <a16:creationId xmlns:a16="http://schemas.microsoft.com/office/drawing/2014/main" id="{B1427AF2-CF75-4317-A1E4-6D8DDEA1F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4" name="Model 1">
          <a:extLst>
            <a:ext uri="{FF2B5EF4-FFF2-40B4-BE49-F238E27FC236}">
              <a16:creationId xmlns:a16="http://schemas.microsoft.com/office/drawing/2014/main" id="{90E8638F-BCF5-4D64-B457-0D424C25E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5" name="Model 3" hidden="1">
          <a:extLst>
            <a:ext uri="{FF2B5EF4-FFF2-40B4-BE49-F238E27FC236}">
              <a16:creationId xmlns:a16="http://schemas.microsoft.com/office/drawing/2014/main" id="{02D557C6-DDB6-4AFF-9549-CFF5E2D4B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6" name="Model 2" hidden="1">
          <a:extLst>
            <a:ext uri="{FF2B5EF4-FFF2-40B4-BE49-F238E27FC236}">
              <a16:creationId xmlns:a16="http://schemas.microsoft.com/office/drawing/2014/main" id="{44A64BD9-D2DD-4103-A3C9-8DD994C3C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15</xdr:row>
      <xdr:rowOff>0</xdr:rowOff>
    </xdr:from>
    <xdr:to>
      <xdr:col>6</xdr:col>
      <xdr:colOff>892175</xdr:colOff>
      <xdr:row>15</xdr:row>
      <xdr:rowOff>3098800</xdr:rowOff>
    </xdr:to>
    <xdr:graphicFrame macro="">
      <xdr:nvGraphicFramePr>
        <xdr:cNvPr id="2" name="Chart 1">
          <a:extLst>
            <a:ext uri="{FF2B5EF4-FFF2-40B4-BE49-F238E27FC236}">
              <a16:creationId xmlns:a16="http://schemas.microsoft.com/office/drawing/2014/main" id="{5FDC7E41-24E3-4AF3-BE5D-A3E4A8468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16</xdr:row>
      <xdr:rowOff>0</xdr:rowOff>
    </xdr:from>
    <xdr:to>
      <xdr:col>6</xdr:col>
      <xdr:colOff>892175</xdr:colOff>
      <xdr:row>16</xdr:row>
      <xdr:rowOff>3098800</xdr:rowOff>
    </xdr:to>
    <xdr:graphicFrame macro="">
      <xdr:nvGraphicFramePr>
        <xdr:cNvPr id="3" name="Chart 2">
          <a:extLst>
            <a:ext uri="{FF2B5EF4-FFF2-40B4-BE49-F238E27FC236}">
              <a16:creationId xmlns:a16="http://schemas.microsoft.com/office/drawing/2014/main" id="{8BE42C01-F84F-4113-BDC8-A7618AAA4C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4" name="Model 3">
          <a:extLst>
            <a:ext uri="{FF2B5EF4-FFF2-40B4-BE49-F238E27FC236}">
              <a16:creationId xmlns:a16="http://schemas.microsoft.com/office/drawing/2014/main" id="{F561DE74-2F44-475B-8254-C4174B85D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5" name="Model 1" hidden="1">
          <a:extLst>
            <a:ext uri="{FF2B5EF4-FFF2-40B4-BE49-F238E27FC236}">
              <a16:creationId xmlns:a16="http://schemas.microsoft.com/office/drawing/2014/main" id="{093388A0-B4E9-4834-9A88-7BD833D48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15</xdr:row>
      <xdr:rowOff>0</xdr:rowOff>
    </xdr:from>
    <xdr:to>
      <xdr:col>16</xdr:col>
      <xdr:colOff>53975</xdr:colOff>
      <xdr:row>15</xdr:row>
      <xdr:rowOff>3098800</xdr:rowOff>
    </xdr:to>
    <xdr:graphicFrame macro="">
      <xdr:nvGraphicFramePr>
        <xdr:cNvPr id="6" name="Model 2" hidden="1">
          <a:extLst>
            <a:ext uri="{FF2B5EF4-FFF2-40B4-BE49-F238E27FC236}">
              <a16:creationId xmlns:a16="http://schemas.microsoft.com/office/drawing/2014/main" id="{B235551F-7A8E-4400-BB6A-669BA7056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7</xdr:col>
      <xdr:colOff>196850</xdr:colOff>
      <xdr:row>0</xdr:row>
      <xdr:rowOff>2501900</xdr:rowOff>
    </xdr:to>
    <xdr:sp macro="" textlink="">
      <xdr:nvSpPr>
        <xdr:cNvPr id="2" name="TextBox 1">
          <a:extLst>
            <a:ext uri="{FF2B5EF4-FFF2-40B4-BE49-F238E27FC236}">
              <a16:creationId xmlns:a16="http://schemas.microsoft.com/office/drawing/2014/main" id="{2BE0BF20-E7E2-42F5-BE2D-979B230AF795}"/>
            </a:ext>
          </a:extLst>
        </xdr:cNvPr>
        <xdr:cNvSpPr txBox="1"/>
      </xdr:nvSpPr>
      <xdr:spPr>
        <a:xfrm>
          <a:off x="12700" y="12700"/>
          <a:ext cx="8890000" cy="248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Rochester
Original and Modeled Values
The table below shows the energy and independent variable data originally entered in the tool, the adjusted data, adjustment method, and totals. The data used for the model year is highlighted in green. 
If a new model is selected for an individual energy source, the adjusted values below will be updated. The EnPI/SEnPI results pages are also linked to this page. Therefore, if changes are made to the adjusted data in the columns below, the results shown in the EnPI and SEnPI pages will update. However, this data is not linked to the orginal source data, so changes made to this page will not affect the data originally entered.
</a:t>
          </a:r>
        </a:p>
        <a:p>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22</xdr:row>
      <xdr:rowOff>0</xdr:rowOff>
    </xdr:from>
    <xdr:to>
      <xdr:col>2</xdr:col>
      <xdr:colOff>225425</xdr:colOff>
      <xdr:row>22</xdr:row>
      <xdr:rowOff>3098800</xdr:rowOff>
    </xdr:to>
    <xdr:graphicFrame macro="">
      <xdr:nvGraphicFramePr>
        <xdr:cNvPr id="2" name="Chart 1">
          <a:extLst>
            <a:ext uri="{FF2B5EF4-FFF2-40B4-BE49-F238E27FC236}">
              <a16:creationId xmlns:a16="http://schemas.microsoft.com/office/drawing/2014/main" id="{5F0F4A6C-AD85-4B24-9FFC-5DB62B2ED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225425</xdr:colOff>
      <xdr:row>22</xdr:row>
      <xdr:rowOff>0</xdr:rowOff>
    </xdr:from>
    <xdr:to>
      <xdr:col>11</xdr:col>
      <xdr:colOff>504825</xdr:colOff>
      <xdr:row>22</xdr:row>
      <xdr:rowOff>3098800</xdr:rowOff>
    </xdr:to>
    <xdr:graphicFrame macro="">
      <xdr:nvGraphicFramePr>
        <xdr:cNvPr id="3" name="Chart 2">
          <a:extLst>
            <a:ext uri="{FF2B5EF4-FFF2-40B4-BE49-F238E27FC236}">
              <a16:creationId xmlns:a16="http://schemas.microsoft.com/office/drawing/2014/main" id="{8ACE8871-D032-439F-9CEE-796F67878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18</xdr:row>
      <xdr:rowOff>0</xdr:rowOff>
    </xdr:from>
    <xdr:to>
      <xdr:col>5</xdr:col>
      <xdr:colOff>381000</xdr:colOff>
      <xdr:row>18</xdr:row>
      <xdr:rowOff>3098800</xdr:rowOff>
    </xdr:to>
    <xdr:graphicFrame macro="">
      <xdr:nvGraphicFramePr>
        <xdr:cNvPr id="2" name="Chart 1">
          <a:extLst>
            <a:ext uri="{FF2B5EF4-FFF2-40B4-BE49-F238E27FC236}">
              <a16:creationId xmlns:a16="http://schemas.microsoft.com/office/drawing/2014/main" id="{39C332FD-0CDE-4BBC-BD1D-7AFB419D3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20</xdr:row>
      <xdr:rowOff>0</xdr:rowOff>
    </xdr:from>
    <xdr:to>
      <xdr:col>5</xdr:col>
      <xdr:colOff>381000</xdr:colOff>
      <xdr:row>20</xdr:row>
      <xdr:rowOff>3098800</xdr:rowOff>
    </xdr:to>
    <xdr:graphicFrame macro="">
      <xdr:nvGraphicFramePr>
        <xdr:cNvPr id="3" name="Chart 2">
          <a:extLst>
            <a:ext uri="{FF2B5EF4-FFF2-40B4-BE49-F238E27FC236}">
              <a16:creationId xmlns:a16="http://schemas.microsoft.com/office/drawing/2014/main" id="{D7FF2EAE-2A14-4BC7-A3E1-D023B486F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22</xdr:row>
      <xdr:rowOff>0</xdr:rowOff>
    </xdr:from>
    <xdr:to>
      <xdr:col>5</xdr:col>
      <xdr:colOff>381000</xdr:colOff>
      <xdr:row>22</xdr:row>
      <xdr:rowOff>3098800</xdr:rowOff>
    </xdr:to>
    <xdr:graphicFrame macro="">
      <xdr:nvGraphicFramePr>
        <xdr:cNvPr id="4" name="Chart 3">
          <a:extLst>
            <a:ext uri="{FF2B5EF4-FFF2-40B4-BE49-F238E27FC236}">
              <a16:creationId xmlns:a16="http://schemas.microsoft.com/office/drawing/2014/main" id="{C20AFCDF-2ABD-47E6-BD56-60DAE37FA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24</xdr:row>
      <xdr:rowOff>0</xdr:rowOff>
    </xdr:from>
    <xdr:to>
      <xdr:col>5</xdr:col>
      <xdr:colOff>381000</xdr:colOff>
      <xdr:row>24</xdr:row>
      <xdr:rowOff>3098800</xdr:rowOff>
    </xdr:to>
    <xdr:graphicFrame macro="">
      <xdr:nvGraphicFramePr>
        <xdr:cNvPr id="5" name="Chart 4">
          <a:extLst>
            <a:ext uri="{FF2B5EF4-FFF2-40B4-BE49-F238E27FC236}">
              <a16:creationId xmlns:a16="http://schemas.microsoft.com/office/drawing/2014/main" id="{D706B5E2-DA04-4B22-A350-8D026CCA8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D523C7-C24A-44B1-AA0A-6E8FBAEF5055}" name="Table11" displayName="Table11" ref="A1:D8" totalsRowShown="0">
  <autoFilter ref="A1:D8" xr:uid="{A347FFCD-11C0-44C9-9D58-B027B938230C}"/>
  <tableColumns count="4">
    <tableColumn id="1" xr3:uid="{B4D197D9-1D08-4526-833B-ABEEA9F6254B}" name="Column1"/>
    <tableColumn id="2" xr3:uid="{C5B52AEA-7953-429D-A4D8-1AE5F73419E0}" name="Column2"/>
    <tableColumn id="3" xr3:uid="{C65A3092-B52F-4E1D-A736-0B08586EA8D9}" name="Column3"/>
    <tableColumn id="4" xr3:uid="{506E1175-3BE4-478E-B716-2FF5E46440FE}" name="Column4"/>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D0C48C4-97F7-40A1-A3A2-FE742F8A092E}" name="SEPFacilityIdentificationData Table9" displayName="SEPFacilityIdentificationData_Table9" ref="E5:F12" totalsRowShown="0" headerRowDxfId="17" dataDxfId="16">
  <tableColumns count="2">
    <tableColumn id="1" xr3:uid="{74DD885E-71E7-4609-9609-E7F56157389C}" name="Facility identifying information" dataDxfId="19"/>
    <tableColumn id="2" xr3:uid="{DB51C33E-D2E3-4429-8AC1-1C2FD4BA9911}" name="  " dataDxfId="18"/>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80B41B-D984-463E-BB1B-ABE58DF43901}" name="ModelTable10" displayName="ModelTable10" ref="A29:I30" insertRow="1" totalsRowShown="0" headerRowDxfId="1" dataDxfId="0">
  <autoFilter ref="A29:I30" xr:uid="{607EAAF0-E21B-4FE3-BA1C-55830EF32E9C}"/>
  <tableColumns count="9">
    <tableColumn id="1" xr3:uid="{F17BBD93-990F-4A0B-A0F9-1A498F1AC7BC}" name="Energy Use" dataDxfId="10"/>
    <tableColumn id="2" xr3:uid="{39342CB9-9C44-497E-815C-1F244F62AD99}" name="Model is Appropriate for SEP" dataDxfId="9"/>
    <tableColumn id="3" xr3:uid="{F816171A-7849-4EA5-9837-1E62A9056FDB}" name="Relevant Variables" dataDxfId="8"/>
    <tableColumn id="4" xr3:uid="{E49871AD-CC57-4457-8F64-B09D0C5AEDA8}" name="SEP Validation Check" dataDxfId="7"/>
    <tableColumn id="5" xr3:uid="{FF92B15E-FD6B-4317-8B71-1BA7372051BB}" name="Variable p-Values" dataDxfId="6"/>
    <tableColumn id="6" xr3:uid="{DAF511C8-21C2-48E6-825C-C6C7DF712FED}" name="R2" dataDxfId="5"/>
    <tableColumn id="7" xr3:uid="{1C681999-DC24-48F3-A522-A0F23F1C2F37}" name="Adjusted R2" dataDxfId="4"/>
    <tableColumn id="8" xr3:uid="{5CDE4299-46AB-4258-B0F5-28B0D0C972E7}" name="Model p-Value" dataDxfId="3"/>
    <tableColumn id="9" xr3:uid="{B9474AE0-0397-423B-B11D-D6A4D4A874E2}" name="Formula" data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1E6737-D043-407A-B36F-9B88799F0A5D}" name="Table1" displayName="Table1" ref="A1:H37" totalsRowShown="0" headerRowDxfId="76" dataDxfId="77">
  <autoFilter ref="A1:H37" xr:uid="{57CFD102-0364-4245-833B-214C07585A18}"/>
  <tableColumns count="8">
    <tableColumn id="1" xr3:uid="{81192B1E-26C3-4F70-931D-3BEE972553E8}" name="Date" dataDxfId="84"/>
    <tableColumn id="2" xr3:uid="{727F4237-595C-429A-A84F-D4CA1E719AC1}" name="Electricity (kWh)" dataDxfId="83"/>
    <tableColumn id="3" xr3:uid="{91BB8149-2278-451C-B6B7-62BAE3F46C24}" name="Electricity (MMBTU)" dataDxfId="82"/>
    <tableColumn id="4" xr3:uid="{2F0BAE7C-93D9-4ACF-86B8-2222EE7C30A1}" name="Natural gas (therms)" dataDxfId="81"/>
    <tableColumn id="5" xr3:uid="{FD8DC4A3-B96F-48D2-9534-E1E82A1EF692}" name="Natural gas (MMBTU)" dataDxfId="80"/>
    <tableColumn id="6" xr3:uid="{373A2A70-4179-425B-9402-43695C706DAD}" name="Production" dataDxfId="79"/>
    <tableColumn id="7" xr3:uid="{F542E21F-0EB1-4420-8DD4-046FD9DEC4BA}" name="Temperature" dataDxfId="78"/>
    <tableColumn id="8" xr3:uid="{7B96C191-E27E-4DDF-B658-086B684129A9}" name="Period"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923753-50E5-4362-AF39-84C01E0D09BA}" name="Table2" displayName="Table2" ref="A6:N13" totalsRowShown="0" tableBorderDxfId="74">
  <autoFilter ref="A6:N13" xr:uid="{66CB0997-1328-4B0C-B7A1-A6114858C654}"/>
  <tableColumns count="14">
    <tableColumn id="1" xr3:uid="{EBBCB5D0-4F26-4363-A3E6-B0A07E2DE063}" name="Model Number"/>
    <tableColumn id="2" xr3:uid="{911BAD2D-F34E-4654-B115-59FEA5302505}" name="Model is Appropriate for SEP"/>
    <tableColumn id="3" xr3:uid="{2505EBF5-E400-4581-A4EE-449326F20D21}" name="Variables"/>
    <tableColumn id="4" xr3:uid="{E8339A56-588D-4FE8-A6CC-9811022CED51}" name="SEP Validation Check"/>
    <tableColumn id="5" xr3:uid="{B079C66D-C2D6-4A46-B636-A8105D2039A6}" name="Coefficients"/>
    <tableColumn id="6" xr3:uid="{749B4A1A-8287-4E29-BEF6-CFA1306F9865}" name="Variable Std. Error"/>
    <tableColumn id="7" xr3:uid="{224B5B30-7D60-4CEB-BFDF-EA927453F8F5}" name="Variable p-Values" dataDxfId="73"/>
    <tableColumn id="8" xr3:uid="{E8ED88F3-B1CB-4307-AD24-3D28C5593FC0}" name="R2" dataDxfId="72"/>
    <tableColumn id="9" xr3:uid="{9A2F53BA-7A5B-4198-A05B-F42AF1F3F594}" name="Adjusted R2" dataDxfId="71"/>
    <tableColumn id="10" xr3:uid="{95D76530-37F9-44F6-BDA4-F645BDB7093F}" name="Model p-Value" dataDxfId="70"/>
    <tableColumn id="11" xr3:uid="{8CC879F7-2FAC-486D-859A-2377A7632BD3}" name="RMSError"/>
    <tableColumn id="12" xr3:uid="{E5A8926E-9B95-414B-B5F6-EAAC52326988}" name="Residual"/>
    <tableColumn id="13" xr3:uid="{F00BE57B-2A9E-4FC9-B10A-FBF07AB03A45}" name="AIC"/>
    <tableColumn id="14" xr3:uid="{6A5E4F56-6925-44AD-BE9E-E4944D6AF022}" name="Formula"/>
  </tableColumns>
  <tableStyleInfo name="TableStyleLight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270CAF-9B53-4AC9-BF24-F465C2CC53DD}" name="Table3" displayName="Table3" ref="A6:N13" totalsRowShown="0" tableBorderDxfId="69">
  <autoFilter ref="A6:N13" xr:uid="{ADA90DDD-FA85-47CB-AA57-9B43F992682D}"/>
  <tableColumns count="14">
    <tableColumn id="1" xr3:uid="{0F058EFA-B666-47B6-95A3-E668CB9C24FC}" name="Model Number"/>
    <tableColumn id="2" xr3:uid="{CDCF0A4B-BD83-4956-AF3C-68F21AF59040}" name="Model is Appropriate for SEP"/>
    <tableColumn id="3" xr3:uid="{679DC0FC-6684-4119-A16A-AFCBFF31C45E}" name="Variables"/>
    <tableColumn id="4" xr3:uid="{F02D4714-8FB5-42C3-B119-CA6F393A6D57}" name="SEP Validation Check"/>
    <tableColumn id="5" xr3:uid="{AFDE7661-8F36-4BF9-AF01-BFAA73A7ED07}" name="Coefficients"/>
    <tableColumn id="6" xr3:uid="{EBA58DD2-BDA5-43CC-A197-37AA547EB43F}" name="Variable Std. Error"/>
    <tableColumn id="7" xr3:uid="{3B977F98-7576-4930-B395-67A9BF826F2C}" name="Variable p-Values" dataDxfId="68"/>
    <tableColumn id="8" xr3:uid="{37464236-5112-4D81-9FA6-7ABFB2930CA2}" name="R2" dataDxfId="67"/>
    <tableColumn id="9" xr3:uid="{2663C51E-6AEC-44F1-A231-40A47A784C82}" name="Adjusted R2" dataDxfId="66"/>
    <tableColumn id="10" xr3:uid="{A0D9B19E-2359-4DDF-96A4-CEF5065DCDD4}" name="Model p-Value" dataDxfId="65"/>
    <tableColumn id="11" xr3:uid="{2614498F-EF01-4E2C-AF68-A13998412486}" name="RMSError"/>
    <tableColumn id="12" xr3:uid="{63F0644F-E408-4D90-9C50-4F36EE3FEB6C}" name="Residual"/>
    <tableColumn id="13" xr3:uid="{F97E78CE-3BB3-45BE-A4EA-468B66F7ED42}" name="AIC"/>
    <tableColumn id="14" xr3:uid="{4CEED088-B057-4CB1-AADE-5450D7A4674B}" name="Formula"/>
  </tableColumns>
  <tableStyleInfo name="TableStyleLight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3BF348-910C-4C8E-A47C-01118B52D876}" name="DetailTable4" displayName="DetailTable4" ref="A14:AD50" headerRowDxfId="43">
  <autoFilter ref="A14:AD50" xr:uid="{8C0E469D-8B88-4960-80D5-A5664F04A023}"/>
  <tableColumns count="30">
    <tableColumn id="1" xr3:uid="{B5AECF8E-780C-4EB8-91CF-E79AF8404AD0}" name="Date" dataDxfId="44"/>
    <tableColumn id="2" xr3:uid="{7C2DBECF-649B-4C45-B39B-0E0631ADB345}" name="Electricity (kWh)" dataDxfId="45"/>
    <tableColumn id="3" xr3:uid="{81FF5A85-7FA2-4CC4-A1E6-A9BBA6D0E1D9}" name="Electricity (MMBTU)" dataDxfId="62"/>
    <tableColumn id="4" xr3:uid="{D493D9B8-35E0-4967-908D-81B51DDC35C9}" name="Natural gas (therms)" dataDxfId="61"/>
    <tableColumn id="5" xr3:uid="{258E5B27-0CC2-4C34-981E-E8724719AFDA}" name="Natural gas (MMBTU)" dataDxfId="60"/>
    <tableColumn id="6" xr3:uid="{A234D575-3421-412D-AAA5-AFF8E34FE597}" name="Production" dataDxfId="59"/>
    <tableColumn id="7" xr3:uid="{C514C550-601B-4018-82DC-61F5D7972BCF}" name="Temperature" dataDxfId="58"/>
    <tableColumn id="8" xr3:uid="{68C18632-65FA-4DD1-83C3-81DC6BA69DB7}" name="Period" dataDxfId="57"/>
    <tableColumn id="9" xr3:uid="{29283501-A178-4006-A208-D923C8FFB2FA}" name="TOTAL  (MMBTU)" totalsRowFunction="sum" dataDxfId="56">
      <calculatedColumnFormula>DetailTable4[Electricity (MMBTU)]+DetailTable4[Natural gas (MMBTU)]</calculatedColumnFormula>
    </tableColumn>
    <tableColumn id="10" xr3:uid="{6219F227-EE1B-4E42-8C96-E74E65A7F55F}" name="Baseline Year" dataDxfId="55"/>
    <tableColumn id="11" xr3:uid="{5CF082E6-7D11-4BB7-AA2F-D6B3FC91844F}" name="Model Year" dataDxfId="54"/>
    <tableColumn id="12" xr3:uid="{2E9B786D-4496-4875-97FE-13F64A28652B}" name="Last Year" dataDxfId="53"/>
    <tableColumn id="13" xr3:uid="{43A6B7CB-73D2-4DC5-B305-54299577F17A}" name="Adjustment Method" dataDxfId="52">
      <calculatedColumnFormula>IF(DetailTable4[Baseline Year]=DetailTable4[Model Year],IF(DetailTable4[Period]=DetailTable4[Model Year],"Model Year","Forecast"),IF(DetailTable4[Period]=DetailTable4[Model Year],"Model Year",IF(DetailTable4[Last Year]=DetailTable4[Model Year],"Backcast",IF(DetailTable4[Baseline Year]=DetailTable4[Model Year],"Forecast","Chaining"))))</calculatedColumnFormula>
    </tableColumn>
    <tableColumn id="14" xr3:uid="{F162B10B-ABB9-471D-A8C0-FDB8B92DDA9C}" name="Modeled Electricity (MMBTU)" dataDxfId="51" totalsRowDxfId="63">
      <calculatedColumnFormula>(5.086166746649 * DetailTable4[Production]) + 20110.25</calculatedColumnFormula>
    </tableColumn>
    <tableColumn id="15" xr3:uid="{7C8375D5-4D66-48C3-A168-3903B905FA21}" name="Modeled Natural gas (MMBTU)" dataDxfId="50" totalsRowDxfId="64">
      <calculatedColumnFormula>(2.560044576545 * DetailTable4[Production]) + (211.520605238538 * DetailTable4[Temperature]) + 7322.73</calculatedColumnFormula>
    </tableColumn>
    <tableColumn id="16" xr3:uid="{E9EBA6EB-6B33-450B-9244-CF8CBA800ABB}" name="Total Modeled Energy Consumption (MMBTU)" totalsRowFunction="sum" dataDxfId="49">
      <calculatedColumnFormula>DetailTable4[Modeled Electricity (MMBTU)]+DetailTable4[Modeled Natural gas (MMBTU)]</calculatedColumnFormula>
    </tableColumn>
    <tableColumn id="17" xr3:uid="{94E75689-4980-458D-8CBF-6CE901C4E784}" name="CUSUMHidden" dataDxfId="48">
      <calculatedColumnFormula>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calculatedColumnFormula>
    </tableColumn>
    <tableColumn id="18" xr3:uid="{3C9216D2-108C-4F20-818E-189711DA255C}" name="SEP CUSUM" dataDxfId="47">
      <calculatedColumnFormula>IF(DetailTable4[Period]=DetailTable4[Model Year],"",DetailTable4[CUSUMHidden])</calculatedColumnFormula>
    </tableColumn>
    <tableColumn id="19" xr3:uid="{A5677048-0533-474B-9EBD-AB254C328C5D}" name="Energy Savings: Electricity (MMBTU)" dataDxfId="46">
      <calculatedColumnFormula>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calculatedColumnFormula>
    </tableColumn>
    <tableColumn id="20" xr3:uid="{F665457E-893F-4E15-BC96-DA48F1FC2417}" name="Energy Savings: Natural gas (MMBTU)" dataDxfId="42">
      <calculatedColumnFormula>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calculatedColumnFormula>
    </tableColumn>
    <tableColumn id="21" xr3:uid="{CD15B287-3E9E-4E51-95D8-6D3B5A3383E4}" name="Energy Savings TTM (MMBtu)" totalsRowFunction="sum" dataDxfId="41">
      <calculatedColumnFormula>IF(DetailTable4[Period]&lt;=DetailTable4[Model Year],"N/A",SUM(DetailTable4[[#This Row],[Total Modeled Energy Consumption (MMBTU)]]:OFFSET(DetailTable4[[#This Row],[Total Modeled Energy Consumption (MMBTU)]],-11,0))-SUM(DetailTable4[[#This Row],[TOTAL  (MMBTU)]]:OFFSET(DetailTable4[[#This Row],[TOTAL  (MMBTU)]],-11,0)))</calculatedColumnFormula>
    </tableColumn>
    <tableColumn id="22" xr3:uid="{5952765C-E8A2-4A3C-BE87-D2BB4470B6EE}" name="For SEP Only: Trailing Twelve Month Energy Performance Indicator" totalsRowFunction="sum" dataDxfId="40">
      <calculatedColumnFormula>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calculatedColumnFormula>
    </tableColumn>
    <tableColumn id="23" xr3:uid="{36991257-1CB7-425D-B91B-2FAAA8A2C892}" name="For SEP Only: Trailing Twelve Month Energy Savings" dataDxfId="39">
      <calculatedColumnFormula>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calculatedColumnFormula>
    </tableColumn>
    <tableColumn id="24" xr3:uid="{3E281727-69BC-4347-928C-C7E63CB3D678}" name="For SEP Only: Trailing Twelve Month Actual Energy Consumption" totalsRowFunction="sum" dataDxfId="38">
      <calculatedColumnFormula>IF(DetailTable4[Period]&lt;DetailTable4[Model Year],"N/A",IF((AND(DetailTable4[Period]=DetailTable4[Model Year],DetailTable4[Period] =OFFSET(DetailTable4[[#This Row],[Period]],1,0))),"N/A",SUM(DetailTable4[[#This Row],[TOTAL  (MMBTU)]]:OFFSET(DetailTable4[[#This Row],[TOTAL  (MMBTU)]],-11,0))))</calculatedColumnFormula>
    </tableColumn>
    <tableColumn id="25" xr3:uid="{6AA8D711-005C-4754-A724-9B5E0710F991}" name="For SEP Only: Trailing Twelve Month Actual Energy Consumption to meet 5% improvement target" totalsRowFunction="sum" dataDxfId="37">
      <calculatedColumnFormula>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calculatedColumnFormula>
    </tableColumn>
    <tableColumn id="26" xr3:uid="{9B6FBDDE-A39D-4732-A79A-6C8499A10293}" name="For SEP Only: Trailing Twelve Month Actual Energy Consumption to meet 10% improvement target" totalsRowFunction="sum" dataDxfId="36">
      <calculatedColumnFormula>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calculatedColumnFormula>
    </tableColumn>
    <tableColumn id="27" xr3:uid="{70349808-094D-41E7-8388-C3F24E5724A0}" name="For SEP Only: Trailing Twelve Month Actual Energy Consumption to meet 15% improvement target" totalsRowFunction="sum" dataDxfId="35">
      <calculatedColumnFormula>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calculatedColumnFormula>
    </tableColumn>
    <tableColumn id="28" xr3:uid="{C8AE4F87-F4FD-4908-9A62-BD9EE8572227}" name="For SEP Only: Trailing Twelve Month Energy Savings to Meet 5% Improvement" totalsRowFunction="sum" dataDxfId="34">
      <calculatedColumnFormula>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calculatedColumnFormula>
    </tableColumn>
    <tableColumn id="29" xr3:uid="{2F757EDE-57A3-487A-A784-CB726C1E0D02}" name="For SEP Only: Trailing Twelve Month Energy Savings to Meet 10% Improvement" totalsRowFunction="sum" dataDxfId="33">
      <calculatedColumnFormula>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calculatedColumnFormula>
    </tableColumn>
    <tableColumn id="30" xr3:uid="{0699EB02-85B1-435F-9CAE-DCEBE1DF8CF6}" name="For SEP Only: Trailing Twelve Month Energy Savings to Meet 15% Improvement" totalsRowFunction="sum" dataDxfId="32">
      <calculatedColumnFormula>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B9E8BA-6176-4F71-AF77-EBCF2531EB53}" name="ValidationDetailTable4" displayName="ValidationDetailTable4" ref="A6:D12" totalsRowShown="0" headerRowDxfId="27" dataDxfId="26">
  <autoFilter ref="A6:D12" xr:uid="{0DB7EF57-356A-4383-BEED-F8B13860B5D0}"/>
  <tableColumns count="4">
    <tableColumn id="1" xr3:uid="{2BD0BC77-A53D-49F0-8951-85E249900322}" name="Column1" dataDxfId="31"/>
    <tableColumn id="2" xr3:uid="{9EAEFC55-9937-4150-B306-108207E532AE}" name="Column2" dataDxfId="30"/>
    <tableColumn id="3" xr3:uid="{E7D7AB45-6B58-426B-A697-96D7EE413DCE}" name="Production" dataDxfId="29"/>
    <tableColumn id="4" xr3:uid="{AC2C74A3-1060-4886-BBE0-C393CE2DBAD1}" name="Temperature" dataDxfId="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DB10A2F-BFA9-41F9-8D64-6215FCF6056D}" name="AnnualTable6" displayName="AnnualTable6" ref="A4:D21" totalsRowShown="0" headerRowDxfId="20" dataDxfId="21" dataCellStyle="Comma">
  <autoFilter ref="A4:D21" xr:uid="{F328DC52-EFFF-44F3-B309-DC897A5502A9}"/>
  <tableColumns count="4">
    <tableColumn id="1" xr3:uid="{6C902B7A-3F64-4D03-BA7F-EB279C575C94}" name=" " dataDxfId="25" dataCellStyle="Comma"/>
    <tableColumn id="2" xr3:uid="{7D9CC0FA-EE38-4123-8BC3-A29B1CE1B92B}" name="2007" dataDxfId="24" dataCellStyle="Comma">
      <calculatedColumnFormula>SUMIF(DetailTable4[Period],AnnualTable6[#Headers],DetailTable4[Electricity (MMBTU)])</calculatedColumnFormula>
    </tableColumn>
    <tableColumn id="3" xr3:uid="{C1FC1C52-7B0B-4609-B436-B84FB77D8C6D}" name="2008" dataDxfId="23" dataCellStyle="Comma">
      <calculatedColumnFormula>SUMIF(DetailTable4[Period],AnnualTable6[#Headers],DetailTable4[Electricity (MMBTU)])</calculatedColumnFormula>
    </tableColumn>
    <tableColumn id="4" xr3:uid="{24EC31A0-DF53-4A6F-91FC-3F3A2F0E6868}" name="2009" dataDxfId="22" dataCellStyle="Comma">
      <calculatedColumnFormula>SUMIF(DetailTable4[Period],AnnualTable6[#Headers],DetailTable4[Electricity (MMBTU)])</calculatedColumnFormula>
    </tableColumn>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5D1B79E-685D-4C42-983E-B45622D868C8}" name="ModelTable7" displayName="ModelTable7" ref="A27:H28" insertRow="1" totalsRowShown="0">
  <autoFilter ref="A27:H28" xr:uid="{DCC1481B-DFA6-41F6-A8ED-E70CBD48069E}"/>
  <tableColumns count="8">
    <tableColumn id="1" xr3:uid="{9F88364E-F411-4F68-B3C8-AC9EAA32270D}" name="Energy Use"/>
    <tableColumn id="2" xr3:uid="{299E7368-5479-4D6A-B161-635901C6B416}" name="Model is Appropriate for SEP"/>
    <tableColumn id="3" xr3:uid="{82DDAB3C-B0B9-45C0-ADA2-A0964099C979}" name="Variables"/>
    <tableColumn id="4" xr3:uid="{62251A77-A9CB-405D-950C-F2EB00AB8B4E}" name="Variable p-Values"/>
    <tableColumn id="5" xr3:uid="{2B6BA2B7-81CA-445D-93BD-5F37911935E3}" name="R2"/>
    <tableColumn id="6" xr3:uid="{800A02F7-89D1-4449-820D-E19D7EEA86FE}" name="Adjusted R2"/>
    <tableColumn id="7" xr3:uid="{588E457D-FCD4-41ED-9F00-7CB39384201F}" name="Model p-Value"/>
    <tableColumn id="8" xr3:uid="{8848D04D-099F-4BAB-A6AA-663B2761CBC6}" name="Formula"/>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03DF9F-3ABB-4B7A-B858-7335E2E96413}" name="AnnualTable8" displayName="AnnualTable8" ref="A5:C17" totalsRowShown="0" headerRowDxfId="12" dataDxfId="11" dataCellStyle="Comma">
  <autoFilter ref="A5:C17" xr:uid="{C848BFE9-AB39-46B5-96E7-0487E60189BD}"/>
  <tableColumns count="3">
    <tableColumn id="1" xr3:uid="{21984262-69F8-4323-9253-3BF8A8DF0E50}" name=" " dataDxfId="15" dataCellStyle="Comma"/>
    <tableColumn id="2" xr3:uid="{7E21478E-8946-4BA9-A0BE-76939EE3DB13}" name="2007" dataDxfId="14" dataCellStyle="Comma">
      <calculatedColumnFormula>SUMIF(DetailTable4[Period],AnnualTable8[#Headers],DetailTable4[Electricity (MMBTU)])</calculatedColumnFormula>
    </tableColumn>
    <tableColumn id="3" xr3:uid="{A28EC5FB-0044-4778-B826-253955F7E98E}" name="2009" dataDxfId="13" dataCellStyle="Comma">
      <calculatedColumnFormula>SUMIF(DetailTable4[Period],AnnualTable8[#Headers],DetailTable4[Electricity (MMBTU)])</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7.bin"/><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6" Type="http://schemas.openxmlformats.org/officeDocument/2006/relationships/customProperty" Target="../customProperty5.bin"/><Relationship Id="rId5" Type="http://schemas.openxmlformats.org/officeDocument/2006/relationships/customProperty" Target="../customProperty4.bin"/><Relationship Id="rId4" Type="http://schemas.openxmlformats.org/officeDocument/2006/relationships/customProperty" Target="../customProperty3.bin"/><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customProperty" Target="../customProperty8.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customProperty" Target="../customProperty9.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customProperty" Target="../customProperty10.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customProperty" Target="../customProperty1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16.bin"/><Relationship Id="rId7" Type="http://schemas.openxmlformats.org/officeDocument/2006/relationships/table" Target="../tables/table11.xml"/><Relationship Id="rId2" Type="http://schemas.openxmlformats.org/officeDocument/2006/relationships/customProperty" Target="../customProperty15.bin"/><Relationship Id="rId1" Type="http://schemas.openxmlformats.org/officeDocument/2006/relationships/printerSettings" Target="../printerSettings/printerSettings2.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93BAA-A596-48A4-8D46-AB17AF6A70D7}">
  <dimension ref="A1:D8"/>
  <sheetViews>
    <sheetView workbookViewId="0"/>
  </sheetViews>
  <sheetFormatPr defaultRowHeight="15" x14ac:dyDescent="0.25"/>
  <cols>
    <col min="1" max="4" width="11" customWidth="1"/>
  </cols>
  <sheetData>
    <row r="1" spans="1:4" x14ac:dyDescent="0.25">
      <c r="A1" t="s">
        <v>38</v>
      </c>
      <c r="B1" t="s">
        <v>73</v>
      </c>
      <c r="C1" t="s">
        <v>131</v>
      </c>
      <c r="D1" t="s">
        <v>132</v>
      </c>
    </row>
    <row r="2" spans="1:4" x14ac:dyDescent="0.25">
      <c r="A2" t="s">
        <v>120</v>
      </c>
      <c r="B2" t="s">
        <v>94</v>
      </c>
      <c r="C2" t="b">
        <v>0</v>
      </c>
      <c r="D2" t="b">
        <v>0</v>
      </c>
    </row>
    <row r="3" spans="1:4" x14ac:dyDescent="0.25">
      <c r="A3" t="s">
        <v>121</v>
      </c>
      <c r="B3" t="s">
        <v>95</v>
      </c>
      <c r="C3" t="b">
        <v>0</v>
      </c>
      <c r="D3" t="b">
        <v>0</v>
      </c>
    </row>
    <row r="4" spans="1:4" x14ac:dyDescent="0.25">
      <c r="A4" t="s">
        <v>122</v>
      </c>
      <c r="B4" t="s">
        <v>123</v>
      </c>
      <c r="C4" t="b">
        <v>0</v>
      </c>
      <c r="D4" t="b">
        <v>1</v>
      </c>
    </row>
    <row r="5" spans="1:4" x14ac:dyDescent="0.25">
      <c r="A5" t="s">
        <v>124</v>
      </c>
      <c r="B5" t="s">
        <v>125</v>
      </c>
      <c r="C5" t="b">
        <v>1</v>
      </c>
      <c r="D5" t="b">
        <v>0</v>
      </c>
    </row>
    <row r="6" spans="1:4" x14ac:dyDescent="0.25">
      <c r="A6" t="s">
        <v>126</v>
      </c>
      <c r="B6" t="s">
        <v>127</v>
      </c>
      <c r="C6" t="b">
        <v>1</v>
      </c>
      <c r="D6" t="b">
        <v>0</v>
      </c>
    </row>
    <row r="7" spans="1:4" x14ac:dyDescent="0.25">
      <c r="A7" t="s">
        <v>128</v>
      </c>
      <c r="B7">
        <v>1</v>
      </c>
    </row>
    <row r="8" spans="1:4" x14ac:dyDescent="0.25">
      <c r="A8" t="s">
        <v>129</v>
      </c>
      <c r="B8" t="s">
        <v>130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tabSelected="1" workbookViewId="0">
      <selection activeCell="A2" sqref="A2"/>
    </sheetView>
  </sheetViews>
  <sheetFormatPr defaultRowHeight="15" x14ac:dyDescent="0.25"/>
  <cols>
    <col min="1" max="1" width="16.7109375" style="1" customWidth="1"/>
    <col min="2" max="2" width="17.85546875" style="2" customWidth="1"/>
    <col min="3" max="3" width="21" style="2" customWidth="1"/>
    <col min="4" max="4" width="21.140625" style="2" customWidth="1"/>
    <col min="5" max="5" width="22.140625" style="2" customWidth="1"/>
    <col min="6" max="7" width="16.7109375" style="2" customWidth="1"/>
    <col min="8" max="8" width="16.7109375" style="3" customWidth="1"/>
  </cols>
  <sheetData>
    <row r="1" spans="1:8" x14ac:dyDescent="0.25">
      <c r="A1" s="1" t="s">
        <v>0</v>
      </c>
      <c r="B1" s="2" t="s">
        <v>1</v>
      </c>
      <c r="C1" s="2" t="s">
        <v>2</v>
      </c>
      <c r="D1" s="2" t="s">
        <v>3</v>
      </c>
      <c r="E1" s="2" t="s">
        <v>4</v>
      </c>
      <c r="F1" s="2" t="s">
        <v>5</v>
      </c>
      <c r="G1" s="2" t="s">
        <v>6</v>
      </c>
      <c r="H1" s="3" t="s">
        <v>7</v>
      </c>
    </row>
    <row r="2" spans="1:8" x14ac:dyDescent="0.25">
      <c r="A2" s="1">
        <v>39083</v>
      </c>
      <c r="B2" s="2">
        <v>15398553</v>
      </c>
      <c r="C2" s="2">
        <v>157626.14829157799</v>
      </c>
      <c r="D2" s="2">
        <v>910461</v>
      </c>
      <c r="E2" s="2">
        <v>91046.1</v>
      </c>
      <c r="F2" s="2">
        <v>28724</v>
      </c>
      <c r="G2" s="2">
        <v>42.3</v>
      </c>
      <c r="H2" s="3">
        <v>2007</v>
      </c>
    </row>
    <row r="3" spans="1:8" x14ac:dyDescent="0.25">
      <c r="A3" s="1">
        <v>39114</v>
      </c>
      <c r="B3" s="2">
        <v>14046280</v>
      </c>
      <c r="C3" s="2">
        <v>143783.70579528</v>
      </c>
      <c r="D3" s="2">
        <v>794058</v>
      </c>
      <c r="E3" s="2">
        <v>79405.8</v>
      </c>
      <c r="F3" s="2">
        <v>23799</v>
      </c>
      <c r="G3" s="2">
        <v>49.3</v>
      </c>
      <c r="H3" s="3">
        <v>2007</v>
      </c>
    </row>
    <row r="4" spans="1:8" x14ac:dyDescent="0.25">
      <c r="A4" s="1">
        <v>39142</v>
      </c>
      <c r="B4" s="2">
        <v>14908571</v>
      </c>
      <c r="C4" s="2">
        <v>152610.483807246</v>
      </c>
      <c r="D4" s="2">
        <v>835772</v>
      </c>
      <c r="E4" s="2">
        <v>83577.200000000012</v>
      </c>
      <c r="F4" s="2">
        <v>25162</v>
      </c>
      <c r="G4" s="2">
        <v>63.9</v>
      </c>
      <c r="H4" s="3">
        <v>2007</v>
      </c>
    </row>
    <row r="5" spans="1:8" x14ac:dyDescent="0.25">
      <c r="A5" s="1">
        <v>39173</v>
      </c>
      <c r="B5" s="2">
        <v>8635463</v>
      </c>
      <c r="C5" s="2">
        <v>88396.277975238001</v>
      </c>
      <c r="D5" s="2">
        <v>590247</v>
      </c>
      <c r="E5" s="2">
        <v>59024.700000000004</v>
      </c>
      <c r="F5" s="2">
        <v>16838</v>
      </c>
      <c r="G5" s="2">
        <v>62.3</v>
      </c>
      <c r="H5" s="3">
        <v>2007</v>
      </c>
    </row>
    <row r="6" spans="1:8" x14ac:dyDescent="0.25">
      <c r="A6" s="1">
        <v>39203</v>
      </c>
      <c r="B6" s="2">
        <v>9216821</v>
      </c>
      <c r="C6" s="2">
        <v>94347.306121745991</v>
      </c>
      <c r="D6" s="2">
        <v>621178</v>
      </c>
      <c r="E6" s="2">
        <v>62117.8</v>
      </c>
      <c r="F6" s="2">
        <v>15705</v>
      </c>
      <c r="G6" s="2">
        <v>74.400000000000006</v>
      </c>
      <c r="H6" s="3">
        <v>2007</v>
      </c>
    </row>
    <row r="7" spans="1:8" x14ac:dyDescent="0.25">
      <c r="A7" s="1">
        <v>39234</v>
      </c>
      <c r="B7" s="2">
        <v>11912004</v>
      </c>
      <c r="C7" s="2">
        <v>121936.34745770399</v>
      </c>
      <c r="D7" s="2">
        <v>767032</v>
      </c>
      <c r="E7" s="2">
        <v>76703.199999999997</v>
      </c>
      <c r="F7" s="2">
        <v>18179</v>
      </c>
      <c r="G7" s="2">
        <v>81.400000000000006</v>
      </c>
      <c r="H7" s="3">
        <v>2007</v>
      </c>
    </row>
    <row r="8" spans="1:8" x14ac:dyDescent="0.25">
      <c r="A8" s="1">
        <v>39264</v>
      </c>
      <c r="B8" s="2">
        <v>14689537</v>
      </c>
      <c r="C8" s="2">
        <v>150368.358474762</v>
      </c>
      <c r="D8" s="2">
        <v>852646</v>
      </c>
      <c r="E8" s="2">
        <v>85264.6</v>
      </c>
      <c r="F8" s="2">
        <v>23289</v>
      </c>
      <c r="G8" s="2">
        <v>83.7</v>
      </c>
      <c r="H8" s="3">
        <v>2007</v>
      </c>
    </row>
    <row r="9" spans="1:8" x14ac:dyDescent="0.25">
      <c r="A9" s="1">
        <v>39295</v>
      </c>
      <c r="B9" s="2">
        <v>12765098</v>
      </c>
      <c r="C9" s="2">
        <v>130668.98105974798</v>
      </c>
      <c r="D9" s="2">
        <v>872066</v>
      </c>
      <c r="E9" s="2">
        <v>87206.6</v>
      </c>
      <c r="F9" s="2">
        <v>25115</v>
      </c>
      <c r="G9" s="2">
        <v>87.8</v>
      </c>
      <c r="H9" s="3">
        <v>2007</v>
      </c>
    </row>
    <row r="10" spans="1:8" x14ac:dyDescent="0.25">
      <c r="A10" s="1">
        <v>39326</v>
      </c>
      <c r="B10" s="2">
        <v>14429648</v>
      </c>
      <c r="C10" s="2">
        <v>147708.023958048</v>
      </c>
      <c r="D10" s="2">
        <v>881760</v>
      </c>
      <c r="E10" s="2">
        <v>88176</v>
      </c>
      <c r="F10" s="2">
        <v>23978</v>
      </c>
      <c r="G10" s="2">
        <v>81.599999999999994</v>
      </c>
      <c r="H10" s="3">
        <v>2007</v>
      </c>
    </row>
    <row r="11" spans="1:8" x14ac:dyDescent="0.25">
      <c r="A11" s="1">
        <v>39356</v>
      </c>
      <c r="B11" s="2">
        <v>14260725</v>
      </c>
      <c r="C11" s="2">
        <v>145978.85616885</v>
      </c>
      <c r="D11" s="2">
        <v>836102</v>
      </c>
      <c r="E11" s="2">
        <v>83610.200000000012</v>
      </c>
      <c r="F11" s="2">
        <v>25098</v>
      </c>
      <c r="G11" s="2">
        <v>72.099999999999994</v>
      </c>
      <c r="H11" s="3">
        <v>2007</v>
      </c>
    </row>
    <row r="12" spans="1:8" x14ac:dyDescent="0.25">
      <c r="A12" s="1">
        <v>39387</v>
      </c>
      <c r="B12" s="2">
        <v>14876345</v>
      </c>
      <c r="C12" s="2">
        <v>152280.60474297</v>
      </c>
      <c r="D12" s="2">
        <v>794756</v>
      </c>
      <c r="E12" s="2">
        <v>79475.600000000006</v>
      </c>
      <c r="F12" s="2">
        <v>21929</v>
      </c>
      <c r="G12" s="2">
        <v>61.3</v>
      </c>
      <c r="H12" s="3">
        <v>2007</v>
      </c>
    </row>
    <row r="13" spans="1:8" x14ac:dyDescent="0.25">
      <c r="A13" s="1">
        <v>39417</v>
      </c>
      <c r="B13" s="2">
        <v>14521951</v>
      </c>
      <c r="C13" s="2">
        <v>148652.87678712601</v>
      </c>
      <c r="D13" s="2">
        <v>847384</v>
      </c>
      <c r="E13" s="2">
        <v>84738.400000000009</v>
      </c>
      <c r="F13" s="2">
        <v>26071</v>
      </c>
      <c r="G13" s="2">
        <v>49.8</v>
      </c>
      <c r="H13" s="3">
        <v>2007</v>
      </c>
    </row>
    <row r="14" spans="1:8" x14ac:dyDescent="0.25">
      <c r="A14" s="1">
        <v>39448</v>
      </c>
      <c r="B14" s="2">
        <v>14807836</v>
      </c>
      <c r="C14" s="2">
        <v>151579.317434136</v>
      </c>
      <c r="D14" s="2">
        <v>890364</v>
      </c>
      <c r="E14" s="2">
        <v>89036.400000000009</v>
      </c>
      <c r="F14" s="2">
        <v>26170</v>
      </c>
      <c r="G14" s="2">
        <v>46.9</v>
      </c>
      <c r="H14" s="3">
        <v>2008</v>
      </c>
    </row>
    <row r="15" spans="1:8" x14ac:dyDescent="0.25">
      <c r="A15" s="1">
        <v>39479</v>
      </c>
      <c r="B15" s="2">
        <v>13789004</v>
      </c>
      <c r="C15" s="2">
        <v>141150.11905970401</v>
      </c>
      <c r="D15" s="2">
        <v>821359</v>
      </c>
      <c r="E15" s="2">
        <v>82135.900000000009</v>
      </c>
      <c r="F15" s="2">
        <v>23959</v>
      </c>
      <c r="G15" s="2">
        <v>54</v>
      </c>
      <c r="H15" s="3">
        <v>2008</v>
      </c>
    </row>
    <row r="16" spans="1:8" x14ac:dyDescent="0.25">
      <c r="A16" s="1">
        <v>39508</v>
      </c>
      <c r="B16" s="2">
        <v>9884861</v>
      </c>
      <c r="C16" s="2">
        <v>101185.648146786</v>
      </c>
      <c r="D16" s="2">
        <v>612182</v>
      </c>
      <c r="E16" s="2">
        <v>61218.200000000004</v>
      </c>
      <c r="F16" s="2">
        <v>16473</v>
      </c>
      <c r="G16" s="2">
        <v>60.9</v>
      </c>
      <c r="H16" s="3">
        <v>2008</v>
      </c>
    </row>
    <row r="17" spans="1:8" x14ac:dyDescent="0.25">
      <c r="A17" s="1">
        <v>39539</v>
      </c>
      <c r="B17" s="2">
        <v>10404860</v>
      </c>
      <c r="C17" s="2">
        <v>106508.57943036</v>
      </c>
      <c r="D17" s="2">
        <v>599480</v>
      </c>
      <c r="E17" s="2">
        <v>59948</v>
      </c>
      <c r="F17" s="2">
        <v>15954</v>
      </c>
      <c r="G17" s="2">
        <v>66.5</v>
      </c>
      <c r="H17" s="3">
        <v>2008</v>
      </c>
    </row>
    <row r="18" spans="1:8" x14ac:dyDescent="0.25">
      <c r="A18" s="1">
        <v>39569</v>
      </c>
      <c r="B18" s="2">
        <v>12912316</v>
      </c>
      <c r="C18" s="2">
        <v>132175.96722261599</v>
      </c>
      <c r="D18" s="2">
        <v>591540</v>
      </c>
      <c r="E18" s="2">
        <v>59154</v>
      </c>
      <c r="F18" s="2">
        <v>19303</v>
      </c>
      <c r="G18" s="2">
        <v>77</v>
      </c>
      <c r="H18" s="3">
        <v>2008</v>
      </c>
    </row>
    <row r="19" spans="1:8" x14ac:dyDescent="0.25">
      <c r="A19" s="1">
        <v>39600</v>
      </c>
      <c r="B19" s="2">
        <v>8933703</v>
      </c>
      <c r="C19" s="2">
        <v>91449.189665477999</v>
      </c>
      <c r="D19" s="2">
        <v>606711</v>
      </c>
      <c r="E19" s="2">
        <v>60671.100000000006</v>
      </c>
      <c r="F19" s="2">
        <v>15700</v>
      </c>
      <c r="G19" s="2">
        <v>86.5</v>
      </c>
      <c r="H19" s="3">
        <v>2008</v>
      </c>
    </row>
    <row r="20" spans="1:8" x14ac:dyDescent="0.25">
      <c r="A20" s="1">
        <v>39630</v>
      </c>
      <c r="B20" s="2">
        <v>9078501</v>
      </c>
      <c r="C20" s="2">
        <v>92931.403677426002</v>
      </c>
      <c r="D20" s="2">
        <v>590597</v>
      </c>
      <c r="E20" s="2">
        <v>59059.700000000004</v>
      </c>
      <c r="F20" s="2">
        <v>15005</v>
      </c>
      <c r="G20" s="2">
        <v>89</v>
      </c>
      <c r="H20" s="3">
        <v>2008</v>
      </c>
    </row>
    <row r="21" spans="1:8" x14ac:dyDescent="0.25">
      <c r="A21" s="1">
        <v>39661</v>
      </c>
      <c r="B21" s="2">
        <v>8921190</v>
      </c>
      <c r="C21" s="2">
        <v>91321.101266939993</v>
      </c>
      <c r="D21" s="2">
        <v>577487</v>
      </c>
      <c r="E21" s="2">
        <v>57748.700000000004</v>
      </c>
      <c r="F21" s="2">
        <v>16242</v>
      </c>
      <c r="G21" s="2">
        <v>86.7</v>
      </c>
      <c r="H21" s="3">
        <v>2008</v>
      </c>
    </row>
    <row r="22" spans="1:8" x14ac:dyDescent="0.25">
      <c r="A22" s="1">
        <v>39692</v>
      </c>
      <c r="B22" s="2">
        <v>8943943</v>
      </c>
      <c r="C22" s="2">
        <v>91554.010667717987</v>
      </c>
      <c r="D22" s="2">
        <v>544383</v>
      </c>
      <c r="E22" s="2">
        <v>54438.3</v>
      </c>
      <c r="F22" s="2">
        <v>15074</v>
      </c>
      <c r="G22" s="2">
        <v>78.5</v>
      </c>
      <c r="H22" s="3">
        <v>2008</v>
      </c>
    </row>
    <row r="23" spans="1:8" x14ac:dyDescent="0.25">
      <c r="A23" s="1">
        <v>39722</v>
      </c>
      <c r="B23" s="2">
        <v>8935189</v>
      </c>
      <c r="C23" s="2">
        <v>91464.400994513999</v>
      </c>
      <c r="D23" s="2">
        <v>610067</v>
      </c>
      <c r="E23" s="2">
        <v>61006.700000000004</v>
      </c>
      <c r="F23" s="2">
        <v>16879</v>
      </c>
      <c r="G23" s="2">
        <v>69.599999999999994</v>
      </c>
      <c r="H23" s="3">
        <v>2008</v>
      </c>
    </row>
    <row r="24" spans="1:8" x14ac:dyDescent="0.25">
      <c r="A24" s="1">
        <v>39753</v>
      </c>
      <c r="B24" s="2">
        <v>8764397</v>
      </c>
      <c r="C24" s="2">
        <v>89716.101325121999</v>
      </c>
      <c r="D24" s="2">
        <v>619707</v>
      </c>
      <c r="E24" s="2">
        <v>61970.700000000004</v>
      </c>
      <c r="F24" s="2">
        <v>16442</v>
      </c>
      <c r="G24" s="2">
        <v>59.7</v>
      </c>
      <c r="H24" s="3">
        <v>2008</v>
      </c>
    </row>
    <row r="25" spans="1:8" x14ac:dyDescent="0.25">
      <c r="A25" s="1">
        <v>39783</v>
      </c>
      <c r="B25" s="2">
        <v>8286629</v>
      </c>
      <c r="C25" s="2">
        <v>84825.46454795399</v>
      </c>
      <c r="D25" s="2">
        <v>524229</v>
      </c>
      <c r="E25" s="2">
        <v>52422.9</v>
      </c>
      <c r="F25" s="2">
        <v>11766</v>
      </c>
      <c r="G25" s="2">
        <v>49</v>
      </c>
      <c r="H25" s="3">
        <v>2008</v>
      </c>
    </row>
    <row r="26" spans="1:8" x14ac:dyDescent="0.25">
      <c r="A26" s="1">
        <v>39814</v>
      </c>
      <c r="B26" s="2">
        <v>9097623</v>
      </c>
      <c r="C26" s="2">
        <v>93127.144615398007</v>
      </c>
      <c r="D26" s="2">
        <v>589815</v>
      </c>
      <c r="E26" s="2">
        <v>58981.5</v>
      </c>
      <c r="F26" s="2">
        <v>15872</v>
      </c>
      <c r="G26" s="2">
        <v>48.1</v>
      </c>
      <c r="H26" s="3">
        <v>2009</v>
      </c>
    </row>
    <row r="27" spans="1:8" x14ac:dyDescent="0.25">
      <c r="A27" s="1">
        <v>39845</v>
      </c>
      <c r="B27" s="2">
        <v>8111470</v>
      </c>
      <c r="C27" s="2">
        <v>83032.462406220002</v>
      </c>
      <c r="D27" s="2">
        <v>521123</v>
      </c>
      <c r="E27" s="2">
        <v>52112.3</v>
      </c>
      <c r="F27" s="2">
        <v>14340</v>
      </c>
      <c r="G27" s="2">
        <v>55.8</v>
      </c>
      <c r="H27" s="3">
        <v>2009</v>
      </c>
    </row>
    <row r="28" spans="1:8" x14ac:dyDescent="0.25">
      <c r="A28" s="1">
        <v>39873</v>
      </c>
      <c r="B28" s="2">
        <v>7041739</v>
      </c>
      <c r="C28" s="2">
        <v>72082.240184814</v>
      </c>
      <c r="D28" s="2">
        <v>399535</v>
      </c>
      <c r="E28" s="2">
        <v>39953.5</v>
      </c>
      <c r="F28" s="2">
        <v>9117</v>
      </c>
      <c r="G28" s="2">
        <v>58.9</v>
      </c>
      <c r="H28" s="3">
        <v>2009</v>
      </c>
    </row>
    <row r="29" spans="1:8" x14ac:dyDescent="0.25">
      <c r="A29" s="1">
        <v>39904</v>
      </c>
      <c r="B29" s="2">
        <v>8343011</v>
      </c>
      <c r="C29" s="2">
        <v>85402.614718686003</v>
      </c>
      <c r="D29" s="2">
        <v>574420</v>
      </c>
      <c r="E29" s="2">
        <v>57442</v>
      </c>
      <c r="F29" s="2">
        <v>15795</v>
      </c>
      <c r="G29" s="2">
        <v>64.8</v>
      </c>
      <c r="H29" s="3">
        <v>2009</v>
      </c>
    </row>
    <row r="30" spans="1:8" x14ac:dyDescent="0.25">
      <c r="A30" s="1">
        <v>39934</v>
      </c>
      <c r="B30" s="2">
        <v>9102511</v>
      </c>
      <c r="C30" s="2">
        <v>93177.180265686009</v>
      </c>
      <c r="D30" s="2">
        <v>571229</v>
      </c>
      <c r="E30" s="2">
        <v>57122.9</v>
      </c>
      <c r="F30" s="2">
        <v>16472</v>
      </c>
      <c r="G30" s="2">
        <v>73.3</v>
      </c>
      <c r="H30" s="3">
        <v>2009</v>
      </c>
    </row>
    <row r="31" spans="1:8" x14ac:dyDescent="0.25">
      <c r="A31" s="1">
        <v>39965</v>
      </c>
      <c r="B31" s="2">
        <v>7926879</v>
      </c>
      <c r="C31" s="2">
        <v>81142.910294453992</v>
      </c>
      <c r="D31" s="2">
        <v>464632</v>
      </c>
      <c r="E31" s="2">
        <v>46463.200000000004</v>
      </c>
      <c r="F31" s="2">
        <v>12515</v>
      </c>
      <c r="G31" s="2">
        <v>81.099999999999994</v>
      </c>
      <c r="H31" s="3">
        <v>2009</v>
      </c>
    </row>
    <row r="32" spans="1:8" x14ac:dyDescent="0.25">
      <c r="A32" s="1">
        <v>39995</v>
      </c>
      <c r="B32" s="2">
        <v>9151478</v>
      </c>
      <c r="C32" s="2">
        <v>93678.427337628003</v>
      </c>
      <c r="D32" s="2">
        <v>574473</v>
      </c>
      <c r="E32" s="2">
        <v>57447.3</v>
      </c>
      <c r="F32" s="2">
        <v>16351</v>
      </c>
      <c r="G32" s="2">
        <v>86.5</v>
      </c>
      <c r="H32" s="3">
        <v>2009</v>
      </c>
    </row>
    <row r="33" spans="1:8" x14ac:dyDescent="0.25">
      <c r="A33" s="1">
        <v>40026</v>
      </c>
      <c r="B33" s="2">
        <v>9275907</v>
      </c>
      <c r="C33" s="2">
        <v>94952.135588381992</v>
      </c>
      <c r="D33" s="2">
        <v>598245</v>
      </c>
      <c r="E33" s="2">
        <v>59824.5</v>
      </c>
      <c r="F33" s="2">
        <v>16163</v>
      </c>
      <c r="G33" s="2">
        <v>85.2</v>
      </c>
      <c r="H33" s="3">
        <v>2009</v>
      </c>
    </row>
    <row r="34" spans="1:8" x14ac:dyDescent="0.25">
      <c r="A34" s="1">
        <v>40057</v>
      </c>
      <c r="B34" s="2">
        <v>8661448</v>
      </c>
      <c r="C34" s="2">
        <v>88662.271504848002</v>
      </c>
      <c r="D34" s="2">
        <v>532100</v>
      </c>
      <c r="E34" s="2">
        <v>53210</v>
      </c>
      <c r="F34" s="2">
        <v>14367</v>
      </c>
      <c r="G34" s="2">
        <v>73.7</v>
      </c>
      <c r="H34" s="3">
        <v>2009</v>
      </c>
    </row>
    <row r="35" spans="1:8" x14ac:dyDescent="0.25">
      <c r="A35" s="1">
        <v>40087</v>
      </c>
      <c r="B35" s="2">
        <v>8668760</v>
      </c>
      <c r="C35" s="2">
        <v>88737.120251760003</v>
      </c>
      <c r="D35" s="2">
        <v>561761</v>
      </c>
      <c r="E35" s="2">
        <v>56176.100000000006</v>
      </c>
      <c r="F35" s="2">
        <v>13355</v>
      </c>
      <c r="G35" s="2">
        <v>62.7</v>
      </c>
      <c r="H35" s="3">
        <v>2009</v>
      </c>
    </row>
    <row r="36" spans="1:8" x14ac:dyDescent="0.25">
      <c r="A36" s="1">
        <v>40118</v>
      </c>
      <c r="B36" s="2">
        <v>8942959</v>
      </c>
      <c r="C36" s="2">
        <v>91543.938024534</v>
      </c>
      <c r="D36" s="2">
        <v>471745</v>
      </c>
      <c r="E36" s="2">
        <v>47174.5</v>
      </c>
      <c r="F36" s="2">
        <v>18872</v>
      </c>
      <c r="G36" s="2">
        <v>57.5</v>
      </c>
      <c r="H36" s="3">
        <v>2009</v>
      </c>
    </row>
    <row r="37" spans="1:8" x14ac:dyDescent="0.25">
      <c r="A37" s="1">
        <v>40148</v>
      </c>
      <c r="B37" s="2">
        <v>8263535</v>
      </c>
      <c r="C37" s="2">
        <v>84589.064525909998</v>
      </c>
      <c r="D37" s="2">
        <v>573910</v>
      </c>
      <c r="E37" s="2">
        <v>57391</v>
      </c>
      <c r="F37" s="2">
        <v>16065</v>
      </c>
      <c r="G37" s="2">
        <v>42.7</v>
      </c>
      <c r="H37" s="3">
        <v>2009</v>
      </c>
    </row>
  </sheetData>
  <pageMargins left="0.7" right="0.7" top="0.75" bottom="0.75" header="0.3" footer="0.3"/>
  <pageSetup orientation="portrait" horizontalDpi="1200" verticalDpi="1200" r:id="rId1"/>
  <customProperties>
    <customPr name="BaselineYear" r:id="rId2"/>
    <customPr name="BuildingSF" r:id="rId3"/>
    <customPr name="ModelYear" r:id="rId4"/>
    <customPr name="Production" r:id="rId5"/>
    <customPr name="ReportYear" r:id="rId6"/>
    <customPr name="Sources" r:id="rId7"/>
    <customPr name="Variables" r:id="rId8"/>
  </customProperties>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A7B10-DDC0-49E5-9F0D-CF7A19CC11D9}">
  <sheetPr>
    <tabColor rgb="FF11CC50"/>
  </sheetPr>
  <dimension ref="A1:N17"/>
  <sheetViews>
    <sheetView topLeftCell="A3" workbookViewId="0"/>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2" customWidth="1"/>
    <col min="8" max="8" width="9.140625" style="22"/>
    <col min="9" max="9" width="13.7109375" style="22" customWidth="1"/>
    <col min="10" max="10" width="16.42578125" style="22"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4" t="s">
        <v>8</v>
      </c>
      <c r="B2" s="4"/>
      <c r="C2" s="4"/>
      <c r="D2" s="4"/>
      <c r="E2" s="4"/>
    </row>
    <row r="3" spans="1:14" x14ac:dyDescent="0.25">
      <c r="A3" s="5" t="s">
        <v>9</v>
      </c>
      <c r="B3" s="5"/>
      <c r="C3" s="5"/>
      <c r="D3" s="5"/>
      <c r="E3" s="5"/>
      <c r="F3" s="5"/>
      <c r="G3" s="5"/>
    </row>
    <row r="4" spans="1:14" ht="105" customHeight="1" x14ac:dyDescent="0.25">
      <c r="A4" s="6" t="s">
        <v>10</v>
      </c>
      <c r="B4" s="6"/>
      <c r="C4" s="6"/>
      <c r="D4" s="6"/>
      <c r="E4" s="6"/>
      <c r="F4" s="6"/>
      <c r="G4" s="6"/>
    </row>
    <row r="6" spans="1:14" ht="15.75" thickBot="1" x14ac:dyDescent="0.3">
      <c r="A6" t="s">
        <v>11</v>
      </c>
      <c r="B6" t="s">
        <v>12</v>
      </c>
      <c r="C6" t="s">
        <v>13</v>
      </c>
      <c r="D6" t="s">
        <v>14</v>
      </c>
      <c r="E6" t="s">
        <v>15</v>
      </c>
      <c r="F6" t="s">
        <v>16</v>
      </c>
      <c r="G6" s="22" t="s">
        <v>17</v>
      </c>
      <c r="H6" s="22" t="s">
        <v>18</v>
      </c>
      <c r="I6" s="22" t="s">
        <v>19</v>
      </c>
      <c r="J6" s="22" t="s">
        <v>20</v>
      </c>
      <c r="K6" t="s">
        <v>21</v>
      </c>
      <c r="L6" t="s">
        <v>22</v>
      </c>
      <c r="M6" t="s">
        <v>23</v>
      </c>
      <c r="N6" t="s">
        <v>24</v>
      </c>
    </row>
    <row r="7" spans="1:14" x14ac:dyDescent="0.25">
      <c r="A7" s="13">
        <v>1</v>
      </c>
      <c r="B7" s="14" t="b">
        <v>1</v>
      </c>
      <c r="C7" s="14" t="s">
        <v>5</v>
      </c>
      <c r="D7" s="14" t="s">
        <v>26</v>
      </c>
      <c r="E7" s="14">
        <v>5.0861667466491598</v>
      </c>
      <c r="F7" s="14">
        <v>0.91127851374671243</v>
      </c>
      <c r="G7" s="23">
        <v>2.3366669722788133E-4</v>
      </c>
      <c r="H7" s="23">
        <v>0.75699547686676483</v>
      </c>
      <c r="I7" s="23">
        <v>0.73269502455344138</v>
      </c>
      <c r="J7" s="23">
        <v>2.3366669722788182E-4</v>
      </c>
      <c r="K7" s="14">
        <v>10929.866253969971</v>
      </c>
      <c r="L7" s="14">
        <v>1433543715.9560587</v>
      </c>
      <c r="M7" s="14"/>
      <c r="N7" s="15" t="s">
        <v>25</v>
      </c>
    </row>
    <row r="8" spans="1:14" ht="15.75" thickBot="1" x14ac:dyDescent="0.3">
      <c r="A8" s="16"/>
      <c r="B8" s="17"/>
      <c r="C8" s="17"/>
      <c r="D8" s="17"/>
      <c r="E8" s="17">
        <v>20110.251575066486</v>
      </c>
      <c r="F8" s="17"/>
      <c r="G8" s="24"/>
      <c r="H8" s="24"/>
      <c r="I8" s="24"/>
      <c r="J8" s="24"/>
      <c r="K8" s="17"/>
      <c r="L8" s="17"/>
      <c r="M8" s="17"/>
      <c r="N8" s="18"/>
    </row>
    <row r="9" spans="1:14" x14ac:dyDescent="0.25">
      <c r="A9" s="7">
        <v>3</v>
      </c>
      <c r="B9" s="8" t="b">
        <v>0</v>
      </c>
      <c r="C9" s="8" t="s">
        <v>5</v>
      </c>
      <c r="D9" s="8" t="s">
        <v>28</v>
      </c>
      <c r="E9" s="8">
        <v>5.2017917397698561</v>
      </c>
      <c r="F9" s="8">
        <v>1.0187766984050253</v>
      </c>
      <c r="G9" s="25">
        <v>6.4001745418122962E-4</v>
      </c>
      <c r="H9" s="25">
        <v>0.75982780692698393</v>
      </c>
      <c r="I9" s="25">
        <v>0.70645620846631374</v>
      </c>
      <c r="J9" s="25">
        <v>1.6306180929227493E-3</v>
      </c>
      <c r="K9" s="8">
        <v>10865.983239782776</v>
      </c>
      <c r="L9" s="8">
        <v>1416835101.2068825</v>
      </c>
      <c r="M9" s="8"/>
      <c r="N9" s="9" t="s">
        <v>27</v>
      </c>
    </row>
    <row r="10" spans="1:14" x14ac:dyDescent="0.25">
      <c r="A10" s="19"/>
      <c r="B10" s="20"/>
      <c r="C10" s="20" t="s">
        <v>6</v>
      </c>
      <c r="D10" s="20" t="s">
        <v>28</v>
      </c>
      <c r="E10" s="20">
        <v>87.332392560188566</v>
      </c>
      <c r="F10" s="20">
        <v>268.06711141813622</v>
      </c>
      <c r="G10" s="26">
        <v>0.75203359703833272</v>
      </c>
      <c r="H10" s="26"/>
      <c r="I10" s="26"/>
      <c r="J10" s="26"/>
      <c r="K10" s="20"/>
      <c r="L10" s="20"/>
      <c r="M10" s="20"/>
      <c r="N10" s="21"/>
    </row>
    <row r="11" spans="1:14" ht="15.75" thickBot="1" x14ac:dyDescent="0.3">
      <c r="A11" s="10"/>
      <c r="B11" s="11"/>
      <c r="C11" s="11"/>
      <c r="D11" s="11"/>
      <c r="E11" s="11">
        <v>11577.02763962107</v>
      </c>
      <c r="F11" s="11"/>
      <c r="G11" s="27"/>
      <c r="H11" s="27"/>
      <c r="I11" s="27"/>
      <c r="J11" s="27"/>
      <c r="K11" s="11"/>
      <c r="L11" s="11"/>
      <c r="M11" s="11"/>
      <c r="N11" s="12"/>
    </row>
    <row r="12" spans="1:14" x14ac:dyDescent="0.25">
      <c r="A12" s="7">
        <v>2</v>
      </c>
      <c r="B12" s="8" t="b">
        <v>0</v>
      </c>
      <c r="C12" s="8" t="s">
        <v>6</v>
      </c>
      <c r="D12" s="8" t="s">
        <v>28</v>
      </c>
      <c r="E12" s="8">
        <v>-389.49191325161053</v>
      </c>
      <c r="F12" s="8">
        <v>470.56436096349063</v>
      </c>
      <c r="G12" s="25">
        <v>0.42714469368176095</v>
      </c>
      <c r="H12" s="25">
        <v>6.4117993587617439E-2</v>
      </c>
      <c r="I12" s="25">
        <v>-2.947020705362071E-2</v>
      </c>
      <c r="J12" s="25">
        <v>0.42714469368175784</v>
      </c>
      <c r="K12" s="8">
        <v>21449.551596750189</v>
      </c>
      <c r="L12" s="8">
        <v>5520999164.4197826</v>
      </c>
      <c r="M12" s="8"/>
      <c r="N12" s="9" t="s">
        <v>29</v>
      </c>
    </row>
    <row r="13" spans="1:14" x14ac:dyDescent="0.25">
      <c r="A13" s="19"/>
      <c r="B13" s="20"/>
      <c r="C13" s="20"/>
      <c r="D13" s="20"/>
      <c r="E13" s="20">
        <v>162483.95593189794</v>
      </c>
      <c r="F13" s="20"/>
      <c r="G13" s="26"/>
      <c r="H13" s="26"/>
      <c r="I13" s="26"/>
      <c r="J13" s="26"/>
      <c r="K13" s="20"/>
      <c r="L13" s="20"/>
      <c r="M13" s="20"/>
      <c r="N13" s="21"/>
    </row>
    <row r="15" spans="1:14" s="28" customFormat="1" ht="75" customHeight="1" x14ac:dyDescent="0.25">
      <c r="A15" s="5" t="s">
        <v>30</v>
      </c>
      <c r="B15" s="5"/>
      <c r="C15" s="5"/>
      <c r="G15" s="29" t="s">
        <v>31</v>
      </c>
      <c r="H15" s="29"/>
      <c r="I15" s="29"/>
      <c r="J15" s="29"/>
      <c r="K15" s="29"/>
      <c r="L15" s="29"/>
      <c r="M15" s="29"/>
      <c r="N15" s="29"/>
    </row>
    <row r="16" spans="1:14" ht="268.35000000000002" customHeight="1" x14ac:dyDescent="0.25"/>
    <row r="17" ht="268.35000000000002" customHeight="1" x14ac:dyDescent="0.25"/>
  </sheetData>
  <mergeCells count="5">
    <mergeCell ref="A2:E2"/>
    <mergeCell ref="A3:G3"/>
    <mergeCell ref="A4:G4"/>
    <mergeCell ref="A15:C15"/>
    <mergeCell ref="G15:N15"/>
  </mergeCells>
  <hyperlinks>
    <hyperlink ref="A7" location="$A$7" tooltip="Graph model 1" display="$A$7" xr:uid="{11D6A929-DD85-4472-B557-54B93FF015DB}"/>
    <hyperlink ref="A9" location="$A$9" tooltip="Graph model 3" display="$A$9" xr:uid="{92FD870D-9593-498D-A922-39A794F64189}"/>
    <hyperlink ref="A12" location="$A$12" tooltip="Graph model 2" display="$A$12" xr:uid="{D7D450D2-CE38-40AA-BE3C-B4643D517F3A}"/>
  </hyperlinks>
  <pageMargins left="0.7" right="0.7" top="0.75" bottom="0.75" header="0.3" footer="0.3"/>
  <customProperties>
    <customPr name="SheetGUID" r:id="rId1"/>
  </customProperties>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06DC5-005D-441F-ACD9-B2F773F9B537}">
  <sheetPr>
    <tabColor rgb="FF11CC50"/>
  </sheetPr>
  <dimension ref="A1:N17"/>
  <sheetViews>
    <sheetView topLeftCell="A3" workbookViewId="0"/>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2" customWidth="1"/>
    <col min="8" max="8" width="9.140625" style="22"/>
    <col min="9" max="9" width="13.7109375" style="22" customWidth="1"/>
    <col min="10" max="10" width="16.42578125" style="22"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4" t="s">
        <v>32</v>
      </c>
      <c r="B2" s="4"/>
      <c r="C2" s="4"/>
      <c r="D2" s="4"/>
      <c r="E2" s="4"/>
    </row>
    <row r="3" spans="1:14" x14ac:dyDescent="0.25">
      <c r="A3" s="5" t="s">
        <v>33</v>
      </c>
      <c r="B3" s="5"/>
      <c r="C3" s="5"/>
      <c r="D3" s="5"/>
      <c r="E3" s="5"/>
      <c r="F3" s="5"/>
      <c r="G3" s="5"/>
    </row>
    <row r="4" spans="1:14" ht="105" customHeight="1" x14ac:dyDescent="0.25">
      <c r="A4" s="6" t="s">
        <v>34</v>
      </c>
      <c r="B4" s="6"/>
      <c r="C4" s="6"/>
      <c r="D4" s="6"/>
      <c r="E4" s="6"/>
      <c r="F4" s="6"/>
      <c r="G4" s="6"/>
    </row>
    <row r="6" spans="1:14" ht="15.75" thickBot="1" x14ac:dyDescent="0.3">
      <c r="A6" t="s">
        <v>11</v>
      </c>
      <c r="B6" t="s">
        <v>12</v>
      </c>
      <c r="C6" t="s">
        <v>13</v>
      </c>
      <c r="D6" t="s">
        <v>14</v>
      </c>
      <c r="E6" t="s">
        <v>15</v>
      </c>
      <c r="F6" t="s">
        <v>16</v>
      </c>
      <c r="G6" s="22" t="s">
        <v>17</v>
      </c>
      <c r="H6" s="22" t="s">
        <v>18</v>
      </c>
      <c r="I6" s="22" t="s">
        <v>19</v>
      </c>
      <c r="J6" s="22" t="s">
        <v>20</v>
      </c>
      <c r="K6" t="s">
        <v>21</v>
      </c>
      <c r="L6" t="s">
        <v>22</v>
      </c>
      <c r="M6" t="s">
        <v>23</v>
      </c>
      <c r="N6" t="s">
        <v>24</v>
      </c>
    </row>
    <row r="7" spans="1:14" x14ac:dyDescent="0.25">
      <c r="A7" s="13">
        <v>3</v>
      </c>
      <c r="B7" s="14" t="b">
        <v>1</v>
      </c>
      <c r="C7" s="14" t="s">
        <v>5</v>
      </c>
      <c r="D7" s="14" t="s">
        <v>26</v>
      </c>
      <c r="E7" s="14">
        <v>2.5600445765450646</v>
      </c>
      <c r="F7" s="14">
        <v>0.26048019099461911</v>
      </c>
      <c r="G7" s="23">
        <v>4.1327635892594297E-6</v>
      </c>
      <c r="H7" s="23">
        <v>0.91487172597815192</v>
      </c>
      <c r="I7" s="23">
        <v>0.89595433175107453</v>
      </c>
      <c r="J7" s="23">
        <v>1.532259161345542E-5</v>
      </c>
      <c r="K7" s="14">
        <v>2778.2078193132211</v>
      </c>
      <c r="L7" s="14">
        <v>92621264.247517481</v>
      </c>
      <c r="M7" s="14"/>
      <c r="N7" s="15" t="s">
        <v>35</v>
      </c>
    </row>
    <row r="8" spans="1:14" x14ac:dyDescent="0.25">
      <c r="A8" s="30"/>
      <c r="B8" s="31"/>
      <c r="C8" s="31" t="s">
        <v>6</v>
      </c>
      <c r="D8" s="31" t="s">
        <v>26</v>
      </c>
      <c r="E8" s="31">
        <v>211.52060523853802</v>
      </c>
      <c r="F8" s="31">
        <v>68.5392318953607</v>
      </c>
      <c r="G8" s="33">
        <v>1.3010632033247579E-2</v>
      </c>
      <c r="H8" s="33"/>
      <c r="I8" s="33"/>
      <c r="J8" s="33"/>
      <c r="K8" s="31"/>
      <c r="L8" s="31"/>
      <c r="M8" s="31"/>
      <c r="N8" s="32"/>
    </row>
    <row r="9" spans="1:14" ht="15.75" thickBot="1" x14ac:dyDescent="0.3">
      <c r="A9" s="16"/>
      <c r="B9" s="17"/>
      <c r="C9" s="17"/>
      <c r="D9" s="17"/>
      <c r="E9" s="17">
        <v>7322.7277400924931</v>
      </c>
      <c r="F9" s="17"/>
      <c r="G9" s="24"/>
      <c r="H9" s="24"/>
      <c r="I9" s="24"/>
      <c r="J9" s="24"/>
      <c r="K9" s="17"/>
      <c r="L9" s="17"/>
      <c r="M9" s="17"/>
      <c r="N9" s="18"/>
    </row>
    <row r="10" spans="1:14" x14ac:dyDescent="0.25">
      <c r="A10" s="7">
        <v>1</v>
      </c>
      <c r="B10" s="8" t="b">
        <v>1</v>
      </c>
      <c r="C10" s="8" t="s">
        <v>5</v>
      </c>
      <c r="D10" s="8" t="s">
        <v>26</v>
      </c>
      <c r="E10" s="8">
        <v>2.2799987904556014</v>
      </c>
      <c r="F10" s="8">
        <v>0.33231433346709249</v>
      </c>
      <c r="G10" s="25">
        <v>4.3990300113130247E-5</v>
      </c>
      <c r="H10" s="25">
        <v>0.82478553727170401</v>
      </c>
      <c r="I10" s="25">
        <v>0.80726409099887442</v>
      </c>
      <c r="J10" s="25">
        <v>4.3990300113130071E-5</v>
      </c>
      <c r="K10" s="8">
        <v>3985.7751107715085</v>
      </c>
      <c r="L10" s="8">
        <v>190636838.80374756</v>
      </c>
      <c r="M10" s="8"/>
      <c r="N10" s="9" t="s">
        <v>36</v>
      </c>
    </row>
    <row r="11" spans="1:14" ht="15.75" thickBot="1" x14ac:dyDescent="0.3">
      <c r="A11" s="10"/>
      <c r="B11" s="11"/>
      <c r="C11" s="11"/>
      <c r="D11" s="11"/>
      <c r="E11" s="11">
        <v>27990.347606540548</v>
      </c>
      <c r="F11" s="11"/>
      <c r="G11" s="27"/>
      <c r="H11" s="27"/>
      <c r="I11" s="27"/>
      <c r="J11" s="27"/>
      <c r="K11" s="11"/>
      <c r="L11" s="11"/>
      <c r="M11" s="11"/>
      <c r="N11" s="12"/>
    </row>
    <row r="12" spans="1:14" x14ac:dyDescent="0.25">
      <c r="A12" s="7">
        <v>2</v>
      </c>
      <c r="B12" s="8" t="b">
        <v>0</v>
      </c>
      <c r="C12" s="8" t="s">
        <v>6</v>
      </c>
      <c r="D12" s="8" t="s">
        <v>28</v>
      </c>
      <c r="E12" s="8">
        <v>-23.146897638532259</v>
      </c>
      <c r="F12" s="8">
        <v>208.76700073956806</v>
      </c>
      <c r="G12" s="25">
        <v>0.91390974793767454</v>
      </c>
      <c r="H12" s="25">
        <v>1.2278019620214505E-3</v>
      </c>
      <c r="I12" s="25">
        <v>-9.8649417841776457E-2</v>
      </c>
      <c r="J12" s="25">
        <v>0.91390974793767876</v>
      </c>
      <c r="K12" s="8">
        <v>9516.1447095003841</v>
      </c>
      <c r="L12" s="8">
        <v>1086684121.5858259</v>
      </c>
      <c r="M12" s="8"/>
      <c r="N12" s="9" t="s">
        <v>37</v>
      </c>
    </row>
    <row r="13" spans="1:14" x14ac:dyDescent="0.25">
      <c r="A13" s="19"/>
      <c r="B13" s="20"/>
      <c r="C13" s="20"/>
      <c r="D13" s="20"/>
      <c r="E13" s="20">
        <v>81591.072699787284</v>
      </c>
      <c r="F13" s="20"/>
      <c r="G13" s="26"/>
      <c r="H13" s="26"/>
      <c r="I13" s="26"/>
      <c r="J13" s="26"/>
      <c r="K13" s="20"/>
      <c r="L13" s="20"/>
      <c r="M13" s="20"/>
      <c r="N13" s="21"/>
    </row>
    <row r="15" spans="1:14" s="28" customFormat="1" ht="75" customHeight="1" x14ac:dyDescent="0.25">
      <c r="A15" s="5" t="s">
        <v>30</v>
      </c>
      <c r="B15" s="5"/>
      <c r="C15" s="5"/>
      <c r="G15" s="29" t="s">
        <v>31</v>
      </c>
      <c r="H15" s="29"/>
      <c r="I15" s="29"/>
      <c r="J15" s="29"/>
      <c r="K15" s="29"/>
      <c r="L15" s="29"/>
      <c r="M15" s="29"/>
      <c r="N15" s="29"/>
    </row>
    <row r="16" spans="1:14" ht="268.35000000000002" customHeight="1" x14ac:dyDescent="0.25"/>
    <row r="17" ht="268.35000000000002" customHeight="1" x14ac:dyDescent="0.25"/>
  </sheetData>
  <mergeCells count="5">
    <mergeCell ref="A2:E2"/>
    <mergeCell ref="A3:G3"/>
    <mergeCell ref="A4:G4"/>
    <mergeCell ref="A15:C15"/>
    <mergeCell ref="G15:N15"/>
  </mergeCells>
  <hyperlinks>
    <hyperlink ref="A7" location="$A$7" tooltip="Graph model 3" display="$A$7" xr:uid="{C1B9F187-8C6B-40A7-96A1-243D33A20057}"/>
    <hyperlink ref="A10" location="$A$10" tooltip="Graph model 1" display="$A$10" xr:uid="{2B27AEF1-E643-41E5-9930-A7205F7D552D}"/>
    <hyperlink ref="A12" location="$A$12" tooltip="Graph model 2" display="$A$12" xr:uid="{3DFC7172-7E58-498D-97E6-693B28548F68}"/>
  </hyperlinks>
  <pageMargins left="0.7" right="0.7" top="0.75" bottom="0.75" header="0.3" footer="0.3"/>
  <customProperties>
    <customPr name="SheetGUID" r:id="rId1"/>
  </customPropertie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46DC-17C1-42B4-A7CF-873A23ADE5E1}">
  <sheetPr>
    <tabColor rgb="FF11CC50"/>
  </sheetPr>
  <dimension ref="A1:AL86"/>
  <sheetViews>
    <sheetView workbookViewId="0">
      <selection activeCell="A20" sqref="A20:D20"/>
    </sheetView>
  </sheetViews>
  <sheetFormatPr defaultRowHeight="15" x14ac:dyDescent="0.25"/>
  <cols>
    <col min="1" max="1" width="11" customWidth="1"/>
    <col min="2" max="2" width="27.7109375" bestFit="1" customWidth="1"/>
    <col min="3" max="3" width="21" customWidth="1"/>
    <col min="4" max="4" width="21.140625" customWidth="1"/>
    <col min="5" max="5" width="22.140625" customWidth="1"/>
    <col min="6" max="6" width="12.85546875" customWidth="1"/>
    <col min="7" max="7" width="14.7109375" customWidth="1"/>
    <col min="10" max="12" width="0" hidden="1" customWidth="1"/>
    <col min="13" max="13" width="20.7109375" customWidth="1"/>
    <col min="17" max="17" width="0" hidden="1" customWidth="1"/>
    <col min="19" max="30" width="16.42578125" customWidth="1"/>
  </cols>
  <sheetData>
    <row r="1" spans="1:38" ht="212.1" customHeight="1" x14ac:dyDescent="0.25"/>
    <row r="2" spans="1:38" ht="18.75" hidden="1" x14ac:dyDescent="0.3">
      <c r="A2" s="49" t="s">
        <v>61</v>
      </c>
    </row>
    <row r="3" spans="1:38" ht="69" hidden="1" customHeight="1" x14ac:dyDescent="0.25">
      <c r="A3" s="50" t="s">
        <v>62</v>
      </c>
      <c r="B3" s="50"/>
      <c r="C3" s="50"/>
      <c r="D3" s="50"/>
      <c r="E3" s="50"/>
      <c r="F3" s="50"/>
      <c r="G3" s="50"/>
      <c r="H3" s="50"/>
      <c r="I3" s="50"/>
    </row>
    <row r="4" spans="1:38" ht="18.75" x14ac:dyDescent="0.3">
      <c r="A4" s="49" t="s">
        <v>63</v>
      </c>
    </row>
    <row r="5" spans="1:38" ht="129.94999999999999" customHeight="1" x14ac:dyDescent="0.25">
      <c r="A5" s="6" t="s">
        <v>64</v>
      </c>
      <c r="B5" s="4"/>
      <c r="C5" s="4"/>
      <c r="D5" s="4"/>
      <c r="E5" s="4"/>
      <c r="F5" s="4"/>
      <c r="G5" s="4"/>
    </row>
    <row r="6" spans="1:38" s="51" customFormat="1" x14ac:dyDescent="0.25">
      <c r="A6" s="55" t="s">
        <v>38</v>
      </c>
      <c r="B6" s="55" t="s">
        <v>73</v>
      </c>
      <c r="C6" s="52" t="s">
        <v>5</v>
      </c>
      <c r="D6" s="52" t="s">
        <v>6</v>
      </c>
    </row>
    <row r="7" spans="1:38" s="51" customFormat="1" hidden="1" x14ac:dyDescent="0.25">
      <c r="A7" s="56"/>
      <c r="B7" s="56" t="s">
        <v>67</v>
      </c>
      <c r="C7" s="57">
        <v>22823.916666666701</v>
      </c>
      <c r="D7" s="57">
        <v>67.491666666666703</v>
      </c>
    </row>
    <row r="8" spans="1:38" s="51" customFormat="1" x14ac:dyDescent="0.25">
      <c r="A8" s="56"/>
      <c r="B8" s="56" t="s">
        <v>68</v>
      </c>
      <c r="C8" s="57">
        <v>14940.333333333299</v>
      </c>
      <c r="D8" s="57">
        <v>65.858333333333306</v>
      </c>
    </row>
    <row r="9" spans="1:38" s="51" customFormat="1" x14ac:dyDescent="0.25">
      <c r="A9" s="58" t="s">
        <v>65</v>
      </c>
      <c r="B9" s="58" t="s">
        <v>69</v>
      </c>
      <c r="C9" s="59">
        <v>15705</v>
      </c>
      <c r="D9" s="59">
        <v>42.3</v>
      </c>
    </row>
    <row r="10" spans="1:38" s="51" customFormat="1" x14ac:dyDescent="0.25">
      <c r="A10" s="58"/>
      <c r="B10" s="58" t="s">
        <v>70</v>
      </c>
      <c r="C10" s="59">
        <v>28724</v>
      </c>
      <c r="D10" s="59">
        <v>87.8</v>
      </c>
    </row>
    <row r="11" spans="1:38" s="51" customFormat="1" x14ac:dyDescent="0.25">
      <c r="A11" s="60" t="s">
        <v>66</v>
      </c>
      <c r="B11" s="60" t="s">
        <v>71</v>
      </c>
      <c r="C11" s="61">
        <v>10939.462167195499</v>
      </c>
      <c r="D11" s="61">
        <v>22.3253452434083</v>
      </c>
    </row>
    <row r="12" spans="1:38" s="51" customFormat="1" x14ac:dyDescent="0.25">
      <c r="A12" s="60"/>
      <c r="B12" s="60" t="s">
        <v>72</v>
      </c>
      <c r="C12" s="61">
        <v>34708.371166137797</v>
      </c>
      <c r="D12" s="61">
        <v>112.657988089925</v>
      </c>
    </row>
    <row r="13" spans="1:38" x14ac:dyDescent="0.25">
      <c r="A13" s="53"/>
      <c r="B13" s="53" t="s">
        <v>14</v>
      </c>
      <c r="C13" s="54" t="s">
        <v>26</v>
      </c>
      <c r="D13" s="54" t="s">
        <v>26</v>
      </c>
    </row>
    <row r="14" spans="1:38" ht="165" x14ac:dyDescent="0.25">
      <c r="A14" s="43" t="s">
        <v>0</v>
      </c>
      <c r="B14" s="43" t="s">
        <v>1</v>
      </c>
      <c r="C14" s="43" t="s">
        <v>2</v>
      </c>
      <c r="D14" s="43" t="s">
        <v>3</v>
      </c>
      <c r="E14" s="43" t="s">
        <v>4</v>
      </c>
      <c r="F14" s="43" t="s">
        <v>5</v>
      </c>
      <c r="G14" s="43" t="s">
        <v>6</v>
      </c>
      <c r="H14" s="43" t="s">
        <v>7</v>
      </c>
      <c r="I14" s="43" t="s">
        <v>39</v>
      </c>
      <c r="J14" s="43" t="s">
        <v>40</v>
      </c>
      <c r="K14" s="43" t="s">
        <v>41</v>
      </c>
      <c r="L14" s="43" t="s">
        <v>42</v>
      </c>
      <c r="M14" s="43" t="s">
        <v>43</v>
      </c>
      <c r="N14" s="44" t="s">
        <v>44</v>
      </c>
      <c r="O14" s="44" t="s">
        <v>45</v>
      </c>
      <c r="P14" s="44" t="s">
        <v>46</v>
      </c>
      <c r="Q14" s="44" t="s">
        <v>47</v>
      </c>
      <c r="R14" s="44" t="s">
        <v>48</v>
      </c>
      <c r="S14" s="44" t="s">
        <v>49</v>
      </c>
      <c r="T14" s="44" t="s">
        <v>50</v>
      </c>
      <c r="U14" s="44" t="s">
        <v>51</v>
      </c>
      <c r="V14" s="44" t="s">
        <v>52</v>
      </c>
      <c r="W14" s="44" t="s">
        <v>53</v>
      </c>
      <c r="X14" s="44" t="s">
        <v>54</v>
      </c>
      <c r="Y14" s="44" t="s">
        <v>55</v>
      </c>
      <c r="Z14" s="44" t="s">
        <v>56</v>
      </c>
      <c r="AA14" s="44" t="s">
        <v>57</v>
      </c>
      <c r="AB14" s="44" t="s">
        <v>58</v>
      </c>
      <c r="AC14" s="44" t="s">
        <v>59</v>
      </c>
      <c r="AD14" s="44" t="s">
        <v>60</v>
      </c>
    </row>
    <row r="15" spans="1:38" x14ac:dyDescent="0.25">
      <c r="A15" s="40">
        <v>39083</v>
      </c>
      <c r="B15" s="37">
        <v>15398553</v>
      </c>
      <c r="C15" s="37">
        <v>157626.14829157799</v>
      </c>
      <c r="D15" s="37">
        <v>910461</v>
      </c>
      <c r="E15" s="37">
        <v>91046.1</v>
      </c>
      <c r="F15" s="37">
        <v>28724</v>
      </c>
      <c r="G15" s="37">
        <v>42.3</v>
      </c>
      <c r="H15" s="38">
        <v>2007</v>
      </c>
      <c r="I15" s="37">
        <f>DetailTable4[Electricity (MMBTU)]+DetailTable4[Natural gas (MMBTU)]</f>
        <v>248672.248291578</v>
      </c>
      <c r="J15" s="37">
        <v>2007</v>
      </c>
      <c r="K15" s="37">
        <v>2007</v>
      </c>
      <c r="L15" s="37">
        <v>2009</v>
      </c>
      <c r="M15"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15" s="39">
        <f>(5.086166746649 * DetailTable4[Production]) + 20110.25</f>
        <v>166205.30363074588</v>
      </c>
      <c r="O15" s="39">
        <f>(2.560044576545 * DetailTable4[Production]) + (211.520605238538 * DetailTable4[Temperature]) + 7322.73</f>
        <v>89804.772018268734</v>
      </c>
      <c r="P15" s="39">
        <f>DetailTable4[Modeled Electricity (MMBTU)]+DetailTable4[Modeled Natural gas (MMBTU)]</f>
        <v>256010.07564901462</v>
      </c>
      <c r="Q15"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15" s="39" t="str">
        <f>IF(DetailTable4[Period]=DetailTable4[Model Year],"",DetailTable4[CUSUMHidden])</f>
        <v/>
      </c>
      <c r="S15"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8579.1553391678899</v>
      </c>
      <c r="T15"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-1241.3279817312723</v>
      </c>
      <c r="U15" s="45" t="str">
        <f ca="1">IF(DetailTable4[Period]&lt;=DetailTable4[Model Year],"N/A",SUM(DetailTable4[[#This Row],[Total Modeled Energy Consumption (MMBTU)]]:OFFSET(DetailTable4[[#This Row],[Total Modeled Energy Consumption (MMBTU)]],-11,0))-SUM(DetailTable4[[#This Row],[TOTAL  (MMBTU)]]:OFFSET(DetailTable4[[#This Row],[TOTAL  (MMBTU)]],-11,0)))</f>
        <v>N/A</v>
      </c>
      <c r="V15"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15"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15" s="45" t="str">
        <f ca="1">IF(DetailTable4[Period]&lt;DetailTable4[Model Year],"N/A",IF((AND(DetailTable4[Period]=DetailTable4[Model Year],DetailTable4[Period] =OFFSET(DetailTable4[[#This Row],[Period]],1,0))),"N/A",SUM(DetailTable4[[#This Row],[TOTAL  (MMBTU)]]:OFFSET(DetailTable4[[#This Row],[TOTAL  (MMBTU)]],-11,0))))</f>
        <v>N/A</v>
      </c>
      <c r="Y15"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15"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15"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1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1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1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15" s="34"/>
      <c r="AF15" s="34"/>
      <c r="AG15" s="34"/>
      <c r="AH15" s="34"/>
      <c r="AI15" s="34"/>
      <c r="AJ15" s="34"/>
      <c r="AK15" s="34"/>
      <c r="AL15" s="34"/>
    </row>
    <row r="16" spans="1:38" x14ac:dyDescent="0.25">
      <c r="A16" s="40">
        <v>39114</v>
      </c>
      <c r="B16" s="37">
        <v>14046280</v>
      </c>
      <c r="C16" s="37">
        <v>143783.70579528</v>
      </c>
      <c r="D16" s="37">
        <v>794058</v>
      </c>
      <c r="E16" s="37">
        <v>79405.8</v>
      </c>
      <c r="F16" s="37">
        <v>23799</v>
      </c>
      <c r="G16" s="37">
        <v>49.3</v>
      </c>
      <c r="H16" s="38">
        <v>2007</v>
      </c>
      <c r="I16" s="37">
        <f>DetailTable4[Electricity (MMBTU)]+DetailTable4[Natural gas (MMBTU)]</f>
        <v>223189.50579527998</v>
      </c>
      <c r="J16" s="37">
        <v>2007</v>
      </c>
      <c r="K16" s="37">
        <v>2007</v>
      </c>
      <c r="L16" s="37">
        <v>2009</v>
      </c>
      <c r="M16"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16" s="39">
        <f>(5.086166746649 * DetailTable4[Production]) + 20110.25</f>
        <v>141155.93240349955</v>
      </c>
      <c r="O16" s="39">
        <f>(2.560044576545 * DetailTable4[Production]) + (211.520605238538 * DetailTable4[Temperature]) + 7322.73</f>
        <v>78677.196715454382</v>
      </c>
      <c r="P16" s="39">
        <f>DetailTable4[Modeled Electricity (MMBTU)]+DetailTable4[Modeled Natural gas (MMBTU)]</f>
        <v>219833.12911895395</v>
      </c>
      <c r="Q16"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16" s="39" t="str">
        <f>IF(DetailTable4[Period]=DetailTable4[Model Year],"",DetailTable4[CUSUMHidden])</f>
        <v/>
      </c>
      <c r="S16"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-2627.7733917804435</v>
      </c>
      <c r="T16"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-728.60328454562114</v>
      </c>
      <c r="U16" s="45" t="str">
        <f ca="1">IF(DetailTable4[Period]&lt;=DetailTable4[Model Year],"N/A",SUM(DetailTable4[[#This Row],[Total Modeled Energy Consumption (MMBTU)]]:OFFSET(DetailTable4[[#This Row],[Total Modeled Energy Consumption (MMBTU)]],-11,0))-SUM(DetailTable4[[#This Row],[TOTAL  (MMBTU)]]:OFFSET(DetailTable4[[#This Row],[TOTAL  (MMBTU)]],-11,0)))</f>
        <v>N/A</v>
      </c>
      <c r="V16"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16"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16" s="45" t="str">
        <f ca="1">IF(DetailTable4[Period]&lt;DetailTable4[Model Year],"N/A",IF((AND(DetailTable4[Period]=DetailTable4[Model Year],DetailTable4[Period] =OFFSET(DetailTable4[[#This Row],[Period]],1,0))),"N/A",SUM(DetailTable4[[#This Row],[TOTAL  (MMBTU)]]:OFFSET(DetailTable4[[#This Row],[TOTAL  (MMBTU)]],-11,0))))</f>
        <v>N/A</v>
      </c>
      <c r="Y16"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16"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16"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1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1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1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16" s="34"/>
      <c r="AF16" s="34"/>
      <c r="AG16" s="34"/>
      <c r="AH16" s="34"/>
      <c r="AI16" s="34"/>
      <c r="AJ16" s="34"/>
      <c r="AK16" s="34"/>
      <c r="AL16" s="34"/>
    </row>
    <row r="17" spans="1:38" x14ac:dyDescent="0.25">
      <c r="A17" s="40">
        <v>39142</v>
      </c>
      <c r="B17" s="37">
        <v>14908571</v>
      </c>
      <c r="C17" s="37">
        <v>152610.483807246</v>
      </c>
      <c r="D17" s="37">
        <v>835772</v>
      </c>
      <c r="E17" s="37">
        <v>83577.200000000012</v>
      </c>
      <c r="F17" s="37">
        <v>25162</v>
      </c>
      <c r="G17" s="37">
        <v>63.9</v>
      </c>
      <c r="H17" s="38">
        <v>2007</v>
      </c>
      <c r="I17" s="37">
        <f>DetailTable4[Electricity (MMBTU)]+DetailTable4[Natural gas (MMBTU)]</f>
        <v>236187.68380724601</v>
      </c>
      <c r="J17" s="37">
        <v>2007</v>
      </c>
      <c r="K17" s="37">
        <v>2007</v>
      </c>
      <c r="L17" s="37">
        <v>2009</v>
      </c>
      <c r="M17"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17" s="39">
        <f>(5.086166746649 * DetailTable4[Production]) + 20110.25</f>
        <v>148088.37767918213</v>
      </c>
      <c r="O17" s="39">
        <f>(2.560044576545 * DetailTable4[Production]) + (211.520605238538 * DetailTable4[Temperature]) + 7322.73</f>
        <v>85254.738309767868</v>
      </c>
      <c r="P17" s="39">
        <f>DetailTable4[Modeled Electricity (MMBTU)]+DetailTable4[Modeled Natural gas (MMBTU)]</f>
        <v>233343.11598895001</v>
      </c>
      <c r="Q17"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17" s="39" t="str">
        <f>IF(DetailTable4[Period]=DetailTable4[Model Year],"",DetailTable4[CUSUMHidden])</f>
        <v/>
      </c>
      <c r="S17"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-4522.1061280638678</v>
      </c>
      <c r="T17"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1677.5383097678568</v>
      </c>
      <c r="U17" s="45" t="str">
        <f ca="1">IF(DetailTable4[Period]&lt;=DetailTable4[Model Year],"N/A",SUM(DetailTable4[[#This Row],[Total Modeled Energy Consumption (MMBTU)]]:OFFSET(DetailTable4[[#This Row],[Total Modeled Energy Consumption (MMBTU)]],-11,0))-SUM(DetailTable4[[#This Row],[TOTAL  (MMBTU)]]:OFFSET(DetailTable4[[#This Row],[TOTAL  (MMBTU)]],-11,0)))</f>
        <v>N/A</v>
      </c>
      <c r="V17"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17"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17" s="45" t="str">
        <f ca="1">IF(DetailTable4[Period]&lt;DetailTable4[Model Year],"N/A",IF((AND(DetailTable4[Period]=DetailTable4[Model Year],DetailTable4[Period] =OFFSET(DetailTable4[[#This Row],[Period]],1,0))),"N/A",SUM(DetailTable4[[#This Row],[TOTAL  (MMBTU)]]:OFFSET(DetailTable4[[#This Row],[TOTAL  (MMBTU)]],-11,0))))</f>
        <v>N/A</v>
      </c>
      <c r="Y17"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17"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17"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17"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17"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17"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17" s="34"/>
      <c r="AF17" s="34"/>
      <c r="AG17" s="34"/>
      <c r="AH17" s="34"/>
      <c r="AI17" s="34"/>
      <c r="AJ17" s="34"/>
      <c r="AK17" s="34"/>
      <c r="AL17" s="34"/>
    </row>
    <row r="18" spans="1:38" x14ac:dyDescent="0.25">
      <c r="A18" s="40">
        <v>39173</v>
      </c>
      <c r="B18" s="37">
        <v>8635463</v>
      </c>
      <c r="C18" s="37">
        <v>88396.277975238001</v>
      </c>
      <c r="D18" s="37">
        <v>590247</v>
      </c>
      <c r="E18" s="37">
        <v>59024.700000000004</v>
      </c>
      <c r="F18" s="37">
        <v>16838</v>
      </c>
      <c r="G18" s="37">
        <v>62.3</v>
      </c>
      <c r="H18" s="38">
        <v>2007</v>
      </c>
      <c r="I18" s="37">
        <f>DetailTable4[Electricity (MMBTU)]+DetailTable4[Natural gas (MMBTU)]</f>
        <v>147420.977975238</v>
      </c>
      <c r="J18" s="37">
        <v>2007</v>
      </c>
      <c r="K18" s="37">
        <v>2007</v>
      </c>
      <c r="L18" s="37">
        <v>2009</v>
      </c>
      <c r="M18"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18" s="39">
        <f>(5.086166746649 * DetailTable4[Production]) + 20110.25</f>
        <v>105751.12568007586</v>
      </c>
      <c r="O18" s="39">
        <f>(2.560044576545 * DetailTable4[Production]) + (211.520605238538 * DetailTable4[Temperature]) + 7322.73</f>
        <v>63606.494286225628</v>
      </c>
      <c r="P18" s="39">
        <f>DetailTable4[Modeled Electricity (MMBTU)]+DetailTable4[Modeled Natural gas (MMBTU)]</f>
        <v>169357.61996630148</v>
      </c>
      <c r="Q18"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18" s="39" t="str">
        <f>IF(DetailTable4[Period]=DetailTable4[Model Year],"",DetailTable4[CUSUMHidden])</f>
        <v/>
      </c>
      <c r="S18"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17354.847704837855</v>
      </c>
      <c r="T18"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4581.7942862256241</v>
      </c>
      <c r="U18" s="45" t="str">
        <f ca="1">IF(DetailTable4[Period]&lt;=DetailTable4[Model Year],"N/A",SUM(DetailTable4[[#This Row],[Total Modeled Energy Consumption (MMBTU)]]:OFFSET(DetailTable4[[#This Row],[Total Modeled Energy Consumption (MMBTU)]],-11,0))-SUM(DetailTable4[[#This Row],[TOTAL  (MMBTU)]]:OFFSET(DetailTable4[[#This Row],[TOTAL  (MMBTU)]],-11,0)))</f>
        <v>N/A</v>
      </c>
      <c r="V18"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18"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18" s="45" t="str">
        <f ca="1">IF(DetailTable4[Period]&lt;DetailTable4[Model Year],"N/A",IF((AND(DetailTable4[Period]=DetailTable4[Model Year],DetailTable4[Period] =OFFSET(DetailTable4[[#This Row],[Period]],1,0))),"N/A",SUM(DetailTable4[[#This Row],[TOTAL  (MMBTU)]]:OFFSET(DetailTable4[[#This Row],[TOTAL  (MMBTU)]],-11,0))))</f>
        <v>N/A</v>
      </c>
      <c r="Y18"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18"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18"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18"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18"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18"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18" s="34"/>
      <c r="AF18" s="34"/>
      <c r="AG18" s="34"/>
      <c r="AH18" s="34"/>
      <c r="AI18" s="34"/>
      <c r="AJ18" s="34"/>
      <c r="AK18" s="34"/>
      <c r="AL18" s="34"/>
    </row>
    <row r="19" spans="1:38" x14ac:dyDescent="0.25">
      <c r="A19" s="40">
        <v>39203</v>
      </c>
      <c r="B19" s="37">
        <v>9216821</v>
      </c>
      <c r="C19" s="37">
        <v>94347.306121745991</v>
      </c>
      <c r="D19" s="37">
        <v>621178</v>
      </c>
      <c r="E19" s="37">
        <v>62117.8</v>
      </c>
      <c r="F19" s="37">
        <v>15705</v>
      </c>
      <c r="G19" s="37">
        <v>74.400000000000006</v>
      </c>
      <c r="H19" s="38">
        <v>2007</v>
      </c>
      <c r="I19" s="37">
        <f>DetailTable4[Electricity (MMBTU)]+DetailTable4[Natural gas (MMBTU)]</f>
        <v>156465.10612174601</v>
      </c>
      <c r="J19" s="37">
        <v>2007</v>
      </c>
      <c r="K19" s="37">
        <v>2007</v>
      </c>
      <c r="L19" s="37">
        <v>2009</v>
      </c>
      <c r="M19"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19" s="39">
        <f>(5.086166746649 * DetailTable4[Production]) + 20110.25</f>
        <v>99988.498756122543</v>
      </c>
      <c r="O19" s="39">
        <f>(2.560044576545 * DetailTable4[Production]) + (211.520605238538 * DetailTable4[Temperature]) + 7322.73</f>
        <v>63265.363104386459</v>
      </c>
      <c r="P19" s="39">
        <f>DetailTable4[Modeled Electricity (MMBTU)]+DetailTable4[Modeled Natural gas (MMBTU)]</f>
        <v>163253.861860509</v>
      </c>
      <c r="Q19"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19" s="39" t="str">
        <f>IF(DetailTable4[Period]=DetailTable4[Model Year],"",DetailTable4[CUSUMHidden])</f>
        <v/>
      </c>
      <c r="S19"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5641.1926343765517</v>
      </c>
      <c r="T19"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1147.563104386456</v>
      </c>
      <c r="U19" s="45" t="str">
        <f ca="1">IF(DetailTable4[Period]&lt;=DetailTable4[Model Year],"N/A",SUM(DetailTable4[[#This Row],[Total Modeled Energy Consumption (MMBTU)]]:OFFSET(DetailTable4[[#This Row],[Total Modeled Energy Consumption (MMBTU)]],-11,0))-SUM(DetailTable4[[#This Row],[TOTAL  (MMBTU)]]:OFFSET(DetailTable4[[#This Row],[TOTAL  (MMBTU)]],-11,0)))</f>
        <v>N/A</v>
      </c>
      <c r="V19"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19"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19" s="45" t="str">
        <f ca="1">IF(DetailTable4[Period]&lt;DetailTable4[Model Year],"N/A",IF((AND(DetailTable4[Period]=DetailTable4[Model Year],DetailTable4[Period] =OFFSET(DetailTable4[[#This Row],[Period]],1,0))),"N/A",SUM(DetailTable4[[#This Row],[TOTAL  (MMBTU)]]:OFFSET(DetailTable4[[#This Row],[TOTAL  (MMBTU)]],-11,0))))</f>
        <v>N/A</v>
      </c>
      <c r="Y19"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19"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19"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19"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19"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19"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19" s="34"/>
      <c r="AF19" s="34"/>
      <c r="AG19" s="34"/>
      <c r="AH19" s="34"/>
      <c r="AI19" s="34"/>
      <c r="AJ19" s="34"/>
      <c r="AK19" s="34"/>
      <c r="AL19" s="34"/>
    </row>
    <row r="20" spans="1:38" x14ac:dyDescent="0.25">
      <c r="A20" s="40">
        <v>39234</v>
      </c>
      <c r="B20" s="37">
        <v>11912004</v>
      </c>
      <c r="C20" s="37">
        <v>121936.34745770399</v>
      </c>
      <c r="D20" s="37">
        <v>767032</v>
      </c>
      <c r="E20" s="37">
        <v>76703.199999999997</v>
      </c>
      <c r="F20" s="37">
        <v>18179</v>
      </c>
      <c r="G20" s="37">
        <v>81.400000000000006</v>
      </c>
      <c r="H20" s="38">
        <v>2007</v>
      </c>
      <c r="I20" s="37">
        <f>DetailTable4[Electricity (MMBTU)]+DetailTable4[Natural gas (MMBTU)]</f>
        <v>198639.54745770397</v>
      </c>
      <c r="J20" s="37">
        <v>2007</v>
      </c>
      <c r="K20" s="37">
        <v>2007</v>
      </c>
      <c r="L20" s="37">
        <v>2009</v>
      </c>
      <c r="M20"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0" s="39">
        <f>(5.086166746649 * DetailTable4[Production]) + 20110.25</f>
        <v>112571.67528733217</v>
      </c>
      <c r="O20" s="39">
        <f>(2.560044576545 * DetailTable4[Production]) + (211.520605238538 * DetailTable4[Temperature]) + 7322.73</f>
        <v>71079.557623428555</v>
      </c>
      <c r="P20" s="39">
        <f>DetailTable4[Modeled Electricity (MMBTU)]+DetailTable4[Modeled Natural gas (MMBTU)]</f>
        <v>183651.23291076074</v>
      </c>
      <c r="Q20"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0" s="39" t="str">
        <f>IF(DetailTable4[Period]=DetailTable4[Model Year],"",DetailTable4[CUSUMHidden])</f>
        <v/>
      </c>
      <c r="S20"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-9364.6721703718213</v>
      </c>
      <c r="T20"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-5623.6423765714426</v>
      </c>
      <c r="U20" s="45" t="str">
        <f ca="1">IF(DetailTable4[Period]&lt;=DetailTable4[Model Year],"N/A",SUM(DetailTable4[[#This Row],[Total Modeled Energy Consumption (MMBTU)]]:OFFSET(DetailTable4[[#This Row],[Total Modeled Energy Consumption (MMBTU)]],-11,0))-SUM(DetailTable4[[#This Row],[TOTAL  (MMBTU)]]:OFFSET(DetailTable4[[#This Row],[TOTAL  (MMBTU)]],-11,0)))</f>
        <v>N/A</v>
      </c>
      <c r="V20"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0"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0" s="45" t="str">
        <f ca="1">IF(DetailTable4[Period]&lt;DetailTable4[Model Year],"N/A",IF((AND(DetailTable4[Period]=DetailTable4[Model Year],DetailTable4[Period] =OFFSET(DetailTable4[[#This Row],[Period]],1,0))),"N/A",SUM(DetailTable4[[#This Row],[TOTAL  (MMBTU)]]:OFFSET(DetailTable4[[#This Row],[TOTAL  (MMBTU)]],-11,0))))</f>
        <v>N/A</v>
      </c>
      <c r="Y20"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0"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0"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0"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0"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0"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0" s="34"/>
      <c r="AF20" s="34"/>
      <c r="AG20" s="34"/>
      <c r="AH20" s="34"/>
      <c r="AI20" s="34"/>
      <c r="AJ20" s="34"/>
      <c r="AK20" s="34"/>
      <c r="AL20" s="34"/>
    </row>
    <row r="21" spans="1:38" x14ac:dyDescent="0.25">
      <c r="A21" s="40">
        <v>39264</v>
      </c>
      <c r="B21" s="37">
        <v>14689537</v>
      </c>
      <c r="C21" s="37">
        <v>150368.358474762</v>
      </c>
      <c r="D21" s="37">
        <v>852646</v>
      </c>
      <c r="E21" s="37">
        <v>85264.6</v>
      </c>
      <c r="F21" s="37">
        <v>23289</v>
      </c>
      <c r="G21" s="37">
        <v>83.7</v>
      </c>
      <c r="H21" s="38">
        <v>2007</v>
      </c>
      <c r="I21" s="37">
        <f>DetailTable4[Electricity (MMBTU)]+DetailTable4[Natural gas (MMBTU)]</f>
        <v>235632.95847476201</v>
      </c>
      <c r="J21" s="37">
        <v>2007</v>
      </c>
      <c r="K21" s="37">
        <v>2007</v>
      </c>
      <c r="L21" s="37">
        <v>2009</v>
      </c>
      <c r="M21"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1" s="39">
        <f>(5.086166746649 * DetailTable4[Production]) + 20110.25</f>
        <v>138561.98736270855</v>
      </c>
      <c r="O21" s="39">
        <f>(2.560044576545 * DetailTable4[Production]) + (211.520605238538 * DetailTable4[Temperature]) + 7322.73</f>
        <v>84647.882801622138</v>
      </c>
      <c r="P21" s="39">
        <f>DetailTable4[Modeled Electricity (MMBTU)]+DetailTable4[Modeled Natural gas (MMBTU)]</f>
        <v>223209.8701643307</v>
      </c>
      <c r="Q21"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1" s="39" t="str">
        <f>IF(DetailTable4[Period]=DetailTable4[Model Year],"",DetailTable4[CUSUMHidden])</f>
        <v/>
      </c>
      <c r="S21"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-11806.371112053457</v>
      </c>
      <c r="T21"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-616.71719837786804</v>
      </c>
      <c r="U21" s="45" t="str">
        <f ca="1">IF(DetailTable4[Period]&lt;=DetailTable4[Model Year],"N/A",SUM(DetailTable4[[#This Row],[Total Modeled Energy Consumption (MMBTU)]]:OFFSET(DetailTable4[[#This Row],[Total Modeled Energy Consumption (MMBTU)]],-11,0))-SUM(DetailTable4[[#This Row],[TOTAL  (MMBTU)]]:OFFSET(DetailTable4[[#This Row],[TOTAL  (MMBTU)]],-11,0)))</f>
        <v>N/A</v>
      </c>
      <c r="V21"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1"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1" s="45" t="str">
        <f ca="1">IF(DetailTable4[Period]&lt;DetailTable4[Model Year],"N/A",IF((AND(DetailTable4[Period]=DetailTable4[Model Year],DetailTable4[Period] =OFFSET(DetailTable4[[#This Row],[Period]],1,0))),"N/A",SUM(DetailTable4[[#This Row],[TOTAL  (MMBTU)]]:OFFSET(DetailTable4[[#This Row],[TOTAL  (MMBTU)]],-11,0))))</f>
        <v>N/A</v>
      </c>
      <c r="Y21"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1"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1"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1"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1"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1"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1" s="34"/>
      <c r="AF21" s="34"/>
      <c r="AG21" s="34"/>
      <c r="AH21" s="34"/>
      <c r="AI21" s="34"/>
      <c r="AJ21" s="34"/>
      <c r="AK21" s="34"/>
      <c r="AL21" s="34"/>
    </row>
    <row r="22" spans="1:38" x14ac:dyDescent="0.25">
      <c r="A22" s="40">
        <v>39295</v>
      </c>
      <c r="B22" s="37">
        <v>12765098</v>
      </c>
      <c r="C22" s="37">
        <v>130668.98105974798</v>
      </c>
      <c r="D22" s="37">
        <v>872066</v>
      </c>
      <c r="E22" s="37">
        <v>87206.6</v>
      </c>
      <c r="F22" s="37">
        <v>25115</v>
      </c>
      <c r="G22" s="37">
        <v>87.8</v>
      </c>
      <c r="H22" s="38">
        <v>2007</v>
      </c>
      <c r="I22" s="37">
        <f>DetailTable4[Electricity (MMBTU)]+DetailTable4[Natural gas (MMBTU)]</f>
        <v>217875.58105974799</v>
      </c>
      <c r="J22" s="37">
        <v>2007</v>
      </c>
      <c r="K22" s="37">
        <v>2007</v>
      </c>
      <c r="L22" s="37">
        <v>2009</v>
      </c>
      <c r="M22"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2" s="39">
        <f>(5.086166746649 * DetailTable4[Production]) + 20110.25</f>
        <v>147849.32784208964</v>
      </c>
      <c r="O22" s="39">
        <f>(2.560044576545 * DetailTable4[Production]) + (211.520605238538 * DetailTable4[Temperature]) + 7322.73</f>
        <v>90189.758679871316</v>
      </c>
      <c r="P22" s="39">
        <f>DetailTable4[Modeled Electricity (MMBTU)]+DetailTable4[Modeled Natural gas (MMBTU)]</f>
        <v>238039.08652196097</v>
      </c>
      <c r="Q22"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2" s="39" t="str">
        <f>IF(DetailTable4[Period]=DetailTable4[Model Year],"",DetailTable4[CUSUMHidden])</f>
        <v/>
      </c>
      <c r="S22"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17180.346782341658</v>
      </c>
      <c r="T22"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2983.1586798713106</v>
      </c>
      <c r="U22" s="45" t="str">
        <f ca="1">IF(DetailTable4[Period]&lt;=DetailTable4[Model Year],"N/A",SUM(DetailTable4[[#This Row],[Total Modeled Energy Consumption (MMBTU)]]:OFFSET(DetailTable4[[#This Row],[Total Modeled Energy Consumption (MMBTU)]],-11,0))-SUM(DetailTable4[[#This Row],[TOTAL  (MMBTU)]]:OFFSET(DetailTable4[[#This Row],[TOTAL  (MMBTU)]],-11,0)))</f>
        <v>N/A</v>
      </c>
      <c r="V22"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2"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2" s="45" t="str">
        <f ca="1">IF(DetailTable4[Period]&lt;DetailTable4[Model Year],"N/A",IF((AND(DetailTable4[Period]=DetailTable4[Model Year],DetailTable4[Period] =OFFSET(DetailTable4[[#This Row],[Period]],1,0))),"N/A",SUM(DetailTable4[[#This Row],[TOTAL  (MMBTU)]]:OFFSET(DetailTable4[[#This Row],[TOTAL  (MMBTU)]],-11,0))))</f>
        <v>N/A</v>
      </c>
      <c r="Y22"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2"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2"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2"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2"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2"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2" s="34"/>
      <c r="AF22" s="34"/>
      <c r="AG22" s="34"/>
      <c r="AH22" s="34"/>
      <c r="AI22" s="34"/>
      <c r="AJ22" s="34"/>
      <c r="AK22" s="34"/>
      <c r="AL22" s="34"/>
    </row>
    <row r="23" spans="1:38" x14ac:dyDescent="0.25">
      <c r="A23" s="40">
        <v>39326</v>
      </c>
      <c r="B23" s="37">
        <v>14429648</v>
      </c>
      <c r="C23" s="37">
        <v>147708.023958048</v>
      </c>
      <c r="D23" s="37">
        <v>881760</v>
      </c>
      <c r="E23" s="37">
        <v>88176</v>
      </c>
      <c r="F23" s="37">
        <v>23978</v>
      </c>
      <c r="G23" s="37">
        <v>81.599999999999994</v>
      </c>
      <c r="H23" s="38">
        <v>2007</v>
      </c>
      <c r="I23" s="37">
        <f>DetailTable4[Electricity (MMBTU)]+DetailTable4[Natural gas (MMBTU)]</f>
        <v>235884.023958048</v>
      </c>
      <c r="J23" s="37">
        <v>2007</v>
      </c>
      <c r="K23" s="37">
        <v>2007</v>
      </c>
      <c r="L23" s="37">
        <v>2009</v>
      </c>
      <c r="M23"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3" s="39">
        <f>(5.086166746649 * DetailTable4[Production]) + 20110.25</f>
        <v>142066.35625114973</v>
      </c>
      <c r="O23" s="39">
        <f>(2.560044576545 * DetailTable4[Production]) + (211.520605238538 * DetailTable4[Temperature]) + 7322.73</f>
        <v>85967.560243860717</v>
      </c>
      <c r="P23" s="39">
        <f>DetailTable4[Modeled Electricity (MMBTU)]+DetailTable4[Modeled Natural gas (MMBTU)]</f>
        <v>228033.91649501043</v>
      </c>
      <c r="Q23"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3" s="39" t="str">
        <f>IF(DetailTable4[Period]=DetailTable4[Model Year],"",DetailTable4[CUSUMHidden])</f>
        <v/>
      </c>
      <c r="S23"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-5641.6677068982681</v>
      </c>
      <c r="T23"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-2208.4397561392834</v>
      </c>
      <c r="U23" s="45" t="str">
        <f ca="1">IF(DetailTable4[Period]&lt;=DetailTable4[Model Year],"N/A",SUM(DetailTable4[[#This Row],[Total Modeled Energy Consumption (MMBTU)]]:OFFSET(DetailTable4[[#This Row],[Total Modeled Energy Consumption (MMBTU)]],-11,0))-SUM(DetailTable4[[#This Row],[TOTAL  (MMBTU)]]:OFFSET(DetailTable4[[#This Row],[TOTAL  (MMBTU)]],-11,0)))</f>
        <v>N/A</v>
      </c>
      <c r="V23"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3"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3" s="45" t="str">
        <f ca="1">IF(DetailTable4[Period]&lt;DetailTable4[Model Year],"N/A",IF((AND(DetailTable4[Period]=DetailTable4[Model Year],DetailTable4[Period] =OFFSET(DetailTable4[[#This Row],[Period]],1,0))),"N/A",SUM(DetailTable4[[#This Row],[TOTAL  (MMBTU)]]:OFFSET(DetailTable4[[#This Row],[TOTAL  (MMBTU)]],-11,0))))</f>
        <v>N/A</v>
      </c>
      <c r="Y23"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3"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3"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3"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3"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3"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3" s="34"/>
      <c r="AF23" s="34"/>
      <c r="AG23" s="34"/>
      <c r="AH23" s="34"/>
      <c r="AI23" s="34"/>
      <c r="AJ23" s="34"/>
      <c r="AK23" s="34"/>
      <c r="AL23" s="34"/>
    </row>
    <row r="24" spans="1:38" x14ac:dyDescent="0.25">
      <c r="A24" s="40">
        <v>39356</v>
      </c>
      <c r="B24" s="37">
        <v>14260725</v>
      </c>
      <c r="C24" s="37">
        <v>145978.85616885</v>
      </c>
      <c r="D24" s="37">
        <v>836102</v>
      </c>
      <c r="E24" s="37">
        <v>83610.200000000012</v>
      </c>
      <c r="F24" s="37">
        <v>25098</v>
      </c>
      <c r="G24" s="37">
        <v>72.099999999999994</v>
      </c>
      <c r="H24" s="38">
        <v>2007</v>
      </c>
      <c r="I24" s="37">
        <f>DetailTable4[Electricity (MMBTU)]+DetailTable4[Natural gas (MMBTU)]</f>
        <v>229589.05616885002</v>
      </c>
      <c r="J24" s="37">
        <v>2007</v>
      </c>
      <c r="K24" s="37">
        <v>2007</v>
      </c>
      <c r="L24" s="37">
        <v>2009</v>
      </c>
      <c r="M24"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4" s="39">
        <f>(5.086166746649 * DetailTable4[Production]) + 20110.25</f>
        <v>147762.86300739661</v>
      </c>
      <c r="O24" s="39">
        <f>(2.560044576545 * DetailTable4[Production]) + (211.520605238538 * DetailTable4[Temperature]) + 7322.73</f>
        <v>86825.364419824997</v>
      </c>
      <c r="P24" s="39">
        <f>DetailTable4[Modeled Electricity (MMBTU)]+DetailTable4[Modeled Natural gas (MMBTU)]</f>
        <v>234588.2274272216</v>
      </c>
      <c r="Q24"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4" s="39" t="str">
        <f>IF(DetailTable4[Period]=DetailTable4[Model Year],"",DetailTable4[CUSUMHidden])</f>
        <v/>
      </c>
      <c r="S24"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1784.0068385466002</v>
      </c>
      <c r="T24"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3215.1644198249851</v>
      </c>
      <c r="U24" s="45" t="str">
        <f ca="1">IF(DetailTable4[Period]&lt;=DetailTable4[Model Year],"N/A",SUM(DetailTable4[[#This Row],[Total Modeled Energy Consumption (MMBTU)]]:OFFSET(DetailTable4[[#This Row],[Total Modeled Energy Consumption (MMBTU)]],-11,0))-SUM(DetailTable4[[#This Row],[TOTAL  (MMBTU)]]:OFFSET(DetailTable4[[#This Row],[TOTAL  (MMBTU)]],-11,0)))</f>
        <v>N/A</v>
      </c>
      <c r="V24"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4"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4" s="45" t="str">
        <f ca="1">IF(DetailTable4[Period]&lt;DetailTable4[Model Year],"N/A",IF((AND(DetailTable4[Period]=DetailTable4[Model Year],DetailTable4[Period] =OFFSET(DetailTable4[[#This Row],[Period]],1,0))),"N/A",SUM(DetailTable4[[#This Row],[TOTAL  (MMBTU)]]:OFFSET(DetailTable4[[#This Row],[TOTAL  (MMBTU)]],-11,0))))</f>
        <v>N/A</v>
      </c>
      <c r="Y24"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4"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4"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4"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4"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4"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4" s="34"/>
      <c r="AF24" s="34"/>
      <c r="AG24" s="34"/>
      <c r="AH24" s="34"/>
      <c r="AI24" s="34"/>
      <c r="AJ24" s="34"/>
      <c r="AK24" s="34"/>
      <c r="AL24" s="34"/>
    </row>
    <row r="25" spans="1:38" x14ac:dyDescent="0.25">
      <c r="A25" s="40">
        <v>39387</v>
      </c>
      <c r="B25" s="37">
        <v>14876345</v>
      </c>
      <c r="C25" s="37">
        <v>152280.60474297</v>
      </c>
      <c r="D25" s="37">
        <v>794756</v>
      </c>
      <c r="E25" s="37">
        <v>79475.600000000006</v>
      </c>
      <c r="F25" s="37">
        <v>21929</v>
      </c>
      <c r="G25" s="37">
        <v>61.3</v>
      </c>
      <c r="H25" s="38">
        <v>2007</v>
      </c>
      <c r="I25" s="37">
        <f>DetailTable4[Electricity (MMBTU)]+DetailTable4[Natural gas (MMBTU)]</f>
        <v>231756.20474297</v>
      </c>
      <c r="J25" s="37">
        <v>2007</v>
      </c>
      <c r="K25" s="37">
        <v>2007</v>
      </c>
      <c r="L25" s="37">
        <v>2009</v>
      </c>
      <c r="M25"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5" s="39">
        <f>(5.086166746649 * DetailTable4[Production]) + 20110.25</f>
        <v>131644.80058726593</v>
      </c>
      <c r="O25" s="39">
        <f>(2.560044576545 * DetailTable4[Production]) + (211.520605238538 * DetailTable4[Temperature]) + 7322.73</f>
        <v>76428.160620177689</v>
      </c>
      <c r="P25" s="39">
        <f>DetailTable4[Modeled Electricity (MMBTU)]+DetailTable4[Modeled Natural gas (MMBTU)]</f>
        <v>208072.96120744362</v>
      </c>
      <c r="Q25"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5" s="39" t="str">
        <f>IF(DetailTable4[Period]=DetailTable4[Model Year],"",DetailTable4[CUSUMHidden])</f>
        <v/>
      </c>
      <c r="S25"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-20635.804155704071</v>
      </c>
      <c r="T25"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-3047.4393798223173</v>
      </c>
      <c r="U25" s="45" t="str">
        <f ca="1">IF(DetailTable4[Period]&lt;=DetailTable4[Model Year],"N/A",SUM(DetailTable4[[#This Row],[Total Modeled Energy Consumption (MMBTU)]]:OFFSET(DetailTable4[[#This Row],[Total Modeled Energy Consumption (MMBTU)]],-11,0))-SUM(DetailTable4[[#This Row],[TOTAL  (MMBTU)]]:OFFSET(DetailTable4[[#This Row],[TOTAL  (MMBTU)]],-11,0)))</f>
        <v>N/A</v>
      </c>
      <c r="V25" s="47" t="str">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N/A</v>
      </c>
      <c r="W25"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5" s="45" t="str">
        <f ca="1">IF(DetailTable4[Period]&lt;DetailTable4[Model Year],"N/A",IF((AND(DetailTable4[Period]=DetailTable4[Model Year],DetailTable4[Period] =OFFSET(DetailTable4[[#This Row],[Period]],1,0))),"N/A",SUM(DetailTable4[[#This Row],[TOTAL  (MMBTU)]]:OFFSET(DetailTable4[[#This Row],[TOTAL  (MMBTU)]],-11,0))))</f>
        <v>N/A</v>
      </c>
      <c r="Y25" s="45" t="str">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N/A</v>
      </c>
      <c r="Z25" s="45" t="str">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N/A</v>
      </c>
      <c r="AA25" s="45" t="str">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N/A</v>
      </c>
      <c r="AB2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5"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5" s="34"/>
      <c r="AF25" s="34"/>
      <c r="AG25" s="34"/>
      <c r="AH25" s="34"/>
      <c r="AI25" s="34"/>
      <c r="AJ25" s="34"/>
      <c r="AK25" s="34"/>
      <c r="AL25" s="34"/>
    </row>
    <row r="26" spans="1:38" x14ac:dyDescent="0.25">
      <c r="A26" s="40">
        <v>39417</v>
      </c>
      <c r="B26" s="37">
        <v>14521951</v>
      </c>
      <c r="C26" s="37">
        <v>148652.87678712601</v>
      </c>
      <c r="D26" s="37">
        <v>847384</v>
      </c>
      <c r="E26" s="37">
        <v>84738.400000000009</v>
      </c>
      <c r="F26" s="37">
        <v>26071</v>
      </c>
      <c r="G26" s="37">
        <v>49.8</v>
      </c>
      <c r="H26" s="38">
        <v>2007</v>
      </c>
      <c r="I26" s="37">
        <f>DetailTable4[Electricity (MMBTU)]+DetailTable4[Natural gas (MMBTU)]</f>
        <v>233391.27678712603</v>
      </c>
      <c r="J26" s="37">
        <v>2007</v>
      </c>
      <c r="K26" s="37">
        <v>2007</v>
      </c>
      <c r="L26" s="37">
        <v>2009</v>
      </c>
      <c r="M26" s="37"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Model Year</v>
      </c>
      <c r="N26" s="39">
        <f>(5.086166746649 * DetailTable4[Production]) + 20110.25</f>
        <v>152711.70325188607</v>
      </c>
      <c r="O26" s="39">
        <f>(2.560044576545 * DetailTable4[Production]) + (211.520605238538 * DetailTable4[Temperature]) + 7322.73</f>
        <v>84599.378295983886</v>
      </c>
      <c r="P26" s="39">
        <f>DetailTable4[Modeled Electricity (MMBTU)]+DetailTable4[Modeled Natural gas (MMBTU)]</f>
        <v>237311.08154786995</v>
      </c>
      <c r="Q26" s="39">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0</v>
      </c>
      <c r="R26" s="39" t="str">
        <f>IF(DetailTable4[Period]=DetailTable4[Model Year],"",DetailTable4[CUSUMHidden])</f>
        <v/>
      </c>
      <c r="S26" s="39">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4058.826464760059</v>
      </c>
      <c r="T26" s="39">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-139.02170401612238</v>
      </c>
      <c r="U26" s="45" t="str">
        <f ca="1">IF(DetailTable4[Period]&lt;=DetailTable4[Model Year],"N/A",SUM(DetailTable4[[#This Row],[Total Modeled Energy Consumption (MMBTU)]]:OFFSET(DetailTable4[[#This Row],[Total Modeled Energy Consumption (MMBTU)]],-11,0))-SUM(DetailTable4[[#This Row],[TOTAL  (MMBTU)]]:OFFSET(DetailTable4[[#This Row],[TOTAL  (MMBTU)]],-11,0)))</f>
        <v>N/A</v>
      </c>
      <c r="V26" s="47">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v>
      </c>
      <c r="W26" s="45" t="str">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N/A</v>
      </c>
      <c r="X26" s="45">
        <f ca="1">IF(DetailTable4[Period]&lt;DetailTable4[Model Year],"N/A",IF((AND(DetailTable4[Period]=DetailTable4[Model Year],DetailTable4[Period] =OFFSET(DetailTable4[[#This Row],[Period]],1,0))),"N/A",SUM(DetailTable4[[#This Row],[TOTAL  (MMBTU)]]:OFFSET(DetailTable4[[#This Row],[TOTAL  (MMBTU)]],-11,0))))</f>
        <v>2594704.1706402958</v>
      </c>
      <c r="Y26" s="45">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2464968.962108281</v>
      </c>
      <c r="Z26" s="45">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2335233.7535762666</v>
      </c>
      <c r="AA26" s="45">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2205498.5450442513</v>
      </c>
      <c r="AB2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N/A</v>
      </c>
      <c r="AC2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N/A</v>
      </c>
      <c r="AD26" s="45" t="str">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N/A</v>
      </c>
      <c r="AE26" s="34"/>
      <c r="AF26" s="34"/>
      <c r="AG26" s="34"/>
      <c r="AH26" s="34"/>
      <c r="AI26" s="34"/>
      <c r="AJ26" s="34"/>
      <c r="AK26" s="34"/>
      <c r="AL26" s="34"/>
    </row>
    <row r="27" spans="1:38" x14ac:dyDescent="0.25">
      <c r="A27" s="41">
        <v>39448</v>
      </c>
      <c r="B27" s="34">
        <v>14807836</v>
      </c>
      <c r="C27" s="34">
        <v>151579.317434136</v>
      </c>
      <c r="D27" s="34">
        <v>890364</v>
      </c>
      <c r="E27" s="34">
        <v>89036.400000000009</v>
      </c>
      <c r="F27" s="34">
        <v>26170</v>
      </c>
      <c r="G27" s="34">
        <v>46.9</v>
      </c>
      <c r="H27" s="36">
        <v>2008</v>
      </c>
      <c r="I27" s="34">
        <f>DetailTable4[Electricity (MMBTU)]+DetailTable4[Natural gas (MMBTU)]</f>
        <v>240615.71743413602</v>
      </c>
      <c r="J27" s="34">
        <v>2007</v>
      </c>
      <c r="K27" s="34">
        <v>2007</v>
      </c>
      <c r="L27" s="34">
        <v>2009</v>
      </c>
      <c r="M27"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27" s="35">
        <f>(5.086166746649 * DetailTable4[Production]) + 20110.25</f>
        <v>153215.23375980434</v>
      </c>
      <c r="O27" s="35">
        <f>(2.560044576545 * DetailTable4[Production]) + (211.520605238538 * DetailTable4[Temperature]) + 7322.73</f>
        <v>84239.41295387008</v>
      </c>
      <c r="P27" s="35">
        <f>DetailTable4[Modeled Electricity (MMBTU)]+DetailTable4[Modeled Natural gas (MMBTU)]</f>
        <v>237454.64671367442</v>
      </c>
      <c r="Q27"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3161.0707204616047</v>
      </c>
      <c r="R27" s="35">
        <f ca="1">IF(DetailTable4[Period]=DetailTable4[Model Year],"",DetailTable4[CUSUMHidden])</f>
        <v>3161.0707204616047</v>
      </c>
      <c r="S27"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1635.9163256683387</v>
      </c>
      <c r="T27"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-4796.9870461299288</v>
      </c>
      <c r="U27" s="46">
        <f ca="1">IF(DetailTable4[Period]&lt;=DetailTable4[Model Year],"N/A",SUM(DetailTable4[[#This Row],[Total Modeled Energy Consumption (MMBTU)]]:OFFSET(DetailTable4[[#This Row],[Total Modeled Energy Consumption (MMBTU)]],-11,0))-SUM(DetailTable4[[#This Row],[TOTAL  (MMBTU)]]:OFFSET(DetailTable4[[#This Row],[TOTAL  (MMBTU)]],-11,0)))</f>
        <v>-10498.889859867282</v>
      </c>
      <c r="V27"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1.0040754206682285</v>
      </c>
      <c r="W27"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-10498.889859867282</v>
      </c>
      <c r="X27" s="46">
        <f ca="1">IF(DetailTable4[Period]&lt;DetailTable4[Model Year],"N/A",IF((AND(DetailTable4[Period]=DetailTable4[Model Year],DetailTable4[Period] =OFFSET(DetailTable4[[#This Row],[Period]],1,0))),"N/A",SUM(DetailTable4[[#This Row],[TOTAL  (MMBTU)]]:OFFSET(DetailTable4[[#This Row],[TOTAL  (MMBTU)]],-11,0))))</f>
        <v>2586647.6397828544</v>
      </c>
      <c r="Y27"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2447341.3124268376</v>
      </c>
      <c r="Z27"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2318533.8749306886</v>
      </c>
      <c r="AA27"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2189726.4374345387</v>
      </c>
      <c r="AB2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128807.43749614945</v>
      </c>
      <c r="AC2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257614.87499229843</v>
      </c>
      <c r="AD2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386422.31248844834</v>
      </c>
      <c r="AE27" s="34"/>
      <c r="AF27" s="34"/>
      <c r="AG27" s="34"/>
      <c r="AH27" s="34"/>
      <c r="AI27" s="34"/>
      <c r="AJ27" s="34"/>
      <c r="AK27" s="34"/>
      <c r="AL27" s="34"/>
    </row>
    <row r="28" spans="1:38" x14ac:dyDescent="0.25">
      <c r="A28" s="41">
        <v>39479</v>
      </c>
      <c r="B28" s="34">
        <v>13789004</v>
      </c>
      <c r="C28" s="34">
        <v>141150.11905970401</v>
      </c>
      <c r="D28" s="34">
        <v>821359</v>
      </c>
      <c r="E28" s="34">
        <v>82135.900000000009</v>
      </c>
      <c r="F28" s="34">
        <v>23959</v>
      </c>
      <c r="G28" s="34">
        <v>54</v>
      </c>
      <c r="H28" s="36">
        <v>2008</v>
      </c>
      <c r="I28" s="34">
        <f>DetailTable4[Electricity (MMBTU)]+DetailTable4[Natural gas (MMBTU)]</f>
        <v>223286.01905970403</v>
      </c>
      <c r="J28" s="34">
        <v>2007</v>
      </c>
      <c r="K28" s="34">
        <v>2007</v>
      </c>
      <c r="L28" s="34">
        <v>2009</v>
      </c>
      <c r="M28"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28" s="35">
        <f>(5.086166746649 * DetailTable4[Production]) + 20110.25</f>
        <v>141969.71908296339</v>
      </c>
      <c r="O28" s="35">
        <f>(2.560044576545 * DetailTable4[Production]) + (211.520605238538 * DetailTable4[Temperature]) + 7322.73</f>
        <v>80080.950692322702</v>
      </c>
      <c r="P28" s="35">
        <f>DetailTable4[Modeled Electricity (MMBTU)]+DetailTable4[Modeled Natural gas (MMBTU)]</f>
        <v>222050.66977528611</v>
      </c>
      <c r="Q28"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4396.4200048795319</v>
      </c>
      <c r="R28" s="35">
        <f ca="1">IF(DetailTable4[Period]=DetailTable4[Model Year],"",DetailTable4[CUSUMHidden])</f>
        <v>4396.4200048795319</v>
      </c>
      <c r="S28"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819.60002325937967</v>
      </c>
      <c r="T28"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-2054.9493076773069</v>
      </c>
      <c r="U28" s="46">
        <f ca="1">IF(DetailTable4[Period]&lt;=DetailTable4[Model Year],"N/A",SUM(DetailTable4[[#This Row],[Total Modeled Energy Consumption (MMBTU)]]:OFFSET(DetailTable4[[#This Row],[Total Modeled Energy Consumption (MMBTU)]],-11,0))-SUM(DetailTable4[[#This Row],[TOTAL  (MMBTU)]]:OFFSET(DetailTable4[[#This Row],[TOTAL  (MMBTU)]],-11,0)))</f>
        <v>-8377.8624679590575</v>
      </c>
      <c r="V28"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1.0032492910330737</v>
      </c>
      <c r="W28"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-8377.8624679590575</v>
      </c>
      <c r="X28" s="46">
        <f ca="1">IF(DetailTable4[Period]&lt;DetailTable4[Model Year],"N/A",IF((AND(DetailTable4[Period]=DetailTable4[Model Year],DetailTable4[Period] =OFFSET(DetailTable4[[#This Row],[Period]],1,0))),"N/A",SUM(DetailTable4[[#This Row],[TOTAL  (MMBTU)]]:OFFSET(DetailTable4[[#This Row],[TOTAL  (MMBTU)]],-11,0))))</f>
        <v>2586744.1530472785</v>
      </c>
      <c r="Y28"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2449447.9760503536</v>
      </c>
      <c r="Z28"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2320529.6615213878</v>
      </c>
      <c r="AA28"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2191611.3469924214</v>
      </c>
      <c r="AB2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128918.31452896586</v>
      </c>
      <c r="AC2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257836.62905793171</v>
      </c>
      <c r="AD2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386754.94358689804</v>
      </c>
      <c r="AE28" s="34"/>
      <c r="AF28" s="34"/>
      <c r="AG28" s="34"/>
      <c r="AH28" s="34"/>
      <c r="AI28" s="34"/>
      <c r="AJ28" s="34"/>
      <c r="AK28" s="34"/>
      <c r="AL28" s="34"/>
    </row>
    <row r="29" spans="1:38" x14ac:dyDescent="0.25">
      <c r="A29" s="41">
        <v>39508</v>
      </c>
      <c r="B29" s="34">
        <v>9884861</v>
      </c>
      <c r="C29" s="34">
        <v>101185.648146786</v>
      </c>
      <c r="D29" s="34">
        <v>612182</v>
      </c>
      <c r="E29" s="34">
        <v>61218.200000000004</v>
      </c>
      <c r="F29" s="34">
        <v>16473</v>
      </c>
      <c r="G29" s="34">
        <v>60.9</v>
      </c>
      <c r="H29" s="36">
        <v>2008</v>
      </c>
      <c r="I29" s="34">
        <f>DetailTable4[Electricity (MMBTU)]+DetailTable4[Natural gas (MMBTU)]</f>
        <v>162403.84814678601</v>
      </c>
      <c r="J29" s="34">
        <v>2007</v>
      </c>
      <c r="K29" s="34">
        <v>2007</v>
      </c>
      <c r="L29" s="34">
        <v>2009</v>
      </c>
      <c r="M29"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29" s="35">
        <f>(5.086166746649 * DetailTable4[Production]) + 20110.25</f>
        <v>103894.67481754898</v>
      </c>
      <c r="O29" s="35">
        <f>(2.560044576545 * DetailTable4[Production]) + (211.520605238538 * DetailTable4[Temperature]) + 7322.73</f>
        <v>62375.949168452746</v>
      </c>
      <c r="P29" s="35">
        <f>DetailTable4[Modeled Electricity (MMBTU)]+DetailTable4[Modeled Natural gas (MMBTU)]</f>
        <v>166270.62398600171</v>
      </c>
      <c r="Q29"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529.64416566383443</v>
      </c>
      <c r="R29" s="35">
        <f ca="1">IF(DetailTable4[Period]=DetailTable4[Model Year],"",DetailTable4[CUSUMHidden])</f>
        <v>529.64416566383443</v>
      </c>
      <c r="S29"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2709.026670762978</v>
      </c>
      <c r="T29"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1157.7491684527413</v>
      </c>
      <c r="U29" s="46">
        <f ca="1">IF(DetailTable4[Period]&lt;=DetailTable4[Model Year],"N/A",SUM(DetailTable4[[#This Row],[Total Modeled Energy Consumption (MMBTU)]]:OFFSET(DetailTable4[[#This Row],[Total Modeled Energy Consumption (MMBTU)]],-11,0))-SUM(DetailTable4[[#This Row],[TOTAL  (MMBTU)]]:OFFSET(DetailTable4[[#This Row],[TOTAL  (MMBTU)]],-11,0)))</f>
        <v>-1666.5188104473054</v>
      </c>
      <c r="V29"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1.0006636096546697</v>
      </c>
      <c r="W29"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-1666.5188104473054</v>
      </c>
      <c r="X29" s="46">
        <f ca="1">IF(DetailTable4[Period]&lt;DetailTable4[Model Year],"N/A",IF((AND(DetailTable4[Period]=DetailTable4[Model Year],DetailTable4[Period] =OFFSET(DetailTable4[[#This Row],[Period]],1,0))),"N/A",SUM(DetailTable4[[#This Row],[TOTAL  (MMBTU)]]:OFFSET(DetailTable4[[#This Row],[TOTAL  (MMBTU)]],-11,0))))</f>
        <v>2512960.3173868181</v>
      </c>
      <c r="Y29"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2385729.1086475523</v>
      </c>
      <c r="Z29"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2260164.4187187338</v>
      </c>
      <c r="AA29"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2134599.7287899153</v>
      </c>
      <c r="AB2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125564.68992881849</v>
      </c>
      <c r="AC2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251129.37985763699</v>
      </c>
      <c r="AD2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376694.06978645548</v>
      </c>
      <c r="AE29" s="34"/>
      <c r="AF29" s="34"/>
      <c r="AG29" s="34"/>
      <c r="AH29" s="34"/>
      <c r="AI29" s="34"/>
      <c r="AJ29" s="34"/>
      <c r="AK29" s="34"/>
      <c r="AL29" s="34"/>
    </row>
    <row r="30" spans="1:38" x14ac:dyDescent="0.25">
      <c r="A30" s="41">
        <v>39539</v>
      </c>
      <c r="B30" s="34">
        <v>10404860</v>
      </c>
      <c r="C30" s="34">
        <v>106508.57943036</v>
      </c>
      <c r="D30" s="34">
        <v>599480</v>
      </c>
      <c r="E30" s="34">
        <v>59948</v>
      </c>
      <c r="F30" s="34">
        <v>15954</v>
      </c>
      <c r="G30" s="34">
        <v>66.5</v>
      </c>
      <c r="H30" s="36">
        <v>2008</v>
      </c>
      <c r="I30" s="34">
        <f>DetailTable4[Electricity (MMBTU)]+DetailTable4[Natural gas (MMBTU)]</f>
        <v>166456.57943036</v>
      </c>
      <c r="J30" s="34">
        <v>2007</v>
      </c>
      <c r="K30" s="34">
        <v>2007</v>
      </c>
      <c r="L30" s="34">
        <v>2009</v>
      </c>
      <c r="M30"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0" s="35">
        <f>(5.086166746649 * DetailTable4[Production]) + 20110.25</f>
        <v>101254.95427603814</v>
      </c>
      <c r="O30" s="35">
        <f>(2.560044576545 * DetailTable4[Production]) + (211.520605238538 * DetailTable4[Temperature]) + 7322.73</f>
        <v>62231.801422561708</v>
      </c>
      <c r="P30" s="35">
        <f>DetailTable4[Modeled Electricity (MMBTU)]+DetailTable4[Modeled Natural gas (MMBTU)]</f>
        <v>163486.75569859985</v>
      </c>
      <c r="Q30"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3499.4678974239796</v>
      </c>
      <c r="R30" s="35">
        <f ca="1">IF(DetailTable4[Period]=DetailTable4[Model Year],"",DetailTable4[CUSUMHidden])</f>
        <v>3499.4678974239796</v>
      </c>
      <c r="S30"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-5253.6251543218532</v>
      </c>
      <c r="T30"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2283.801422561708</v>
      </c>
      <c r="U30" s="46">
        <f ca="1">IF(DetailTable4[Period]&lt;=DetailTable4[Model Year],"N/A",SUM(DetailTable4[[#This Row],[Total Modeled Energy Consumption (MMBTU)]]:OFFSET(DetailTable4[[#This Row],[Total Modeled Energy Consumption (MMBTU)]],-11,0))-SUM(DetailTable4[[#This Row],[TOTAL  (MMBTU)]]:OFFSET(DetailTable4[[#This Row],[TOTAL  (MMBTU)]],-11,0)))</f>
        <v>-26572.984533270821</v>
      </c>
      <c r="V30"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1.0106061871508345</v>
      </c>
      <c r="W30"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-26572.984533270821</v>
      </c>
      <c r="X30" s="46">
        <f ca="1">IF(DetailTable4[Period]&lt;DetailTable4[Model Year],"N/A",IF((AND(DetailTable4[Period]=DetailTable4[Model Year],DetailTable4[Period] =OFFSET(DetailTable4[[#This Row],[Period]],1,0))),"N/A",SUM(DetailTable4[[#This Row],[TOTAL  (MMBTU)]]:OFFSET(DetailTable4[[#This Row],[TOTAL  (MMBTU)]],-11,0))))</f>
        <v>2531995.9188419399</v>
      </c>
      <c r="Y30"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2380151.7875932357</v>
      </c>
      <c r="Z30"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2254880.6408778024</v>
      </c>
      <c r="AA30"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2129609.4941623686</v>
      </c>
      <c r="AB3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125271.14671543334</v>
      </c>
      <c r="AC3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250542.29343086667</v>
      </c>
      <c r="AD3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375813.44014630048</v>
      </c>
      <c r="AE30" s="34"/>
      <c r="AF30" s="34"/>
      <c r="AG30" s="34"/>
      <c r="AH30" s="34"/>
      <c r="AI30" s="34"/>
      <c r="AJ30" s="34"/>
      <c r="AK30" s="34"/>
      <c r="AL30" s="34"/>
    </row>
    <row r="31" spans="1:38" x14ac:dyDescent="0.25">
      <c r="A31" s="41">
        <v>39569</v>
      </c>
      <c r="B31" s="34">
        <v>12912316</v>
      </c>
      <c r="C31" s="34">
        <v>132175.96722261599</v>
      </c>
      <c r="D31" s="34">
        <v>591540</v>
      </c>
      <c r="E31" s="34">
        <v>59154</v>
      </c>
      <c r="F31" s="34">
        <v>19303</v>
      </c>
      <c r="G31" s="34">
        <v>77</v>
      </c>
      <c r="H31" s="36">
        <v>2008</v>
      </c>
      <c r="I31" s="34">
        <f>DetailTable4[Electricity (MMBTU)]+DetailTable4[Natural gas (MMBTU)]</f>
        <v>191329.96722261599</v>
      </c>
      <c r="J31" s="34">
        <v>2007</v>
      </c>
      <c r="K31" s="34">
        <v>2007</v>
      </c>
      <c r="L31" s="34">
        <v>2009</v>
      </c>
      <c r="M31"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1" s="35">
        <f>(5.086166746649 * DetailTable4[Production]) + 20110.25</f>
        <v>118288.52671056564</v>
      </c>
      <c r="O31" s="35">
        <f>(2.560044576545 * DetailTable4[Production]) + (211.520605238538 * DetailTable4[Temperature]) + 7322.73</f>
        <v>73026.35706441557</v>
      </c>
      <c r="P31" s="35">
        <f>DetailTable4[Modeled Electricity (MMBTU)]+DetailTable4[Modeled Natural gas (MMBTU)]</f>
        <v>191314.88377498119</v>
      </c>
      <c r="Q31"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3514.551345058775</v>
      </c>
      <c r="R31" s="35">
        <f ca="1">IF(DetailTable4[Period]=DetailTable4[Model Year],"",DetailTable4[CUSUMHidden])</f>
        <v>3514.551345058775</v>
      </c>
      <c r="S31"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-13887.440512050351</v>
      </c>
      <c r="T31"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13872.35706441557</v>
      </c>
      <c r="U31" s="46">
        <f ca="1">IF(DetailTable4[Period]&lt;=DetailTable4[Model Year],"N/A",SUM(DetailTable4[[#This Row],[Total Modeled Energy Consumption (MMBTU)]]:OFFSET(DetailTable4[[#This Row],[Total Modeled Energy Consumption (MMBTU)]],-11,0))-SUM(DetailTable4[[#This Row],[TOTAL  (MMBTU)]]:OFFSET(DetailTable4[[#This Row],[TOTAL  (MMBTU)]],-11,0)))</f>
        <v>-33376.823719668202</v>
      </c>
      <c r="V31"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1.0131742786993707</v>
      </c>
      <c r="W31"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-33376.823719668202</v>
      </c>
      <c r="X31" s="46">
        <f ca="1">IF(DetailTable4[Period]&lt;DetailTable4[Model Year],"N/A",IF((AND(DetailTable4[Period]=DetailTable4[Model Year],DetailTable4[Period] =OFFSET(DetailTable4[[#This Row],[Period]],1,0))),"N/A",SUM(DetailTable4[[#This Row],[TOTAL  (MMBTU)]]:OFFSET(DetailTable4[[#This Row],[TOTAL  (MMBTU)]],-11,0))))</f>
        <v>2566860.7799428096</v>
      </c>
      <c r="Y31"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2406809.7584119844</v>
      </c>
      <c r="Z31"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2280135.5606008274</v>
      </c>
      <c r="AA31"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2153461.36278967</v>
      </c>
      <c r="AB3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126674.19781115698</v>
      </c>
      <c r="AC3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253348.39562231395</v>
      </c>
      <c r="AD3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380022.5934334714</v>
      </c>
      <c r="AE31" s="34"/>
      <c r="AF31" s="34"/>
      <c r="AG31" s="34"/>
      <c r="AH31" s="34"/>
      <c r="AI31" s="34"/>
      <c r="AJ31" s="34"/>
      <c r="AK31" s="34"/>
      <c r="AL31" s="34"/>
    </row>
    <row r="32" spans="1:38" x14ac:dyDescent="0.25">
      <c r="A32" s="41">
        <v>39600</v>
      </c>
      <c r="B32" s="34">
        <v>8933703</v>
      </c>
      <c r="C32" s="34">
        <v>91449.189665477999</v>
      </c>
      <c r="D32" s="34">
        <v>606711</v>
      </c>
      <c r="E32" s="34">
        <v>60671.100000000006</v>
      </c>
      <c r="F32" s="34">
        <v>15700</v>
      </c>
      <c r="G32" s="34">
        <v>86.5</v>
      </c>
      <c r="H32" s="36">
        <v>2008</v>
      </c>
      <c r="I32" s="34">
        <f>DetailTable4[Electricity (MMBTU)]+DetailTable4[Natural gas (MMBTU)]</f>
        <v>152120.28966547799</v>
      </c>
      <c r="J32" s="34">
        <v>2007</v>
      </c>
      <c r="K32" s="34">
        <v>2007</v>
      </c>
      <c r="L32" s="34">
        <v>2009</v>
      </c>
      <c r="M32"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2" s="35">
        <f>(5.086166746649 * DetailTable4[Production]) + 20110.25</f>
        <v>99963.067922389295</v>
      </c>
      <c r="O32" s="35">
        <f>(2.560044576545 * DetailTable4[Production]) + (211.520605238538 * DetailTable4[Temperature]) + 7322.73</f>
        <v>65811.962204890035</v>
      </c>
      <c r="P32" s="35">
        <f>DetailTable4[Modeled Electricity (MMBTU)]+DetailTable4[Modeled Natural gas (MMBTU)]</f>
        <v>165775.03012727934</v>
      </c>
      <c r="Q32"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-10140.189116742578</v>
      </c>
      <c r="R32" s="35">
        <f ca="1">IF(DetailTable4[Period]=DetailTable4[Model Year],"",DetailTable4[CUSUMHidden])</f>
        <v>-10140.189116742578</v>
      </c>
      <c r="S32"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8513.8782569112955</v>
      </c>
      <c r="T32"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5140.8622048900288</v>
      </c>
      <c r="U32" s="46">
        <f ca="1">IF(DetailTable4[Period]&lt;=DetailTable4[Model Year],"N/A",SUM(DetailTable4[[#This Row],[Total Modeled Energy Consumption (MMBTU)]]:OFFSET(DetailTable4[[#This Row],[Total Modeled Energy Consumption (MMBTU)]],-11,0))-SUM(DetailTable4[[#This Row],[TOTAL  (MMBTU)]]:OFFSET(DetailTable4[[#This Row],[TOTAL  (MMBTU)]],-11,0)))</f>
        <v>-4733.7687109233811</v>
      </c>
      <c r="V32"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1.001881759469238</v>
      </c>
      <c r="W32"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-4733.7687109233811</v>
      </c>
      <c r="X32" s="46">
        <f ca="1">IF(DetailTable4[Period]&lt;DetailTable4[Model Year],"N/A",IF((AND(DetailTable4[Period]=DetailTable4[Model Year],DetailTable4[Period] =OFFSET(DetailTable4[[#This Row],[Period]],1,0))),"N/A",SUM(DetailTable4[[#This Row],[TOTAL  (MMBTU)]]:OFFSET(DetailTable4[[#This Row],[TOTAL  (MMBTU)]],-11,0))))</f>
        <v>2520341.5221505836</v>
      </c>
      <c r="Y32"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2389827.3657676768</v>
      </c>
      <c r="Z32"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2264046.9780956944</v>
      </c>
      <c r="AA32"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2138266.5904237111</v>
      </c>
      <c r="AB3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125780.38767198334</v>
      </c>
      <c r="AC3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251560.77534396574</v>
      </c>
      <c r="AD3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377341.16301594907</v>
      </c>
      <c r="AE32" s="34"/>
      <c r="AF32" s="34"/>
      <c r="AG32" s="34"/>
      <c r="AH32" s="34"/>
      <c r="AI32" s="34"/>
      <c r="AJ32" s="34"/>
      <c r="AK32" s="34"/>
      <c r="AL32" s="34"/>
    </row>
    <row r="33" spans="1:38" x14ac:dyDescent="0.25">
      <c r="A33" s="41">
        <v>39630</v>
      </c>
      <c r="B33" s="34">
        <v>9078501</v>
      </c>
      <c r="C33" s="34">
        <v>92931.403677426002</v>
      </c>
      <c r="D33" s="34">
        <v>590597</v>
      </c>
      <c r="E33" s="34">
        <v>59059.700000000004</v>
      </c>
      <c r="F33" s="34">
        <v>15005</v>
      </c>
      <c r="G33" s="34">
        <v>89</v>
      </c>
      <c r="H33" s="36">
        <v>2008</v>
      </c>
      <c r="I33" s="34">
        <f>DetailTable4[Electricity (MMBTU)]+DetailTable4[Natural gas (MMBTU)]</f>
        <v>151991.103677426</v>
      </c>
      <c r="J33" s="34">
        <v>2007</v>
      </c>
      <c r="K33" s="34">
        <v>2007</v>
      </c>
      <c r="L33" s="34">
        <v>2009</v>
      </c>
      <c r="M33"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3" s="35">
        <f>(5.086166746649 * DetailTable4[Production]) + 20110.25</f>
        <v>96428.182033468242</v>
      </c>
      <c r="O33" s="35">
        <f>(2.560044576545 * DetailTable4[Production]) + (211.520605238538 * DetailTable4[Temperature]) + 7322.73</f>
        <v>64561.532737287605</v>
      </c>
      <c r="P33" s="35">
        <f>DetailTable4[Modeled Electricity (MMBTU)]+DetailTable4[Modeled Natural gas (MMBTU)]</f>
        <v>160989.71477075585</v>
      </c>
      <c r="Q33"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-19138.800210072426</v>
      </c>
      <c r="R33" s="35">
        <f ca="1">IF(DetailTable4[Period]=DetailTable4[Model Year],"",DetailTable4[CUSUMHidden])</f>
        <v>-19138.800210072426</v>
      </c>
      <c r="S33"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3496.7783560422395</v>
      </c>
      <c r="T33"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5501.832737287601</v>
      </c>
      <c r="U33" s="46">
        <f ca="1">IF(DetailTable4[Period]&lt;=DetailTable4[Model Year],"N/A",SUM(DetailTable4[[#This Row],[Total Modeled Energy Consumption (MMBTU)]]:OFFSET(DetailTable4[[#This Row],[Total Modeled Energy Consumption (MMBTU)]],-11,0))-SUM(DetailTable4[[#This Row],[TOTAL  (MMBTU)]]:OFFSET(DetailTable4[[#This Row],[TOTAL  (MMBTU)]],-11,0)))</f>
        <v>16687.930692837574</v>
      </c>
      <c r="V33"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0.99319800478891795</v>
      </c>
      <c r="W33"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16687.930692837574</v>
      </c>
      <c r="X33" s="46">
        <f ca="1">IF(DetailTable4[Period]&lt;DetailTable4[Model Year],"N/A",IF((AND(DetailTable4[Period]=DetailTable4[Model Year],DetailTable4[Period] =OFFSET(DetailTable4[[#This Row],[Period]],1,0))),"N/A",SUM(DetailTable4[[#This Row],[TOTAL  (MMBTU)]]:OFFSET(DetailTable4[[#This Row],[TOTAL  (MMBTU)]],-11,0))))</f>
        <v>2436699.6673532478</v>
      </c>
      <c r="Y33"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2330718.2181437812</v>
      </c>
      <c r="Z33"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2208048.838241477</v>
      </c>
      <c r="AA33"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2085379.4583391724</v>
      </c>
      <c r="AB3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122669.37990230415</v>
      </c>
      <c r="AC3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245338.7598046083</v>
      </c>
      <c r="AD3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368008.13970691292</v>
      </c>
      <c r="AE33" s="34"/>
      <c r="AF33" s="34"/>
      <c r="AG33" s="34"/>
      <c r="AH33" s="34"/>
      <c r="AI33" s="34"/>
      <c r="AJ33" s="34"/>
      <c r="AK33" s="34"/>
      <c r="AL33" s="34"/>
    </row>
    <row r="34" spans="1:38" x14ac:dyDescent="0.25">
      <c r="A34" s="41">
        <v>39661</v>
      </c>
      <c r="B34" s="34">
        <v>8921190</v>
      </c>
      <c r="C34" s="34">
        <v>91321.101266939993</v>
      </c>
      <c r="D34" s="34">
        <v>577487</v>
      </c>
      <c r="E34" s="34">
        <v>57748.700000000004</v>
      </c>
      <c r="F34" s="34">
        <v>16242</v>
      </c>
      <c r="G34" s="34">
        <v>86.7</v>
      </c>
      <c r="H34" s="36">
        <v>2008</v>
      </c>
      <c r="I34" s="34">
        <f>DetailTable4[Electricity (MMBTU)]+DetailTable4[Natural gas (MMBTU)]</f>
        <v>149069.80126693999</v>
      </c>
      <c r="J34" s="34">
        <v>2007</v>
      </c>
      <c r="K34" s="34">
        <v>2007</v>
      </c>
      <c r="L34" s="34">
        <v>2009</v>
      </c>
      <c r="M34"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4" s="35">
        <f>(5.086166746649 * DetailTable4[Production]) + 20110.25</f>
        <v>102719.77029907306</v>
      </c>
      <c r="O34" s="35">
        <f>(2.560044576545 * DetailTable4[Production]) + (211.520605238538 * DetailTable4[Temperature]) + 7322.73</f>
        <v>67241.810486425136</v>
      </c>
      <c r="P34" s="35">
        <f>DetailTable4[Modeled Electricity (MMBTU)]+DetailTable4[Modeled Natural gas (MMBTU)]</f>
        <v>169961.5807854982</v>
      </c>
      <c r="Q34"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-40030.579728630633</v>
      </c>
      <c r="R34" s="35">
        <f ca="1">IF(DetailTable4[Period]=DetailTable4[Model Year],"",DetailTable4[CUSUMHidden])</f>
        <v>-40030.579728630633</v>
      </c>
      <c r="S34"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11398.669032133068</v>
      </c>
      <c r="T34"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9493.110486425132</v>
      </c>
      <c r="U34" s="46">
        <f ca="1">IF(DetailTable4[Period]&lt;=DetailTable4[Model Year],"N/A",SUM(DetailTable4[[#This Row],[Total Modeled Energy Consumption (MMBTU)]]:OFFSET(DetailTable4[[#This Row],[Total Modeled Energy Consumption (MMBTU)]],-11,0))-SUM(DetailTable4[[#This Row],[TOTAL  (MMBTU)]]:OFFSET(DetailTable4[[#This Row],[TOTAL  (MMBTU)]],-11,0)))</f>
        <v>17416.204749181867</v>
      </c>
      <c r="V34"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0.99269855738868806</v>
      </c>
      <c r="W34"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17416.204749181867</v>
      </c>
      <c r="X34" s="46">
        <f ca="1">IF(DetailTable4[Period]&lt;DetailTable4[Model Year],"N/A",IF((AND(DetailTable4[Period]=DetailTable4[Model Year],DetailTable4[Period] =OFFSET(DetailTable4[[#This Row],[Period]],1,0))),"N/A",SUM(DetailTable4[[#This Row],[TOTAL  (MMBTU)]]:OFFSET(DetailTable4[[#This Row],[TOTAL  (MMBTU)]],-11,0))))</f>
        <v>2367893.8875604398</v>
      </c>
      <c r="Y34"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2266044.5876941406</v>
      </c>
      <c r="Z34"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2146779.0830786596</v>
      </c>
      <c r="AA34"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2027513.5784631784</v>
      </c>
      <c r="AB3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119265.50461548101</v>
      </c>
      <c r="AC3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238531.00923096202</v>
      </c>
      <c r="AD3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357796.51384644327</v>
      </c>
      <c r="AE34" s="34"/>
      <c r="AF34" s="34"/>
      <c r="AG34" s="34"/>
      <c r="AH34" s="34"/>
      <c r="AI34" s="34"/>
      <c r="AJ34" s="34"/>
      <c r="AK34" s="34"/>
      <c r="AL34" s="34"/>
    </row>
    <row r="35" spans="1:38" x14ac:dyDescent="0.25">
      <c r="A35" s="41">
        <v>39692</v>
      </c>
      <c r="B35" s="34">
        <v>8943943</v>
      </c>
      <c r="C35" s="34">
        <v>91554.010667717987</v>
      </c>
      <c r="D35" s="34">
        <v>544383</v>
      </c>
      <c r="E35" s="34">
        <v>54438.3</v>
      </c>
      <c r="F35" s="34">
        <v>15074</v>
      </c>
      <c r="G35" s="34">
        <v>78.5</v>
      </c>
      <c r="H35" s="36">
        <v>2008</v>
      </c>
      <c r="I35" s="34">
        <f>DetailTable4[Electricity (MMBTU)]+DetailTable4[Natural gas (MMBTU)]</f>
        <v>145992.310667718</v>
      </c>
      <c r="J35" s="34">
        <v>2007</v>
      </c>
      <c r="K35" s="34">
        <v>2007</v>
      </c>
      <c r="L35" s="34">
        <v>2009</v>
      </c>
      <c r="M35"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5" s="35">
        <f>(5.086166746649 * DetailTable4[Production]) + 20110.25</f>
        <v>96779.127538987028</v>
      </c>
      <c r="O35" s="35">
        <f>(2.560044576545 * DetailTable4[Production]) + (211.520605238538 * DetailTable4[Temperature]) + 7322.73</f>
        <v>62517.209458064564</v>
      </c>
      <c r="P35" s="35">
        <f>DetailTable4[Modeled Electricity (MMBTU)]+DetailTable4[Modeled Natural gas (MMBTU)]</f>
        <v>159296.33699705161</v>
      </c>
      <c r="Q35"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-53334.606057964236</v>
      </c>
      <c r="R35" s="35">
        <f ca="1">IF(DetailTable4[Period]=DetailTable4[Model Year],"",DetailTable4[CUSUMHidden])</f>
        <v>-53334.606057964236</v>
      </c>
      <c r="S35"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5225.1168712690414</v>
      </c>
      <c r="T35"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8078.9094580645615</v>
      </c>
      <c r="U35" s="46">
        <f ca="1">IF(DetailTable4[Period]&lt;=DetailTable4[Model Year],"N/A",SUM(DetailTable4[[#This Row],[Total Modeled Energy Consumption (MMBTU)]]:OFFSET(DetailTable4[[#This Row],[Total Modeled Energy Consumption (MMBTU)]],-11,0))-SUM(DetailTable4[[#This Row],[TOTAL  (MMBTU)]]:OFFSET(DetailTable4[[#This Row],[TOTAL  (MMBTU)]],-11,0)))</f>
        <v>38570.338541553356</v>
      </c>
      <c r="V35"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0.98335025632556616</v>
      </c>
      <c r="W35"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38570.338541553356</v>
      </c>
      <c r="X35" s="46">
        <f ca="1">IF(DetailTable4[Period]&lt;DetailTable4[Model Year],"N/A",IF((AND(DetailTable4[Period]=DetailTable4[Model Year],DetailTable4[Period] =OFFSET(DetailTable4[[#This Row],[Period]],1,0))),"N/A",SUM(DetailTable4[[#This Row],[TOTAL  (MMBTU)]]:OFFSET(DetailTable4[[#This Row],[TOTAL  (MMBTU)]],-11,0))))</f>
        <v>2278002.1742701097</v>
      </c>
      <c r="Y35"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2200743.8871710799</v>
      </c>
      <c r="Z35"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2084915.2615304969</v>
      </c>
      <c r="AA35"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1969086.6358899137</v>
      </c>
      <c r="AB3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115828.62564058322</v>
      </c>
      <c r="AC3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231657.25128116622</v>
      </c>
      <c r="AD3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347485.87692174944</v>
      </c>
      <c r="AE35" s="34"/>
      <c r="AF35" s="34"/>
      <c r="AG35" s="34"/>
      <c r="AH35" s="34"/>
      <c r="AI35" s="34"/>
      <c r="AJ35" s="34"/>
      <c r="AK35" s="34"/>
      <c r="AL35" s="34"/>
    </row>
    <row r="36" spans="1:38" x14ac:dyDescent="0.25">
      <c r="A36" s="41">
        <v>39722</v>
      </c>
      <c r="B36" s="34">
        <v>8935189</v>
      </c>
      <c r="C36" s="34">
        <v>91464.400994513999</v>
      </c>
      <c r="D36" s="34">
        <v>610067</v>
      </c>
      <c r="E36" s="34">
        <v>61006.700000000004</v>
      </c>
      <c r="F36" s="34">
        <v>16879</v>
      </c>
      <c r="G36" s="34">
        <v>69.599999999999994</v>
      </c>
      <c r="H36" s="36">
        <v>2008</v>
      </c>
      <c r="I36" s="34">
        <f>DetailTable4[Electricity (MMBTU)]+DetailTable4[Natural gas (MMBTU)]</f>
        <v>152471.10099451401</v>
      </c>
      <c r="J36" s="34">
        <v>2007</v>
      </c>
      <c r="K36" s="34">
        <v>2007</v>
      </c>
      <c r="L36" s="34">
        <v>2009</v>
      </c>
      <c r="M36"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6" s="35">
        <f>(5.086166746649 * DetailTable4[Production]) + 20110.25</f>
        <v>105959.65851668848</v>
      </c>
      <c r="O36" s="35">
        <f>(2.560044576545 * DetailTable4[Production]) + (211.520605238538 * DetailTable4[Temperature]) + 7322.73</f>
        <v>65255.5565321053</v>
      </c>
      <c r="P36" s="35">
        <f>DetailTable4[Modeled Electricity (MMBTU)]+DetailTable4[Modeled Natural gas (MMBTU)]</f>
        <v>171215.21504879376</v>
      </c>
      <c r="Q36"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-72078.720112243987</v>
      </c>
      <c r="R36" s="35">
        <f ca="1">IF(DetailTable4[Period]=DetailTable4[Model Year],"",DetailTable4[CUSUMHidden])</f>
        <v>-72078.720112243987</v>
      </c>
      <c r="S36"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14495.257522174477</v>
      </c>
      <c r="T36"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4248.8565321052956</v>
      </c>
      <c r="U36" s="46">
        <f ca="1">IF(DetailTable4[Period]&lt;=DetailTable4[Model Year],"N/A",SUM(DetailTable4[[#This Row],[Total Modeled Energy Consumption (MMBTU)]]:OFFSET(DetailTable4[[#This Row],[Total Modeled Energy Consumption (MMBTU)]],-11,0))-SUM(DetailTable4[[#This Row],[TOTAL  (MMBTU)]]:OFFSET(DetailTable4[[#This Row],[TOTAL  (MMBTU)]],-11,0)))</f>
        <v>52315.281337460969</v>
      </c>
      <c r="V36"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0.97678178016309603</v>
      </c>
      <c r="W36"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52315.281337460969</v>
      </c>
      <c r="X36" s="46">
        <f ca="1">IF(DetailTable4[Period]&lt;DetailTable4[Model Year],"N/A",IF((AND(DetailTable4[Period]=DetailTable4[Model Year],DetailTable4[Period] =OFFSET(DetailTable4[[#This Row],[Period]],1,0))),"N/A",SUM(DetailTable4[[#This Row],[TOTAL  (MMBTU)]]:OFFSET(DetailTable4[[#This Row],[TOTAL  (MMBTU)]],-11,0))))</f>
        <v>2200884.2190957745</v>
      </c>
      <c r="Y36"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2140539.5254115737</v>
      </c>
      <c r="Z36"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2027879.550389912</v>
      </c>
      <c r="AA36"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1915219.57536825</v>
      </c>
      <c r="AB3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112659.97502166172</v>
      </c>
      <c r="AC3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225319.95004332345</v>
      </c>
      <c r="AD3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337979.92506498541</v>
      </c>
      <c r="AE36" s="34"/>
      <c r="AF36" s="34"/>
      <c r="AG36" s="34"/>
      <c r="AH36" s="34"/>
      <c r="AI36" s="34"/>
      <c r="AJ36" s="34"/>
      <c r="AK36" s="34"/>
      <c r="AL36" s="34"/>
    </row>
    <row r="37" spans="1:38" x14ac:dyDescent="0.25">
      <c r="A37" s="41">
        <v>39753</v>
      </c>
      <c r="B37" s="34">
        <v>8764397</v>
      </c>
      <c r="C37" s="34">
        <v>89716.101325121999</v>
      </c>
      <c r="D37" s="34">
        <v>619707</v>
      </c>
      <c r="E37" s="34">
        <v>61970.700000000004</v>
      </c>
      <c r="F37" s="34">
        <v>16442</v>
      </c>
      <c r="G37" s="34">
        <v>59.7</v>
      </c>
      <c r="H37" s="36">
        <v>2008</v>
      </c>
      <c r="I37" s="34">
        <f>DetailTable4[Electricity (MMBTU)]+DetailTable4[Natural gas (MMBTU)]</f>
        <v>151686.80132512201</v>
      </c>
      <c r="J37" s="34">
        <v>2007</v>
      </c>
      <c r="K37" s="34">
        <v>2007</v>
      </c>
      <c r="L37" s="34">
        <v>2009</v>
      </c>
      <c r="M37"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7" s="35">
        <f>(5.086166746649 * DetailTable4[Production]) + 20110.25</f>
        <v>103737.00364840285</v>
      </c>
      <c r="O37" s="35">
        <f>(2.560044576545 * DetailTable4[Production]) + (211.520605238538 * DetailTable4[Temperature]) + 7322.73</f>
        <v>62042.763060293611</v>
      </c>
      <c r="P37" s="35">
        <f>DetailTable4[Modeled Electricity (MMBTU)]+DetailTable4[Modeled Natural gas (MMBTU)]</f>
        <v>165779.76670869646</v>
      </c>
      <c r="Q37"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-86171.685495818441</v>
      </c>
      <c r="R37" s="35">
        <f ca="1">IF(DetailTable4[Period]=DetailTable4[Model Year],"",DetailTable4[CUSUMHidden])</f>
        <v>-86171.685495818441</v>
      </c>
      <c r="S37"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14020.902323280854</v>
      </c>
      <c r="T37"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72.063060293607123</v>
      </c>
      <c r="U37" s="46">
        <f ca="1">IF(DetailTable4[Period]&lt;=DetailTable4[Model Year],"N/A",SUM(DetailTable4[[#This Row],[Total Modeled Energy Consumption (MMBTU)]]:OFFSET(DetailTable4[[#This Row],[Total Modeled Energy Consumption (MMBTU)]],-11,0))-SUM(DetailTable4[[#This Row],[TOTAL  (MMBTU)]]:OFFSET(DetailTable4[[#This Row],[TOTAL  (MMBTU)]],-11,0)))</f>
        <v>90091.490256561432</v>
      </c>
      <c r="V37"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0.95925133054497203</v>
      </c>
      <c r="W37"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90091.490256561432</v>
      </c>
      <c r="X37" s="46">
        <f ca="1">IF(DetailTable4[Period]&lt;DetailTable4[Model Year],"N/A",IF((AND(DetailTable4[Period]=DetailTable4[Model Year],DetailTable4[Period] =OFFSET(DetailTable4[[#This Row],[Period]],1,0))),"N/A",SUM(DetailTable4[[#This Row],[TOTAL  (MMBTU)]]:OFFSET(DetailTable4[[#This Row],[TOTAL  (MMBTU)]],-11,0))))</f>
        <v>2120814.8156779264</v>
      </c>
      <c r="Y37"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2100360.9906377634</v>
      </c>
      <c r="Z37"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1989815.6753410392</v>
      </c>
      <c r="AA37"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1879270.3600443145</v>
      </c>
      <c r="AB3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110545.31529672444</v>
      </c>
      <c r="AC3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221090.63059344864</v>
      </c>
      <c r="AD3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331635.94589017332</v>
      </c>
      <c r="AE37" s="34"/>
      <c r="AF37" s="34"/>
      <c r="AG37" s="34"/>
      <c r="AH37" s="34"/>
      <c r="AI37" s="34"/>
      <c r="AJ37" s="34"/>
      <c r="AK37" s="34"/>
      <c r="AL37" s="34"/>
    </row>
    <row r="38" spans="1:38" x14ac:dyDescent="0.25">
      <c r="A38" s="41">
        <v>39783</v>
      </c>
      <c r="B38" s="34">
        <v>8286629</v>
      </c>
      <c r="C38" s="34">
        <v>84825.46454795399</v>
      </c>
      <c r="D38" s="34">
        <v>524229</v>
      </c>
      <c r="E38" s="34">
        <v>52422.9</v>
      </c>
      <c r="F38" s="34">
        <v>11766</v>
      </c>
      <c r="G38" s="34">
        <v>49</v>
      </c>
      <c r="H38" s="36">
        <v>2008</v>
      </c>
      <c r="I38" s="34">
        <f>DetailTable4[Electricity (MMBTU)]+DetailTable4[Natural gas (MMBTU)]</f>
        <v>137248.364547954</v>
      </c>
      <c r="J38" s="34">
        <v>2007</v>
      </c>
      <c r="K38" s="34">
        <v>2007</v>
      </c>
      <c r="L38" s="34">
        <v>2009</v>
      </c>
      <c r="M38"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8" s="35">
        <f>(5.086166746649 * DetailTable4[Production]) + 20110.25</f>
        <v>79954.087941072125</v>
      </c>
      <c r="O38" s="35">
        <f>(2.560044576545 * DetailTable4[Production]) + (211.520605238538 * DetailTable4[Temperature]) + 7322.73</f>
        <v>47808.724144316831</v>
      </c>
      <c r="P38" s="35">
        <f>DetailTable4[Modeled Electricity (MMBTU)]+DetailTable4[Modeled Natural gas (MMBTU)]</f>
        <v>127762.81208538896</v>
      </c>
      <c r="Q38"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-76686.133033253398</v>
      </c>
      <c r="R38" s="35">
        <f ca="1">IF(DetailTable4[Period]=DetailTable4[Model Year],"",DetailTable4[CUSUMHidden])</f>
        <v>-76686.133033253398</v>
      </c>
      <c r="S38"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-4871.3766068818659</v>
      </c>
      <c r="T38"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-4614.1758556831701</v>
      </c>
      <c r="U38" s="46">
        <f ca="1">IF(DetailTable4[Period]&lt;=DetailTable4[Model Year],"N/A",SUM(DetailTable4[[#This Row],[Total Modeled Energy Consumption (MMBTU)]]:OFFSET(DetailTable4[[#This Row],[Total Modeled Energy Consumption (MMBTU)]],-11,0))-SUM(DetailTable4[[#This Row],[TOTAL  (MMBTU)]]:OFFSET(DetailTable4[[#This Row],[TOTAL  (MMBTU)]],-11,0)))</f>
        <v>76686.133033252787</v>
      </c>
      <c r="V38"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0.96350639362628465</v>
      </c>
      <c r="W38"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76686.133033252787</v>
      </c>
      <c r="X38" s="46">
        <f ca="1">IF(DetailTable4[Period]&lt;DetailTable4[Model Year],"N/A",IF((AND(DetailTable4[Period]=DetailTable4[Model Year],DetailTable4[Period] =OFFSET(DetailTable4[[#This Row],[Period]],1,0))),"N/A",SUM(DetailTable4[[#This Row],[TOTAL  (MMBTU)]]:OFFSET(DetailTable4[[#This Row],[TOTAL  (MMBTU)]],-11,0))))</f>
        <v>2024671.9034387544</v>
      </c>
      <c r="Y38"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1996290.1346484066</v>
      </c>
      <c r="Z38"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1891222.2328248066</v>
      </c>
      <c r="AA38"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1786154.3310012061</v>
      </c>
      <c r="AB3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105067.90182360052</v>
      </c>
      <c r="AC3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210135.80364720058</v>
      </c>
      <c r="AD3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315203.7054708011</v>
      </c>
      <c r="AE38" s="34"/>
      <c r="AF38" s="34"/>
      <c r="AG38" s="34"/>
      <c r="AH38" s="34"/>
      <c r="AI38" s="34"/>
      <c r="AJ38" s="34"/>
      <c r="AK38" s="34"/>
      <c r="AL38" s="34"/>
    </row>
    <row r="39" spans="1:38" x14ac:dyDescent="0.25">
      <c r="A39" s="41">
        <v>39814</v>
      </c>
      <c r="B39" s="34">
        <v>9097623</v>
      </c>
      <c r="C39" s="34">
        <v>93127.144615398007</v>
      </c>
      <c r="D39" s="34">
        <v>589815</v>
      </c>
      <c r="E39" s="34">
        <v>58981.5</v>
      </c>
      <c r="F39" s="34">
        <v>15872</v>
      </c>
      <c r="G39" s="34">
        <v>48.1</v>
      </c>
      <c r="H39" s="36">
        <v>2009</v>
      </c>
      <c r="I39" s="34">
        <f>DetailTable4[Electricity (MMBTU)]+DetailTable4[Natural gas (MMBTU)]</f>
        <v>152108.64461539802</v>
      </c>
      <c r="J39" s="34">
        <v>2007</v>
      </c>
      <c r="K39" s="34">
        <v>2007</v>
      </c>
      <c r="L39" s="34">
        <v>2009</v>
      </c>
      <c r="M39"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39" s="35">
        <f>(5.086166746649 * DetailTable4[Production]) + 20110.25</f>
        <v>100837.88860281292</v>
      </c>
      <c r="O39" s="35">
        <f>(2.560044576545 * DetailTable4[Production]) + (211.520605238538 * DetailTable4[Temperature]) + 7322.73</f>
        <v>58129.898630895928</v>
      </c>
      <c r="P39" s="35">
        <f>DetailTable4[Modeled Electricity (MMBTU)]+DetailTable4[Modeled Natural gas (MMBTU)]</f>
        <v>158967.78723370883</v>
      </c>
      <c r="Q39"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-83545.27565156421</v>
      </c>
      <c r="R39" s="35">
        <f ca="1">IF(DetailTable4[Period]=DetailTable4[Model Year],"",DetailTable4[CUSUMHidden])</f>
        <v>-83545.27565156421</v>
      </c>
      <c r="S39"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7710.7439874149131</v>
      </c>
      <c r="T39"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-851.60136910407164</v>
      </c>
      <c r="U39" s="46">
        <f ca="1">IF(DetailTable4[Period]&lt;=DetailTable4[Model Year],"N/A",SUM(DetailTable4[[#This Row],[Total Modeled Energy Consumption (MMBTU)]]:OFFSET(DetailTable4[[#This Row],[Total Modeled Energy Consumption (MMBTU)]],-11,0))-SUM(DetailTable4[[#This Row],[TOTAL  (MMBTU)]]:OFFSET(DetailTable4[[#This Row],[TOTAL  (MMBTU)]],-11,0)))</f>
        <v>86706.346372025786</v>
      </c>
      <c r="V39"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0.95713699055173851</v>
      </c>
      <c r="W39"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86706.346372025786</v>
      </c>
      <c r="X39" s="46">
        <f ca="1">IF(DetailTable4[Period]&lt;DetailTable4[Model Year],"N/A",IF((AND(DetailTable4[Period]=DetailTable4[Model Year],DetailTable4[Period] =OFFSET(DetailTable4[[#This Row],[Period]],1,0))),"N/A",SUM(DetailTable4[[#This Row],[TOTAL  (MMBTU)]]:OFFSET(DetailTable4[[#This Row],[TOTAL  (MMBTU)]],-11,0))))</f>
        <v>1936164.8306200162</v>
      </c>
      <c r="Y39"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1921727.6181424398</v>
      </c>
      <c r="Z39"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1820584.0592928377</v>
      </c>
      <c r="AA39"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1719440.5004432357</v>
      </c>
      <c r="AB3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101143.55884960224</v>
      </c>
      <c r="AC3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202287.11769920425</v>
      </c>
      <c r="AD3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303430.67654880625</v>
      </c>
      <c r="AE39" s="34"/>
      <c r="AF39" s="34"/>
      <c r="AG39" s="34"/>
      <c r="AH39" s="34"/>
      <c r="AI39" s="34"/>
      <c r="AJ39" s="34"/>
      <c r="AK39" s="34"/>
      <c r="AL39" s="34"/>
    </row>
    <row r="40" spans="1:38" x14ac:dyDescent="0.25">
      <c r="A40" s="41">
        <v>39845</v>
      </c>
      <c r="B40" s="34">
        <v>8111470</v>
      </c>
      <c r="C40" s="34">
        <v>83032.462406220002</v>
      </c>
      <c r="D40" s="34">
        <v>521123</v>
      </c>
      <c r="E40" s="34">
        <v>52112.3</v>
      </c>
      <c r="F40" s="34">
        <v>14340</v>
      </c>
      <c r="G40" s="34">
        <v>55.8</v>
      </c>
      <c r="H40" s="36">
        <v>2009</v>
      </c>
      <c r="I40" s="34">
        <f>DetailTable4[Electricity (MMBTU)]+DetailTable4[Natural gas (MMBTU)]</f>
        <v>135144.76240622002</v>
      </c>
      <c r="J40" s="34">
        <v>2007</v>
      </c>
      <c r="K40" s="34">
        <v>2007</v>
      </c>
      <c r="L40" s="34">
        <v>2009</v>
      </c>
      <c r="M40"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0" s="35">
        <f>(5.086166746649 * DetailTable4[Production]) + 20110.25</f>
        <v>93045.88114694666</v>
      </c>
      <c r="O40" s="35">
        <f>(2.560044576545 * DetailTable4[Production]) + (211.520605238538 * DetailTable4[Temperature]) + 7322.73</f>
        <v>55836.618999965722</v>
      </c>
      <c r="P40" s="35">
        <f>DetailTable4[Modeled Electricity (MMBTU)]+DetailTable4[Modeled Natural gas (MMBTU)]</f>
        <v>148882.50014691238</v>
      </c>
      <c r="Q40"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-97283.013392256573</v>
      </c>
      <c r="R40" s="35">
        <f ca="1">IF(DetailTable4[Period]=DetailTable4[Model Year],"",DetailTable4[CUSUMHidden])</f>
        <v>-97283.013392256573</v>
      </c>
      <c r="S40"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10013.418740726658</v>
      </c>
      <c r="T40"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3724.3189999657188</v>
      </c>
      <c r="U40" s="46">
        <f ca="1">IF(DetailTable4[Period]&lt;=DetailTable4[Model Year],"N/A",SUM(DetailTable4[[#This Row],[Total Modeled Energy Consumption (MMBTU)]]:OFFSET(DetailTable4[[#This Row],[Total Modeled Energy Consumption (MMBTU)]],-11,0))-SUM(DetailTable4[[#This Row],[TOTAL  (MMBTU)]]:OFFSET(DetailTable4[[#This Row],[TOTAL  (MMBTU)]],-11,0)))</f>
        <v>101679.43339713616</v>
      </c>
      <c r="V40"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0.94784875798359458</v>
      </c>
      <c r="W40"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101679.43339713616</v>
      </c>
      <c r="X40" s="46">
        <f ca="1">IF(DetailTable4[Period]&lt;DetailTable4[Model Year],"N/A",IF((AND(DetailTable4[Period]=DetailTable4[Model Year],DetailTable4[Period] =OFFSET(DetailTable4[[#This Row],[Period]],1,0))),"N/A",SUM(DetailTable4[[#This Row],[TOTAL  (MMBTU)]]:OFFSET(DetailTable4[[#This Row],[TOTAL  (MMBTU)]],-11,0))))</f>
        <v>1848023.573966532</v>
      </c>
      <c r="Y40"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1852217.8569954848</v>
      </c>
      <c r="Z40"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1754732.7066273014</v>
      </c>
      <c r="AA40"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1657247.556259118</v>
      </c>
      <c r="AB4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97485.150368183386</v>
      </c>
      <c r="AC4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194970.30073636677</v>
      </c>
      <c r="AD4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292455.45110455016</v>
      </c>
      <c r="AE40" s="34"/>
      <c r="AF40" s="34"/>
      <c r="AG40" s="34"/>
      <c r="AH40" s="34"/>
      <c r="AI40" s="34"/>
      <c r="AJ40" s="34"/>
      <c r="AK40" s="34"/>
      <c r="AL40" s="34"/>
    </row>
    <row r="41" spans="1:38" x14ac:dyDescent="0.25">
      <c r="A41" s="41">
        <v>39873</v>
      </c>
      <c r="B41" s="34">
        <v>7041739</v>
      </c>
      <c r="C41" s="34">
        <v>72082.240184814</v>
      </c>
      <c r="D41" s="34">
        <v>399535</v>
      </c>
      <c r="E41" s="34">
        <v>39953.5</v>
      </c>
      <c r="F41" s="34">
        <v>9117</v>
      </c>
      <c r="G41" s="34">
        <v>58.9</v>
      </c>
      <c r="H41" s="36">
        <v>2009</v>
      </c>
      <c r="I41" s="34">
        <f>DetailTable4[Electricity (MMBTU)]+DetailTable4[Natural gas (MMBTU)]</f>
        <v>112035.740184814</v>
      </c>
      <c r="J41" s="34">
        <v>2007</v>
      </c>
      <c r="K41" s="34">
        <v>2007</v>
      </c>
      <c r="L41" s="34">
        <v>2009</v>
      </c>
      <c r="M41"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1" s="35">
        <f>(5.086166746649 * DetailTable4[Production]) + 20110.25</f>
        <v>66480.832229198932</v>
      </c>
      <c r="O41" s="35">
        <f>(2.560044576545 * DetailTable4[Production]) + (211.520605238538 * DetailTable4[Temperature]) + 7322.73</f>
        <v>43121.220052910649</v>
      </c>
      <c r="P41" s="35">
        <f>DetailTable4[Modeled Electricity (MMBTU)]+DetailTable4[Modeled Natural gas (MMBTU)]</f>
        <v>109602.05228210958</v>
      </c>
      <c r="Q41"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-94849.325489552153</v>
      </c>
      <c r="R41" s="35">
        <f ca="1">IF(DetailTable4[Period]=DetailTable4[Model Year],"",DetailTable4[CUSUMHidden])</f>
        <v>-94849.325489552153</v>
      </c>
      <c r="S41"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-5601.4079556150682</v>
      </c>
      <c r="T41"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3167.7200529106485</v>
      </c>
      <c r="U41" s="46">
        <f ca="1">IF(DetailTable4[Period]&lt;=DetailTable4[Model Year],"N/A",SUM(DetailTable4[[#This Row],[Total Modeled Energy Consumption (MMBTU)]]:OFFSET(DetailTable4[[#This Row],[Total Modeled Energy Consumption (MMBTU)]],-11,0))-SUM(DetailTable4[[#This Row],[TOTAL  (MMBTU)]]:OFFSET(DetailTable4[[#This Row],[TOTAL  (MMBTU)]],-11,0)))</f>
        <v>95378.969655216206</v>
      </c>
      <c r="V41"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0.94961582955992352</v>
      </c>
      <c r="W41"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95378.969655216206</v>
      </c>
      <c r="X41" s="46">
        <f ca="1">IF(DetailTable4[Period]&lt;DetailTable4[Model Year],"N/A",IF((AND(DetailTable4[Period]=DetailTable4[Model Year],DetailTable4[Period] =OFFSET(DetailTable4[[#This Row],[Period]],1,0))),"N/A",SUM(DetailTable4[[#This Row],[TOTAL  (MMBTU)]]:OFFSET(DetailTable4[[#This Row],[TOTAL  (MMBTU)]],-11,0))))</f>
        <v>1797655.46600456</v>
      </c>
      <c r="Y41"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1798382.7138767873</v>
      </c>
      <c r="Z41"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1703730.9920937987</v>
      </c>
      <c r="AA41"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1609079.2703108098</v>
      </c>
      <c r="AB4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94651.721782988869</v>
      </c>
      <c r="AC4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189303.4435659775</v>
      </c>
      <c r="AD41"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283955.16534896637</v>
      </c>
      <c r="AE41" s="34"/>
      <c r="AF41" s="34"/>
      <c r="AG41" s="34"/>
      <c r="AH41" s="34"/>
      <c r="AI41" s="34"/>
      <c r="AJ41" s="34"/>
      <c r="AK41" s="34"/>
      <c r="AL41" s="34"/>
    </row>
    <row r="42" spans="1:38" x14ac:dyDescent="0.25">
      <c r="A42" s="41">
        <v>39904</v>
      </c>
      <c r="B42" s="34">
        <v>8343011</v>
      </c>
      <c r="C42" s="34">
        <v>85402.614718686003</v>
      </c>
      <c r="D42" s="34">
        <v>574420</v>
      </c>
      <c r="E42" s="34">
        <v>57442</v>
      </c>
      <c r="F42" s="34">
        <v>15795</v>
      </c>
      <c r="G42" s="34">
        <v>64.8</v>
      </c>
      <c r="H42" s="36">
        <v>2009</v>
      </c>
      <c r="I42" s="34">
        <f>DetailTable4[Electricity (MMBTU)]+DetailTable4[Natural gas (MMBTU)]</f>
        <v>142844.614718686</v>
      </c>
      <c r="J42" s="34">
        <v>2007</v>
      </c>
      <c r="K42" s="34">
        <v>2007</v>
      </c>
      <c r="L42" s="34">
        <v>2009</v>
      </c>
      <c r="M42"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2" s="35">
        <f>(5.086166746649 * DetailTable4[Production]) + 20110.25</f>
        <v>100446.25376332096</v>
      </c>
      <c r="O42" s="35">
        <f>(2.560044576545 * DetailTable4[Production]) + (211.520605238538 * DetailTable4[Temperature]) + 7322.73</f>
        <v>61465.169305985546</v>
      </c>
      <c r="P42" s="35">
        <f>DetailTable4[Modeled Electricity (MMBTU)]+DetailTable4[Modeled Natural gas (MMBTU)]</f>
        <v>161911.4230693065</v>
      </c>
      <c r="Q42"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-113916.13384017265</v>
      </c>
      <c r="R42" s="35">
        <f ca="1">IF(DetailTable4[Period]=DetailTable4[Model Year],"",DetailTable4[CUSUMHidden])</f>
        <v>-113916.13384017265</v>
      </c>
      <c r="S42"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15043.639044634954</v>
      </c>
      <c r="T42"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4023.1693059855461</v>
      </c>
      <c r="U42" s="46">
        <f ca="1">IF(DetailTable4[Period]&lt;=DetailTable4[Model Year],"N/A",SUM(DetailTable4[[#This Row],[Total Modeled Energy Consumption (MMBTU)]]:OFFSET(DetailTable4[[#This Row],[Total Modeled Energy Consumption (MMBTU)]],-11,0))-SUM(DetailTable4[[#This Row],[TOTAL  (MMBTU)]]:OFFSET(DetailTable4[[#This Row],[TOTAL  (MMBTU)]],-11,0)))</f>
        <v>117415.60173759656</v>
      </c>
      <c r="V42"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0.93792326699029649</v>
      </c>
      <c r="W42"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117415.60173759656</v>
      </c>
      <c r="X42" s="46">
        <f ca="1">IF(DetailTable4[Period]&lt;DetailTable4[Model Year],"N/A",IF((AND(DetailTable4[Period]=DetailTable4[Model Year],DetailTable4[Period] =OFFSET(DetailTable4[[#This Row],[Period]],1,0))),"N/A",SUM(DetailTable4[[#This Row],[TOTAL  (MMBTU)]]:OFFSET(DetailTable4[[#This Row],[TOTAL  (MMBTU)]],-11,0))))</f>
        <v>1774043.5012928862</v>
      </c>
      <c r="Y42"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1796886.1478789586</v>
      </c>
      <c r="Z42"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1702313.1927274344</v>
      </c>
      <c r="AA42"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1607740.2375759103</v>
      </c>
      <c r="AB4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94572.955151524162</v>
      </c>
      <c r="AC4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189145.91030304832</v>
      </c>
      <c r="AD42"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283718.86545457249</v>
      </c>
      <c r="AE42" s="34"/>
      <c r="AF42" s="34"/>
      <c r="AG42" s="34"/>
      <c r="AH42" s="34"/>
      <c r="AI42" s="34"/>
      <c r="AJ42" s="34"/>
      <c r="AK42" s="34"/>
      <c r="AL42" s="34"/>
    </row>
    <row r="43" spans="1:38" x14ac:dyDescent="0.25">
      <c r="A43" s="41">
        <v>39934</v>
      </c>
      <c r="B43" s="34">
        <v>9102511</v>
      </c>
      <c r="C43" s="34">
        <v>93177.180265686009</v>
      </c>
      <c r="D43" s="34">
        <v>571229</v>
      </c>
      <c r="E43" s="34">
        <v>57122.9</v>
      </c>
      <c r="F43" s="34">
        <v>16472</v>
      </c>
      <c r="G43" s="34">
        <v>73.3</v>
      </c>
      <c r="H43" s="36">
        <v>2009</v>
      </c>
      <c r="I43" s="34">
        <f>DetailTable4[Electricity (MMBTU)]+DetailTable4[Natural gas (MMBTU)]</f>
        <v>150300.080265686</v>
      </c>
      <c r="J43" s="34">
        <v>2007</v>
      </c>
      <c r="K43" s="34">
        <v>2007</v>
      </c>
      <c r="L43" s="34">
        <v>2009</v>
      </c>
      <c r="M43"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3" s="35">
        <f>(5.086166746649 * DetailTable4[Production]) + 20110.25</f>
        <v>103889.58865080232</v>
      </c>
      <c r="O43" s="35">
        <f>(2.560044576545 * DetailTable4[Production]) + (211.520605238538 * DetailTable4[Temperature]) + 7322.73</f>
        <v>64996.244628834073</v>
      </c>
      <c r="P43" s="35">
        <f>DetailTable4[Modeled Electricity (MMBTU)]+DetailTable4[Modeled Natural gas (MMBTU)]</f>
        <v>168885.8332796364</v>
      </c>
      <c r="Q43"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-132501.88685412303</v>
      </c>
      <c r="R43" s="35">
        <f ca="1">IF(DetailTable4[Period]=DetailTable4[Model Year],"",DetailTable4[CUSUMHidden])</f>
        <v>-132501.88685412303</v>
      </c>
      <c r="S43"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10712.408385116316</v>
      </c>
      <c r="T43"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7873.344628834071</v>
      </c>
      <c r="U43" s="46">
        <f ca="1">IF(DetailTable4[Period]&lt;=DetailTable4[Model Year],"N/A",SUM(DetailTable4[[#This Row],[Total Modeled Energy Consumption (MMBTU)]]:OFFSET(DetailTable4[[#This Row],[Total Modeled Energy Consumption (MMBTU)]],-11,0))-SUM(DetailTable4[[#This Row],[TOTAL  (MMBTU)]]:OFFSET(DetailTable4[[#This Row],[TOTAL  (MMBTU)]],-11,0)))</f>
        <v>136016.43819918181</v>
      </c>
      <c r="V43"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0.92722618985463068</v>
      </c>
      <c r="W43"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136016.43819918181</v>
      </c>
      <c r="X43" s="46">
        <f ca="1">IF(DetailTable4[Period]&lt;DetailTable4[Model Year],"N/A",IF((AND(DetailTable4[Period]=DetailTable4[Model Year],DetailTable4[Period] =OFFSET(DetailTable4[[#This Row],[Period]],1,0))),"N/A",SUM(DetailTable4[[#This Row],[TOTAL  (MMBTU)]]:OFFSET(DetailTable4[[#This Row],[TOTAL  (MMBTU)]],-11,0))))</f>
        <v>1733013.6143359561</v>
      </c>
      <c r="Y43"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1775578.549908381</v>
      </c>
      <c r="Z43"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1682127.0472816241</v>
      </c>
      <c r="AA43"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1588675.5446548671</v>
      </c>
      <c r="AB4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93451.502626756905</v>
      </c>
      <c r="AC4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186903.00525351381</v>
      </c>
      <c r="AD43"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280354.50788027071</v>
      </c>
      <c r="AE43" s="34"/>
      <c r="AF43" s="34"/>
      <c r="AG43" s="34"/>
      <c r="AH43" s="34"/>
      <c r="AI43" s="34"/>
      <c r="AJ43" s="34"/>
      <c r="AK43" s="34"/>
      <c r="AL43" s="34"/>
    </row>
    <row r="44" spans="1:38" x14ac:dyDescent="0.25">
      <c r="A44" s="41">
        <v>39965</v>
      </c>
      <c r="B44" s="34">
        <v>7926879</v>
      </c>
      <c r="C44" s="34">
        <v>81142.910294453992</v>
      </c>
      <c r="D44" s="34">
        <v>464632</v>
      </c>
      <c r="E44" s="34">
        <v>46463.200000000004</v>
      </c>
      <c r="F44" s="34">
        <v>12515</v>
      </c>
      <c r="G44" s="34">
        <v>81.099999999999994</v>
      </c>
      <c r="H44" s="36">
        <v>2009</v>
      </c>
      <c r="I44" s="34">
        <f>DetailTable4[Electricity (MMBTU)]+DetailTable4[Natural gas (MMBTU)]</f>
        <v>127606.110294454</v>
      </c>
      <c r="J44" s="34">
        <v>2007</v>
      </c>
      <c r="K44" s="34">
        <v>2007</v>
      </c>
      <c r="L44" s="34">
        <v>2009</v>
      </c>
      <c r="M44"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4" s="35">
        <f>(5.086166746649 * DetailTable4[Production]) + 20110.25</f>
        <v>83763.626834312236</v>
      </c>
      <c r="O44" s="35">
        <f>(2.560044576545 * DetailTable4[Production]) + (211.520605238538 * DetailTable4[Temperature]) + 7322.73</f>
        <v>56516.008960306106</v>
      </c>
      <c r="P44" s="35">
        <f>DetailTable4[Modeled Electricity (MMBTU)]+DetailTable4[Modeled Natural gas (MMBTU)]</f>
        <v>140279.63579461834</v>
      </c>
      <c r="Q44"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-145175.41235428737</v>
      </c>
      <c r="R44" s="35">
        <f ca="1">IF(DetailTable4[Period]=DetailTable4[Model Year],"",DetailTable4[CUSUMHidden])</f>
        <v>-145175.41235428737</v>
      </c>
      <c r="S44"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2620.7165398582438</v>
      </c>
      <c r="T44"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10052.808960306102</v>
      </c>
      <c r="U44" s="46">
        <f ca="1">IF(DetailTable4[Period]&lt;=DetailTable4[Model Year],"N/A",SUM(DetailTable4[[#This Row],[Total Modeled Energy Consumption (MMBTU)]]:OFFSET(DetailTable4[[#This Row],[Total Modeled Energy Consumption (MMBTU)]],-11,0))-SUM(DetailTable4[[#This Row],[TOTAL  (MMBTU)]]:OFFSET(DetailTable4[[#This Row],[TOTAL  (MMBTU)]],-11,0)))</f>
        <v>135035.223237545</v>
      </c>
      <c r="V44"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0.92675200184779283</v>
      </c>
      <c r="W44"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135035.223237545</v>
      </c>
      <c r="X44" s="46">
        <f ca="1">IF(DetailTable4[Period]&lt;DetailTable4[Model Year],"N/A",IF((AND(DetailTable4[Period]=DetailTable4[Model Year],DetailTable4[Period] =OFFSET(DetailTable4[[#This Row],[Period]],1,0))),"N/A",SUM(DetailTable4[[#This Row],[TOTAL  (MMBTU)]]:OFFSET(DetailTable4[[#This Row],[TOTAL  (MMBTU)]],-11,0))))</f>
        <v>1708499.434964932</v>
      </c>
      <c r="Y44"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1751357.9252923531</v>
      </c>
      <c r="Z44"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1659181.1923822293</v>
      </c>
      <c r="AA44"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1567004.4594721054</v>
      </c>
      <c r="AB4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92176.732910123887</v>
      </c>
      <c r="AC4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184353.46582024777</v>
      </c>
      <c r="AD44"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276530.19873037166</v>
      </c>
      <c r="AE44" s="34"/>
      <c r="AF44" s="34"/>
      <c r="AG44" s="34"/>
      <c r="AH44" s="34"/>
      <c r="AI44" s="34"/>
      <c r="AJ44" s="34"/>
      <c r="AK44" s="34"/>
      <c r="AL44" s="34"/>
    </row>
    <row r="45" spans="1:38" x14ac:dyDescent="0.25">
      <c r="A45" s="41">
        <v>39995</v>
      </c>
      <c r="B45" s="34">
        <v>9151478</v>
      </c>
      <c r="C45" s="34">
        <v>93678.427337628003</v>
      </c>
      <c r="D45" s="34">
        <v>574473</v>
      </c>
      <c r="E45" s="34">
        <v>57447.3</v>
      </c>
      <c r="F45" s="34">
        <v>16351</v>
      </c>
      <c r="G45" s="34">
        <v>86.5</v>
      </c>
      <c r="H45" s="36">
        <v>2009</v>
      </c>
      <c r="I45" s="34">
        <f>DetailTable4[Electricity (MMBTU)]+DetailTable4[Natural gas (MMBTU)]</f>
        <v>151125.72733762802</v>
      </c>
      <c r="J45" s="34">
        <v>2007</v>
      </c>
      <c r="K45" s="34">
        <v>2007</v>
      </c>
      <c r="L45" s="34">
        <v>2009</v>
      </c>
      <c r="M45"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5" s="35">
        <f>(5.086166746649 * DetailTable4[Production]) + 20110.25</f>
        <v>103274.1624744578</v>
      </c>
      <c r="O45" s="35">
        <f>(2.560044576545 * DetailTable4[Production]) + (211.520605238538 * DetailTable4[Temperature]) + 7322.73</f>
        <v>67478.551224220835</v>
      </c>
      <c r="P45" s="35">
        <f>DetailTable4[Modeled Electricity (MMBTU)]+DetailTable4[Modeled Natural gas (MMBTU)]</f>
        <v>170752.71369867865</v>
      </c>
      <c r="Q45"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-164802.398715338</v>
      </c>
      <c r="R45" s="35">
        <f ca="1">IF(DetailTable4[Period]=DetailTable4[Model Year],"",DetailTable4[CUSUMHidden])</f>
        <v>-164802.398715338</v>
      </c>
      <c r="S45"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9595.7351368297968</v>
      </c>
      <c r="T45"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10031.251224220832</v>
      </c>
      <c r="U45" s="46">
        <f ca="1">IF(DetailTable4[Period]&lt;=DetailTable4[Model Year],"N/A",SUM(DetailTable4[[#This Row],[Total Modeled Energy Consumption (MMBTU)]]:OFFSET(DetailTable4[[#This Row],[Total Modeled Energy Consumption (MMBTU)]],-11,0))-SUM(DetailTable4[[#This Row],[TOTAL  (MMBTU)]]:OFFSET(DetailTable4[[#This Row],[TOTAL  (MMBTU)]],-11,0)))</f>
        <v>145663.59850526555</v>
      </c>
      <c r="V45"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0.92140302020841736</v>
      </c>
      <c r="W45"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145663.59850526555</v>
      </c>
      <c r="X45" s="46">
        <f ca="1">IF(DetailTable4[Period]&lt;DetailTable4[Model Year],"N/A",IF((AND(DetailTable4[Period]=DetailTable4[Model Year],DetailTable4[Period] =OFFSET(DetailTable4[[#This Row],[Period]],1,0))),"N/A",SUM(DetailTable4[[#This Row],[TOTAL  (MMBTU)]]:OFFSET(DetailTable4[[#This Row],[TOTAL  (MMBTU)]],-11,0))))</f>
        <v>1707634.0586251342</v>
      </c>
      <c r="Y45"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1760632.7742738796</v>
      </c>
      <c r="Z45"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1667967.8914173597</v>
      </c>
      <c r="AA45"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1575303.0085608398</v>
      </c>
      <c r="AB4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92664.882856520126</v>
      </c>
      <c r="AC4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185329.76571304002</v>
      </c>
      <c r="AD45"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277994.64856955991</v>
      </c>
      <c r="AE45" s="34"/>
      <c r="AF45" s="34"/>
      <c r="AG45" s="34"/>
      <c r="AH45" s="34"/>
      <c r="AI45" s="34"/>
      <c r="AJ45" s="34"/>
      <c r="AK45" s="34"/>
      <c r="AL45" s="34"/>
    </row>
    <row r="46" spans="1:38" x14ac:dyDescent="0.25">
      <c r="A46" s="41">
        <v>40026</v>
      </c>
      <c r="B46" s="34">
        <v>9275907</v>
      </c>
      <c r="C46" s="34">
        <v>94952.135588381992</v>
      </c>
      <c r="D46" s="34">
        <v>598245</v>
      </c>
      <c r="E46" s="34">
        <v>59824.5</v>
      </c>
      <c r="F46" s="34">
        <v>16163</v>
      </c>
      <c r="G46" s="34">
        <v>85.2</v>
      </c>
      <c r="H46" s="36">
        <v>2009</v>
      </c>
      <c r="I46" s="34">
        <f>DetailTable4[Electricity (MMBTU)]+DetailTable4[Natural gas (MMBTU)]</f>
        <v>154776.63558838199</v>
      </c>
      <c r="J46" s="34">
        <v>2007</v>
      </c>
      <c r="K46" s="34">
        <v>2007</v>
      </c>
      <c r="L46" s="34">
        <v>2009</v>
      </c>
      <c r="M46"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6" s="35">
        <f>(5.086166746649 * DetailTable4[Production]) + 20110.25</f>
        <v>102317.96312608778</v>
      </c>
      <c r="O46" s="35">
        <f>(2.560044576545 * DetailTable4[Production]) + (211.520605238538 * DetailTable4[Temperature]) + 7322.73</f>
        <v>66722.286057020276</v>
      </c>
      <c r="P46" s="35">
        <f>DetailTable4[Modeled Electricity (MMBTU)]+DetailTable4[Modeled Natural gas (MMBTU)]</f>
        <v>169040.24918310804</v>
      </c>
      <c r="Q46"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-179066.01231006405</v>
      </c>
      <c r="R46" s="35">
        <f ca="1">IF(DetailTable4[Period]=DetailTable4[Model Year],"",DetailTable4[CUSUMHidden])</f>
        <v>-179066.01231006405</v>
      </c>
      <c r="S46"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7365.8275377057871</v>
      </c>
      <c r="T46"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6897.7860570202756</v>
      </c>
      <c r="U46" s="46">
        <f ca="1">IF(DetailTable4[Period]&lt;=DetailTable4[Model Year],"N/A",SUM(DetailTable4[[#This Row],[Total Modeled Energy Consumption (MMBTU)]]:OFFSET(DetailTable4[[#This Row],[Total Modeled Energy Consumption (MMBTU)]],-11,0))-SUM(DetailTable4[[#This Row],[TOTAL  (MMBTU)]]:OFFSET(DetailTable4[[#This Row],[TOTAL  (MMBTU)]],-11,0)))</f>
        <v>139035.43258143379</v>
      </c>
      <c r="V46"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0.92494212398131226</v>
      </c>
      <c r="W46"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139035.43258143379</v>
      </c>
      <c r="X46" s="46">
        <f ca="1">IF(DetailTable4[Period]&lt;DetailTable4[Model Year],"N/A",IF((AND(DetailTable4[Period]=DetailTable4[Model Year],DetailTable4[Period] =OFFSET(DetailTable4[[#This Row],[Period]],1,0))),"N/A",SUM(DetailTable4[[#This Row],[TOTAL  (MMBTU)]]:OFFSET(DetailTable4[[#This Row],[TOTAL  (MMBTU)]],-11,0))))</f>
        <v>1713340.8929465758</v>
      </c>
      <c r="Y46"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1759757.509251609</v>
      </c>
      <c r="Z46"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1667138.6929752086</v>
      </c>
      <c r="AA46"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1574519.876698808</v>
      </c>
      <c r="AB4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92618.816276400583</v>
      </c>
      <c r="AC4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185237.63255280093</v>
      </c>
      <c r="AD46"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277856.44882920152</v>
      </c>
      <c r="AE46" s="34"/>
      <c r="AF46" s="34"/>
      <c r="AG46" s="34"/>
      <c r="AH46" s="34"/>
      <c r="AI46" s="34"/>
      <c r="AJ46" s="34"/>
      <c r="AK46" s="34"/>
      <c r="AL46" s="34"/>
    </row>
    <row r="47" spans="1:38" x14ac:dyDescent="0.25">
      <c r="A47" s="41">
        <v>40057</v>
      </c>
      <c r="B47" s="34">
        <v>8661448</v>
      </c>
      <c r="C47" s="34">
        <v>88662.271504848002</v>
      </c>
      <c r="D47" s="34">
        <v>532100</v>
      </c>
      <c r="E47" s="34">
        <v>53210</v>
      </c>
      <c r="F47" s="34">
        <v>14367</v>
      </c>
      <c r="G47" s="34">
        <v>73.7</v>
      </c>
      <c r="H47" s="36">
        <v>2009</v>
      </c>
      <c r="I47" s="34">
        <f>DetailTable4[Electricity (MMBTU)]+DetailTable4[Natural gas (MMBTU)]</f>
        <v>141872.271504848</v>
      </c>
      <c r="J47" s="34">
        <v>2007</v>
      </c>
      <c r="K47" s="34">
        <v>2007</v>
      </c>
      <c r="L47" s="34">
        <v>2009</v>
      </c>
      <c r="M47"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7" s="35">
        <f>(5.086166746649 * DetailTable4[Production]) + 20110.25</f>
        <v>93183.207649106189</v>
      </c>
      <c r="O47" s="35">
        <f>(2.560044576545 * DetailTable4[Production]) + (211.520605238538 * DetailTable4[Temperature]) + 7322.73</f>
        <v>59691.959037302266</v>
      </c>
      <c r="P47" s="35">
        <f>DetailTable4[Modeled Electricity (MMBTU)]+DetailTable4[Modeled Natural gas (MMBTU)]</f>
        <v>152875.16668640845</v>
      </c>
      <c r="Q47"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-190068.9074916245</v>
      </c>
      <c r="R47" s="35">
        <f ca="1">IF(DetailTable4[Period]=DetailTable4[Model Year],"",DetailTable4[CUSUMHidden])</f>
        <v>-190068.9074916245</v>
      </c>
      <c r="S47"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4520.9361442581867</v>
      </c>
      <c r="T47"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6481.9590373022656</v>
      </c>
      <c r="U47" s="46">
        <f ca="1">IF(DetailTable4[Period]&lt;=DetailTable4[Model Year],"N/A",SUM(DetailTable4[[#This Row],[Total Modeled Energy Consumption (MMBTU)]]:OFFSET(DetailTable4[[#This Row],[Total Modeled Energy Consumption (MMBTU)]],-11,0))-SUM(DetailTable4[[#This Row],[TOTAL  (MMBTU)]]:OFFSET(DetailTable4[[#This Row],[TOTAL  (MMBTU)]],-11,0)))</f>
        <v>136734.30143366056</v>
      </c>
      <c r="V47"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0.92592761473798657</v>
      </c>
      <c r="W47"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136734.30143366056</v>
      </c>
      <c r="X47" s="46">
        <f ca="1">IF(DetailTable4[Period]&lt;DetailTable4[Model Year],"N/A",IF((AND(DetailTable4[Period]=DetailTable4[Model Year],DetailTable4[Period] =OFFSET(DetailTable4[[#This Row],[Period]],1,0))),"N/A",SUM(DetailTable4[[#This Row],[TOTAL  (MMBTU)]]:OFFSET(DetailTable4[[#This Row],[TOTAL  (MMBTU)]],-11,0))))</f>
        <v>1709220.853783706</v>
      </c>
      <c r="Y47"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1753657.3974564981</v>
      </c>
      <c r="Z47"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1661359.6396956299</v>
      </c>
      <c r="AA47"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1569061.8819347615</v>
      </c>
      <c r="AB4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92297.757760868408</v>
      </c>
      <c r="AC4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184595.51552173658</v>
      </c>
      <c r="AD47"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276893.27328260499</v>
      </c>
      <c r="AE47" s="34"/>
      <c r="AF47" s="34"/>
      <c r="AG47" s="34"/>
      <c r="AH47" s="34"/>
      <c r="AI47" s="34"/>
      <c r="AJ47" s="34"/>
      <c r="AK47" s="34"/>
      <c r="AL47" s="34"/>
    </row>
    <row r="48" spans="1:38" x14ac:dyDescent="0.25">
      <c r="A48" s="41">
        <v>40087</v>
      </c>
      <c r="B48" s="34">
        <v>8668760</v>
      </c>
      <c r="C48" s="34">
        <v>88737.120251760003</v>
      </c>
      <c r="D48" s="34">
        <v>561761</v>
      </c>
      <c r="E48" s="34">
        <v>56176.100000000006</v>
      </c>
      <c r="F48" s="34">
        <v>13355</v>
      </c>
      <c r="G48" s="34">
        <v>62.7</v>
      </c>
      <c r="H48" s="36">
        <v>2009</v>
      </c>
      <c r="I48" s="34">
        <f>DetailTable4[Electricity (MMBTU)]+DetailTable4[Natural gas (MMBTU)]</f>
        <v>144913.22025176001</v>
      </c>
      <c r="J48" s="34">
        <v>2007</v>
      </c>
      <c r="K48" s="34">
        <v>2007</v>
      </c>
      <c r="L48" s="34">
        <v>2009</v>
      </c>
      <c r="M48"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8" s="35">
        <f>(5.086166746649 * DetailTable4[Production]) + 20110.25</f>
        <v>88036.0069014974</v>
      </c>
      <c r="O48" s="35">
        <f>(2.560044576545 * DetailTable4[Production]) + (211.520605238538 * DetailTable4[Temperature]) + 7322.73</f>
        <v>54774.467268214808</v>
      </c>
      <c r="P48" s="35">
        <f>DetailTable4[Modeled Electricity (MMBTU)]+DetailTable4[Modeled Natural gas (MMBTU)]</f>
        <v>142810.47416971222</v>
      </c>
      <c r="Q48"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-187966.16140957671</v>
      </c>
      <c r="R48" s="35">
        <f ca="1">IF(DetailTable4[Period]=DetailTable4[Model Year],"",DetailTable4[CUSUMHidden])</f>
        <v>-187966.16140957671</v>
      </c>
      <c r="S48"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-701.11335026260349</v>
      </c>
      <c r="T48"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-1401.6327317851974</v>
      </c>
      <c r="U48" s="46">
        <f ca="1">IF(DetailTable4[Period]&lt;=DetailTable4[Model Year],"N/A",SUM(DetailTable4[[#This Row],[Total Modeled Energy Consumption (MMBTU)]]:OFFSET(DetailTable4[[#This Row],[Total Modeled Energy Consumption (MMBTU)]],-11,0))-SUM(DetailTable4[[#This Row],[TOTAL  (MMBTU)]]:OFFSET(DetailTable4[[#This Row],[TOTAL  (MMBTU)]],-11,0)))</f>
        <v>115887.44129733299</v>
      </c>
      <c r="V48"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0.9362397651349198</v>
      </c>
      <c r="W48"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115887.44129733299</v>
      </c>
      <c r="X48" s="46">
        <f ca="1">IF(DetailTable4[Period]&lt;DetailTable4[Model Year],"N/A",IF((AND(DetailTable4[Period]=DetailTable4[Model Year],DetailTable4[Period] =OFFSET(DetailTable4[[#This Row],[Period]],1,0))),"N/A",SUM(DetailTable4[[#This Row],[TOTAL  (MMBTU)]]:OFFSET(DetailTable4[[#This Row],[TOTAL  (MMBTU)]],-11,0))))</f>
        <v>1701662.9730409521</v>
      </c>
      <c r="Y48"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1726672.8936213707</v>
      </c>
      <c r="Z48"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1635795.3729044567</v>
      </c>
      <c r="AA48"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1544917.8521875422</v>
      </c>
      <c r="AB4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90877.520716914441</v>
      </c>
      <c r="AC4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181755.04143382842</v>
      </c>
      <c r="AD48"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272632.56215074286</v>
      </c>
      <c r="AE48" s="34"/>
      <c r="AF48" s="34"/>
      <c r="AG48" s="34"/>
      <c r="AH48" s="34"/>
      <c r="AI48" s="34"/>
      <c r="AJ48" s="34"/>
      <c r="AK48" s="34"/>
      <c r="AL48" s="34"/>
    </row>
    <row r="49" spans="1:38" x14ac:dyDescent="0.25">
      <c r="A49" s="41">
        <v>40118</v>
      </c>
      <c r="B49" s="34">
        <v>8942959</v>
      </c>
      <c r="C49" s="34">
        <v>91543.938024534</v>
      </c>
      <c r="D49" s="34">
        <v>471745</v>
      </c>
      <c r="E49" s="34">
        <v>47174.5</v>
      </c>
      <c r="F49" s="34">
        <v>18872</v>
      </c>
      <c r="G49" s="34">
        <v>57.5</v>
      </c>
      <c r="H49" s="36">
        <v>2009</v>
      </c>
      <c r="I49" s="34">
        <f>DetailTable4[Electricity (MMBTU)]+DetailTable4[Natural gas (MMBTU)]</f>
        <v>138718.438024534</v>
      </c>
      <c r="J49" s="34">
        <v>2007</v>
      </c>
      <c r="K49" s="34">
        <v>2007</v>
      </c>
      <c r="L49" s="34">
        <v>2009</v>
      </c>
      <c r="M49"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49" s="35">
        <f>(5.086166746649 * DetailTable4[Production]) + 20110.25</f>
        <v>116096.38884275993</v>
      </c>
      <c r="O49" s="35">
        <f>(2.560044576545 * DetailTable4[Production]) + (211.520605238538 * DetailTable4[Temperature]) + 7322.73</f>
        <v>67798.326049773168</v>
      </c>
      <c r="P49" s="35">
        <f>DetailTable4[Modeled Electricity (MMBTU)]+DetailTable4[Modeled Natural gas (MMBTU)]</f>
        <v>183894.71489253308</v>
      </c>
      <c r="Q49"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-233142.4382775758</v>
      </c>
      <c r="R49" s="35">
        <f ca="1">IF(DetailTable4[Period]=DetailTable4[Model Year],"",DetailTable4[CUSUMHidden])</f>
        <v>-233142.4382775758</v>
      </c>
      <c r="S49"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24552.450818225931</v>
      </c>
      <c r="T49"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20623.826049773168</v>
      </c>
      <c r="U49" s="46">
        <f ca="1">IF(DetailTable4[Period]&lt;=DetailTable4[Model Year],"N/A",SUM(DetailTable4[[#This Row],[Total Modeled Energy Consumption (MMBTU)]]:OFFSET(DetailTable4[[#This Row],[Total Modeled Energy Consumption (MMBTU)]],-11,0))-SUM(DetailTable4[[#This Row],[TOTAL  (MMBTU)]]:OFFSET(DetailTable4[[#This Row],[TOTAL  (MMBTU)]],-11,0)))</f>
        <v>146970.75278175785</v>
      </c>
      <c r="V49"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0.91993597755757262</v>
      </c>
      <c r="W49"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146970.75278175785</v>
      </c>
      <c r="X49" s="46">
        <f ca="1">IF(DetailTable4[Period]&lt;DetailTable4[Model Year],"N/A",IF((AND(DetailTable4[Period]=DetailTable4[Model Year],DetailTable4[Period] =OFFSET(DetailTable4[[#This Row],[Period]],1,0))),"N/A",SUM(DetailTable4[[#This Row],[TOTAL  (MMBTU)]]:OFFSET(DetailTable4[[#This Row],[TOTAL  (MMBTU)]],-11,0))))</f>
        <v>1688694.6097403639</v>
      </c>
      <c r="Y49"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1743882.0943960156</v>
      </c>
      <c r="Z49"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1652098.8262699095</v>
      </c>
      <c r="AA49"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1560315.5581438034</v>
      </c>
      <c r="AB4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91783.268126106123</v>
      </c>
      <c r="AC4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183566.53625221225</v>
      </c>
      <c r="AD49"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275349.80437831837</v>
      </c>
      <c r="AE49" s="34"/>
      <c r="AF49" s="34"/>
      <c r="AG49" s="34"/>
      <c r="AH49" s="34"/>
      <c r="AI49" s="34"/>
      <c r="AJ49" s="34"/>
      <c r="AK49" s="34"/>
      <c r="AL49" s="34"/>
    </row>
    <row r="50" spans="1:38" x14ac:dyDescent="0.25">
      <c r="A50" s="41">
        <v>40148</v>
      </c>
      <c r="B50" s="34">
        <v>8263535</v>
      </c>
      <c r="C50" s="34">
        <v>84589.064525909998</v>
      </c>
      <c r="D50" s="34">
        <v>573910</v>
      </c>
      <c r="E50" s="34">
        <v>57391</v>
      </c>
      <c r="F50" s="34">
        <v>16065</v>
      </c>
      <c r="G50" s="34">
        <v>42.7</v>
      </c>
      <c r="H50" s="36">
        <v>2009</v>
      </c>
      <c r="I50" s="34">
        <f>DetailTable4[Electricity (MMBTU)]+DetailTable4[Natural gas (MMBTU)]</f>
        <v>141980.06452591001</v>
      </c>
      <c r="J50" s="34">
        <v>2007</v>
      </c>
      <c r="K50" s="34">
        <v>2007</v>
      </c>
      <c r="L50" s="34">
        <v>2009</v>
      </c>
      <c r="M50" s="34" t="str">
        <f>IF(DetailTable4[Baseline Year]=DetailTable4[Model Year],IF(DetailTable4[Period]=DetailTable4[Model Year],"Model Year","Forecast"),IF(DetailTable4[Period]=DetailTable4[Model Year],"Model Year",IF(DetailTable4[Last Year]=DetailTable4[Model Year],"Backcast",IF(DetailTable4[Baseline Year]=DetailTable4[Model Year],"Forecast","Chaining"))))</f>
        <v>Forecast</v>
      </c>
      <c r="N50" s="35">
        <f>(5.086166746649 * DetailTable4[Production]) + 20110.25</f>
        <v>101819.51878491619</v>
      </c>
      <c r="O50" s="35">
        <f>(2.560044576545 * DetailTable4[Production]) + (211.520605238538 * DetailTable4[Temperature]) + 7322.73</f>
        <v>57481.775965880995</v>
      </c>
      <c r="P50" s="35">
        <f>DetailTable4[Modeled Electricity (MMBTU)]+DetailTable4[Modeled Natural gas (MMBTU)]</f>
        <v>159301.29475079718</v>
      </c>
      <c r="Q50" s="35">
        <f ca="1">IF(DetailTable4[Period]=DetailTable4[Model Year],IF(ISNUMBER(OFFSET(INDIRECT(ADDRESS(ROW(),COLUMN())),-1,0,1,1))=TRUE,OFFSET(INDIRECT(ADDRESS(ROW(),COLUMN())),-1,0,1,1),0),DetailTable4[TOTAL  (MMBTU)]-DetailTable4[Total Modeled Energy Consumption (MMBTU)]+IF(ISNUMBER(OFFSET(INDIRECT(ADDRESS(ROW(),COLUMN())),-1,0,1,1))=TRUE,OFFSET(INDIRECT(ADDRESS(ROW(),COLUMN())),-1,0,1,1),0))</f>
        <v>-250463.66850246297</v>
      </c>
      <c r="R50" s="35">
        <f ca="1">IF(DetailTable4[Period]=DetailTable4[Model Year],"",DetailTable4[CUSUMHidden])</f>
        <v>-250463.66850246297</v>
      </c>
      <c r="S50" s="35">
        <f ca="1">IF(DetailTable4[Baseline Year]=DetailTable4[Model Year],DetailTable4[Modeled Electricity (MMBTU)]-DetailTable4[Electricity (MMBTU)],IF(DetailTable4[Period]=DetailTable4[Model Year],IFERROR((OFFSET(INDIRECT(ADDRESS(ROW(),COLUMN())),-1,0,1,1)+((OFFSET(INDIRECT(ADDRESS(ROW(),COLUMN(DetailTable4[Electricity (MMBTU)]))),-1,0,1,1)-OFFSET(INDIRECT(ADDRESS(ROW(),COLUMN(DetailTable4[Modeled Electricity (MMBTU)]))),-1,0,1,1))-(DetailTable4[Electricity (MMBTU)]-DetailTable4[Modeled Electricity (MMBTU)]))),0),IF(DetailTable4[Last Year]=DetailTable4[Model Year],IFERROR((OFFSET(INDIRECT(ADDRESS(ROW(),COLUMN())),-1,0,1,1)+((OFFSET(INDIRECT(ADDRESS(ROW(),COLUMN(DetailTable4[Electricity (MMBTU)]))),-1,0,1,1)-OFFSET(INDIRECT(ADDRESS(ROW(),COLUMN(DetailTable4[Modeled Electricity (MMBTU)]))),-1,0,1,1))-(DetailTable4[Electricity (MMBTU)]-DetailTable4[Modeled Electricity (MMBTU)]))),0),IF(DetailTable4[Baseline Year]=DetailTable4[Model Year],DetailTable4[Modeled Electricity (MMBTU)]-DetailTable4[Electricity (MMBTU)],IF(DetailTable4[Period]&lt;DetailTable4[Model Year],IFERROR((OFFSET(INDIRECT(ADDRESS(ROW(),COLUMN())),-1,0,1,1)+((OFFSET(INDIRECT(ADDRESS(ROW(),COLUMN(DetailTable4[Electricity (MMBTU)]))),-1,0,1,1)-OFFSET(INDIRECT(ADDRESS(ROW(),COLUMN(DetailTable4[Modeled Electricity (MMBTU)]))),-1,0,1,1))-(DetailTable4[Electricity (MMBTU)]-DetailTable4[Modeled Electricity (MMBTU)]))),0),DetailTable4[Modeled Electricity (MMBTU)] - DetailTable4[Electricity (MMBTU)])))))</f>
        <v>17230.45425900619</v>
      </c>
      <c r="T50" s="35">
        <f ca="1">IF(DetailTable4[Baseline Year]=DetailTable4[Model Year],DetailTable4[Modeled Natural gas (MMBTU)]-DetailTable4[Natural gas (MMBTU)],IF(DetailTable4[Period]=DetailTable4[Model Year],IFERROR((OFFSET(INDIRECT(ADDRESS(ROW(),COLUMN())),-1,0,1,1)+((OFFSET(INDIRECT(ADDRESS(ROW(),COLUMN(DetailTable4[Natural gas (MMBTU)]))),-1,0,1,1)-OFFSET(INDIRECT(ADDRESS(ROW(),COLUMN(DetailTable4[Modeled Natural gas (MMBTU)]))),-1,0,1,1))-(DetailTable4[Natural gas (MMBTU)]-DetailTable4[Modeled Natural gas (MMBTU)]))),0),IF(DetailTable4[Last Year]=DetailTable4[Model Year],IFERROR((OFFSET(INDIRECT(ADDRESS(ROW(),COLUMN())),-1,0,1,1)+((OFFSET(INDIRECT(ADDRESS(ROW(),COLUMN(DetailTable4[Natural gas (MMBTU)]))),-1,0,1,1)-OFFSET(INDIRECT(ADDRESS(ROW(),COLUMN(DetailTable4[Modeled Natural gas (MMBTU)]))),-1,0,1,1))-(DetailTable4[Natural gas (MMBTU)]-DetailTable4[Modeled Natural gas (MMBTU)]))),0),IF(DetailTable4[Baseline Year]=DetailTable4[Model Year],DetailTable4[Modeled Natural gas (MMBTU)]-DetailTable4[Natural gas (MMBTU)],IF(DetailTable4[Period]&lt;DetailTable4[Model Year],IFERROR((OFFSET(INDIRECT(ADDRESS(ROW(),COLUMN())),-1,0,1,1)+((OFFSET(INDIRECT(ADDRESS(ROW(),COLUMN(DetailTable4[Natural gas (MMBTU)]))),-1,0,1,1)-OFFSET(INDIRECT(ADDRESS(ROW(),COLUMN(DetailTable4[Modeled Natural gas (MMBTU)]))),-1,0,1,1))-(DetailTable4[Natural gas (MMBTU)]-DetailTable4[Modeled Natural gas (MMBTU)]))),0),DetailTable4[Modeled Natural gas (MMBTU)] - DetailTable4[Natural gas (MMBTU)])))))</f>
        <v>90.7759658809955</v>
      </c>
      <c r="U50" s="46">
        <f ca="1">IF(DetailTable4[Period]&lt;=DetailTable4[Model Year],"N/A",SUM(DetailTable4[[#This Row],[Total Modeled Energy Consumption (MMBTU)]]:OFFSET(DetailTable4[[#This Row],[Total Modeled Energy Consumption (MMBTU)]],-11,0))-SUM(DetailTable4[[#This Row],[TOTAL  (MMBTU)]]:OFFSET(DetailTable4[[#This Row],[TOTAL  (MMBTU)]],-11,0)))</f>
        <v>173777.53546920978</v>
      </c>
      <c r="V50" s="48">
        <f ca="1">IF(DetailTable4[Period]&lt;DetailTable4[Model Year],"N/A",IF((AND(DetailTable4[Period]=DetailTable4[Model Year],DetailTable4[Period] =OFFSET(DetailTable4[[#This Row],[Period]],1,0))),"N/A",IF((DetailTable4[Adjustment Method]="Forecast"),SUM(DetailTable4[[#This Row],[TOTAL  (MMBTU)]]:OFFSET(DetailTable4[[#This Row],[TOTAL  (MMBTU)]],-11,0))/SUM(DetailTable4[[#This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(MMBTU)]],-11,0))*SUMIF(DetailTable4[Period],"2007",DetailTable4[Total Modeled Energy Consumption (MMBTU)])/SUMIF(DetailTable4[Period],"2007",DetailTable4[TOTAL  (MMBTU)]))))</f>
        <v>0.90693167437658273</v>
      </c>
      <c r="W50" s="46">
        <f ca="1">IF(DetailTable4[Period]&lt;=DetailTable4[Model Year],"N/A",IF((DetailTable4[Adjustment Method]="Forecast"),SUM(DetailTable4[[#This Row],[Total Modeled Energy Consumption (MMBTU)]]:OFFSET(DetailTable4[[#This Row],[Total Modeled Energy Consumption (MMBTU)]],-11,0))-SUM(DetailTable4[[#This Row],[TOTAL  (MMBTU)]]:OFFSET(DetailTable4[[#This Row],[TOTAL  (MMBTU)]],-11,0)),SUM(DetailTable4[[#This Row],[Total Modeled Energy Consumption (MMBTU)]]:OFFSET(DetailTable4[[#This Row],[Total Modeled Energy Consumption (MMBTU)]],-11,0))-SUM(DetailTable4[[#This Row],[TOTAL  (MMBTU)]]:OFFSET(DetailTable4[[#This Row],[TOTAL  (MMBTU)]],-11,0))+SUMIF(DetailTable4[Period],"2007",DetailTable4[TOTAL  (MMBTU)])-SUMIF(DetailTable4[Period],"2007",DetailTable4[Total Modeled Energy Consumption (MMBTU)])))</f>
        <v>173777.53546920978</v>
      </c>
      <c r="X50" s="46">
        <f ca="1">IF(DetailTable4[Period]&lt;DetailTable4[Model Year],"N/A",IF((AND(DetailTable4[Period]=DetailTable4[Model Year],DetailTable4[Period] =OFFSET(DetailTable4[[#This Row],[Period]],1,0))),"N/A",SUM(DetailTable4[[#This Row],[TOTAL  (MMBTU)]]:OFFSET(DetailTable4[[#This Row],[TOTAL  (MMBTU)]],-11,0))))</f>
        <v>1693426.3097183199</v>
      </c>
      <c r="Y50" s="46">
        <f ca="1">IF(DetailTable4[Period]&lt;DetailTable4[Model Year],"N/A",IF((AND(DetailTable4[Period]=DetailTable4[Model Year],DetailTable4[Period] =OFFSET(DetailTable4[[#This Row],[Period]],1,0))),"N/A",IF((DetailTable4[Adjustment Method]="Forecast"),(1-0.05)*SUM(DetailTable4[[#This Row],[Total Modeled Energy Consumption (MMBTU)]]:OFFSET(DetailTable4[[#This Row],[Total Modeled Energy Consumption (MMBTU)]],-11,0)),(1-0.05)*SUM(DetailTable4[[#This Row],[Total Modeled Energy Consumption (MMBTU)]]:OFFSET(DetailTable4[[#This Row],[Total Modeled Energy Consumption (MMBTU)]],-11,0))*SUMIF(DetailTable4[Period],"2007",DetailTable4[TOTAL  (MMBTU)])/SUMIF(DetailTable4[Period],"2007",DetailTable4[Total Modeled Energy Consumption (MMBTU)]))))</f>
        <v>1773843.6529281531</v>
      </c>
      <c r="Z50" s="46">
        <f ca="1">IF(DetailTable4[Period]&lt;DetailTable4[Model Year],"N/A",IF((AND(DetailTable4[Period]=DetailTable4[Model Year],DetailTable4[Period] =OFFSET(DetailTable4[[#This Row],[Period]],1,0))),"N/A",IF((DetailTable4[Adjustment Method]="Forecast"),(1-0.1)*SUM(DetailTable4[[#This Row],[Total Modeled Energy Consumption (MMBTU)]]:OFFSET(DetailTable4[[#This Row],[Total Modeled Energy Consumption (MMBTU)]],-11,0)),(1-0.1)*SUM(DetailTable4[[#This Row],[Total Modeled Energy Consumption (MMBTU)]]:OFFSET(DetailTable4[[#This Row],[Total Modeled Energy Consumption (MMBTU)]],-11,0))*SUMIF(DetailTable4[Period],"2007",DetailTable4[TOTAL  (MMBTU)])/SUMIF(DetailTable4[Period],"2007",DetailTable4[Total Modeled Energy Consumption (MMBTU)]))))</f>
        <v>1680483.4606687766</v>
      </c>
      <c r="AA50" s="46">
        <f ca="1">IF(DetailTable4[Period]&lt;DetailTable4[Model Year],"N/A",IF((AND(DetailTable4[Period]=DetailTable4[Model Year],DetailTable4[Period] =OFFSET(DetailTable4[[#This Row],[Period]],1,0))),"N/A",IF((DetailTable4[Adjustment Method]="Forecast"),(1-0.15)*SUM(DetailTable4[[#This Row],[Total Modeled Energy Consumption (MMBTU)]]:OFFSET(DetailTable4[[#This Row],[Total Modeled Energy Consumption (MMBTU)]],-11,0)),(1-0.15)*SUM(DetailTable4[[#This Row],[Total Modeled Energy Consumption (MMBTU)]]:OFFSET(DetailTable4[[#This Row],[Total Modeled Energy Consumption (MMBTU)]],-11,0))*SUMIF(DetailTable4[Period],"2007",DetailTable4[TOTAL  (MMBTU)])/SUMIF(DetailTable4[Period],"2007",DetailTable4[Total Modeled Energy Consumption (MMBTU)]))))</f>
        <v>1587123.2684094002</v>
      </c>
      <c r="AB5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5% improvement target],SUM(DetailTable4[[#This Row],[Total Modeled Energy Consumption (MMBTU)]]:OFFSET(DetailTable4[[#This Row],[Total Modeled Energy Consumption (MMBTU)]],-11,0))-DetailTable4[For SEP Only: Trailing Twelve Month Actual Energy Consumption to meet 5% improvement target]+SUMIF(DetailTable4[Period],"2007",DetailTable4[TOTAL  (MMBTU)])/SUMIF(DetailTable4[Period],"2007",DetailTable4[Total Modeled Energy Consumption (MMBTU)])))</f>
        <v>93360.192259376636</v>
      </c>
      <c r="AC5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10% improvement target],SUM(DetailTable4[[#This Row],[Total Modeled Energy Consumption (MMBTU)]]:OFFSET(DetailTable4[[#This Row],[Total Modeled Energy Consumption (MMBTU)]],-11,0))-DetailTable4[For SEP Only: Trailing Twelve Month Actual Energy Consumption to meet 10% improvement target]+SUMIF(DetailTable4[Period],"2007",DetailTable4[TOTAL  (MMBTU)])/SUMIF(DetailTable4[Period],"2007",DetailTable4[Total Modeled Energy Consumption (MMBTU)])))</f>
        <v>186720.38451875304</v>
      </c>
      <c r="AD50" s="46">
        <f ca="1">IF(DetailTable4[Period]&lt;=DetailTable4[Model Year],"N/A",IF((DetailTable4[Adjustment Method]="Forecast"),SUM(DetailTable4[[#This Row],[Total Modeled Energy Consumption (MMBTU)]]:OFFSET(DetailTable4[[#This Row],[Total Modeled Energy Consumption (MMBTU)]],-11,0))-DetailTable4[For SEP Only: Trailing Twelve Month Actual Energy Consumption to meet 15% improvement target],SUM(DetailTable4[[#This Row],[Total Modeled Energy Consumption (MMBTU)]]:OFFSET(DetailTable4[[#This Row],[Total Modeled Energy Consumption (MMBTU)]],-11,0))-DetailTable4[For SEP Only: Trailing Twelve Month Actual Energy Consumption to meet 15% improvement target]+SUMIF(DetailTable4[Period],"2007",DetailTable4[TOTAL  (MMBTU)])/SUMIF(DetailTable4[Period],"2007",DetailTable4[Total Modeled Energy Consumption (MMBTU)])))</f>
        <v>280080.57677812944</v>
      </c>
      <c r="AE50" s="34"/>
      <c r="AF50" s="34"/>
      <c r="AG50" s="34"/>
      <c r="AH50" s="34"/>
      <c r="AI50" s="34"/>
      <c r="AJ50" s="34"/>
      <c r="AK50" s="34"/>
      <c r="AL50" s="34"/>
    </row>
    <row r="51" spans="1:38" x14ac:dyDescent="0.25">
      <c r="B51" s="34"/>
      <c r="C51" s="34"/>
      <c r="D51" s="34"/>
      <c r="E51" s="34"/>
      <c r="F51" s="34"/>
      <c r="G51" s="34"/>
      <c r="H51" s="36"/>
      <c r="I51" s="34"/>
      <c r="J51" s="34"/>
      <c r="K51" s="34"/>
      <c r="L51" s="34"/>
      <c r="M51" s="34"/>
      <c r="N51" s="34"/>
      <c r="O51" s="34"/>
      <c r="P51" s="34"/>
      <c r="Q51" s="34"/>
      <c r="R51" s="34"/>
      <c r="S51" s="34"/>
      <c r="T51" s="34"/>
      <c r="U51" s="34"/>
      <c r="V51" s="34"/>
      <c r="W51" s="34"/>
      <c r="X51" s="34"/>
      <c r="Y51" s="34"/>
      <c r="Z51" s="34"/>
      <c r="AA51" s="34"/>
      <c r="AB51" s="34"/>
    </row>
    <row r="52" spans="1:38" x14ac:dyDescent="0.25">
      <c r="B52" s="34"/>
      <c r="C52" s="34"/>
      <c r="D52" s="34"/>
      <c r="E52" s="34"/>
      <c r="F52" s="34"/>
      <c r="G52" s="34"/>
      <c r="H52" s="36"/>
      <c r="I52" s="34"/>
      <c r="J52" s="34"/>
      <c r="K52" s="34"/>
      <c r="L52" s="34"/>
      <c r="M52" s="34"/>
      <c r="N52" s="34"/>
      <c r="O52" s="34"/>
      <c r="P52" s="34"/>
      <c r="Q52" s="34"/>
      <c r="R52" s="34"/>
      <c r="S52" s="34"/>
      <c r="T52" s="34"/>
      <c r="U52" s="34"/>
      <c r="V52" s="34"/>
      <c r="W52" s="34"/>
      <c r="X52" s="34"/>
      <c r="Y52" s="34"/>
      <c r="Z52" s="34"/>
      <c r="AA52" s="34"/>
      <c r="AB52" s="34"/>
    </row>
    <row r="53" spans="1:38" x14ac:dyDescent="0.25">
      <c r="B53" s="34"/>
      <c r="C53" s="34"/>
      <c r="D53" s="34"/>
      <c r="E53" s="34"/>
      <c r="F53" s="34"/>
      <c r="G53" s="34"/>
      <c r="H53" s="36"/>
      <c r="I53" s="34"/>
      <c r="J53" s="34"/>
      <c r="K53" s="34"/>
      <c r="L53" s="34"/>
      <c r="M53" s="34"/>
      <c r="N53" s="34"/>
      <c r="O53" s="34"/>
      <c r="P53" s="34"/>
      <c r="Q53" s="34"/>
      <c r="R53" s="34"/>
      <c r="S53" s="34"/>
      <c r="T53" s="34"/>
      <c r="U53" s="34"/>
      <c r="V53" s="34"/>
      <c r="W53" s="34"/>
      <c r="X53" s="34"/>
      <c r="Y53" s="34"/>
      <c r="Z53" s="34"/>
      <c r="AA53" s="34"/>
      <c r="AB53" s="34"/>
    </row>
    <row r="54" spans="1:38" x14ac:dyDescent="0.25">
      <c r="B54" s="34"/>
      <c r="C54" s="34"/>
      <c r="D54" s="34"/>
      <c r="E54" s="34"/>
      <c r="F54" s="34"/>
      <c r="G54" s="34"/>
      <c r="H54" s="36"/>
      <c r="I54" s="34"/>
      <c r="J54" s="34"/>
      <c r="K54" s="34"/>
      <c r="L54" s="34"/>
      <c r="M54" s="34"/>
      <c r="N54" s="34"/>
      <c r="O54" s="34"/>
      <c r="P54" s="34"/>
      <c r="Q54" s="34"/>
      <c r="R54" s="34"/>
      <c r="S54" s="34"/>
      <c r="T54" s="34"/>
      <c r="U54" s="34"/>
      <c r="V54" s="34"/>
      <c r="W54" s="34"/>
      <c r="X54" s="34"/>
      <c r="Y54" s="34"/>
      <c r="Z54" s="34"/>
      <c r="AA54" s="34"/>
      <c r="AB54" s="34"/>
    </row>
    <row r="55" spans="1:38" x14ac:dyDescent="0.25">
      <c r="B55" s="34"/>
      <c r="C55" s="34"/>
      <c r="D55" s="34"/>
      <c r="E55" s="34"/>
      <c r="F55" s="34"/>
      <c r="G55" s="34"/>
      <c r="H55" s="36"/>
      <c r="I55" s="34"/>
      <c r="J55" s="34"/>
      <c r="K55" s="34"/>
      <c r="L55" s="34"/>
      <c r="M55" s="34"/>
      <c r="N55" s="34"/>
      <c r="O55" s="34"/>
      <c r="P55" s="34"/>
      <c r="Q55" s="34"/>
      <c r="R55" s="34"/>
      <c r="S55" s="34"/>
      <c r="T55" s="34"/>
      <c r="U55" s="34"/>
      <c r="V55" s="34"/>
      <c r="W55" s="34"/>
      <c r="X55" s="34"/>
      <c r="Y55" s="34"/>
      <c r="Z55" s="34"/>
      <c r="AA55" s="34"/>
      <c r="AB55" s="34"/>
    </row>
    <row r="56" spans="1:38" x14ac:dyDescent="0.25">
      <c r="B56" s="34"/>
      <c r="C56" s="34"/>
      <c r="D56" s="34"/>
      <c r="E56" s="34"/>
      <c r="F56" s="34"/>
      <c r="G56" s="34"/>
      <c r="H56" s="36"/>
      <c r="I56" s="34"/>
      <c r="J56" s="34"/>
      <c r="K56" s="34"/>
      <c r="L56" s="34"/>
      <c r="M56" s="34"/>
      <c r="N56" s="34"/>
      <c r="O56" s="34"/>
      <c r="P56" s="34"/>
      <c r="Q56" s="34"/>
      <c r="R56" s="34"/>
      <c r="S56" s="34"/>
      <c r="T56" s="34"/>
      <c r="U56" s="34"/>
      <c r="V56" s="34"/>
      <c r="W56" s="34"/>
      <c r="X56" s="34"/>
      <c r="Y56" s="34"/>
      <c r="Z56" s="34"/>
      <c r="AA56" s="34"/>
      <c r="AB56" s="34"/>
    </row>
    <row r="57" spans="1:38" x14ac:dyDescent="0.25">
      <c r="B57" s="34"/>
      <c r="C57" s="34"/>
      <c r="D57" s="34"/>
      <c r="E57" s="34"/>
      <c r="F57" s="34"/>
      <c r="G57" s="34"/>
      <c r="H57" s="36"/>
      <c r="I57" s="34"/>
      <c r="J57" s="34"/>
      <c r="K57" s="34"/>
      <c r="L57" s="34"/>
      <c r="M57" s="34"/>
      <c r="N57" s="34"/>
      <c r="O57" s="34"/>
      <c r="P57" s="34"/>
      <c r="Q57" s="34"/>
      <c r="R57" s="34"/>
      <c r="S57" s="34"/>
      <c r="T57" s="34"/>
      <c r="U57" s="34"/>
      <c r="V57" s="34"/>
      <c r="W57" s="34"/>
      <c r="X57" s="34"/>
      <c r="Y57" s="34"/>
      <c r="Z57" s="34"/>
      <c r="AA57" s="34"/>
      <c r="AB57" s="34"/>
    </row>
    <row r="58" spans="1:38" x14ac:dyDescent="0.25">
      <c r="B58" s="34"/>
      <c r="C58" s="34"/>
      <c r="D58" s="34"/>
      <c r="E58" s="34"/>
      <c r="F58" s="34"/>
      <c r="G58" s="34"/>
      <c r="H58" s="36"/>
      <c r="I58" s="34"/>
      <c r="J58" s="34"/>
      <c r="K58" s="34"/>
      <c r="L58" s="34"/>
      <c r="M58" s="34"/>
      <c r="N58" s="34"/>
      <c r="O58" s="34"/>
      <c r="P58" s="34"/>
      <c r="Q58" s="34"/>
      <c r="R58" s="34"/>
      <c r="S58" s="34"/>
      <c r="T58" s="34"/>
      <c r="U58" s="34"/>
      <c r="V58" s="34"/>
      <c r="W58" s="34"/>
      <c r="X58" s="34"/>
      <c r="Y58" s="34"/>
      <c r="Z58" s="34"/>
      <c r="AA58" s="34"/>
      <c r="AB58" s="34"/>
    </row>
    <row r="59" spans="1:38" x14ac:dyDescent="0.25">
      <c r="B59" s="34"/>
      <c r="C59" s="34"/>
      <c r="D59" s="34"/>
      <c r="E59" s="34"/>
      <c r="F59" s="34"/>
      <c r="G59" s="34"/>
      <c r="H59" s="36"/>
      <c r="I59" s="34"/>
      <c r="J59" s="34"/>
      <c r="K59" s="34"/>
      <c r="L59" s="34"/>
      <c r="M59" s="34"/>
      <c r="N59" s="34"/>
      <c r="O59" s="34"/>
      <c r="P59" s="34"/>
      <c r="Q59" s="34"/>
      <c r="R59" s="34"/>
      <c r="S59" s="34"/>
      <c r="T59" s="34"/>
      <c r="U59" s="34"/>
      <c r="V59" s="34"/>
      <c r="W59" s="34"/>
      <c r="X59" s="34"/>
      <c r="Y59" s="34"/>
      <c r="Z59" s="34"/>
      <c r="AA59" s="34"/>
      <c r="AB59" s="34"/>
    </row>
    <row r="60" spans="1:38" x14ac:dyDescent="0.25">
      <c r="B60" s="34"/>
      <c r="C60" s="34"/>
      <c r="D60" s="34"/>
      <c r="E60" s="34"/>
      <c r="F60" s="34"/>
      <c r="G60" s="34"/>
      <c r="H60" s="36"/>
      <c r="I60" s="34"/>
      <c r="J60" s="34"/>
      <c r="K60" s="34"/>
      <c r="L60" s="34"/>
      <c r="M60" s="34"/>
      <c r="N60" s="34"/>
      <c r="O60" s="34"/>
      <c r="P60" s="34"/>
      <c r="Q60" s="34"/>
      <c r="R60" s="34"/>
      <c r="S60" s="34"/>
      <c r="T60" s="34"/>
      <c r="U60" s="34"/>
      <c r="V60" s="34"/>
      <c r="W60" s="34"/>
      <c r="X60" s="34"/>
      <c r="Y60" s="34"/>
      <c r="Z60" s="34"/>
      <c r="AA60" s="34"/>
      <c r="AB60" s="34"/>
    </row>
    <row r="61" spans="1:38" x14ac:dyDescent="0.25">
      <c r="B61" s="34"/>
      <c r="C61" s="34"/>
      <c r="D61" s="34"/>
      <c r="E61" s="34"/>
      <c r="F61" s="34"/>
      <c r="G61" s="34"/>
      <c r="H61" s="36"/>
      <c r="I61" s="34"/>
      <c r="J61" s="34"/>
      <c r="K61" s="34"/>
      <c r="L61" s="34"/>
      <c r="M61" s="34"/>
      <c r="N61" s="34"/>
      <c r="O61" s="34"/>
      <c r="P61" s="34"/>
      <c r="Q61" s="34"/>
      <c r="R61" s="34"/>
      <c r="S61" s="34"/>
      <c r="T61" s="34"/>
      <c r="U61" s="34"/>
      <c r="V61" s="34"/>
      <c r="W61" s="34"/>
      <c r="X61" s="34"/>
      <c r="Y61" s="34"/>
      <c r="Z61" s="34"/>
      <c r="AA61" s="34"/>
      <c r="AB61" s="34"/>
    </row>
    <row r="62" spans="1:38" x14ac:dyDescent="0.25">
      <c r="B62" s="34"/>
      <c r="C62" s="34"/>
      <c r="D62" s="34"/>
      <c r="E62" s="34"/>
      <c r="F62" s="34"/>
      <c r="G62" s="34"/>
      <c r="H62" s="36"/>
      <c r="I62" s="34"/>
      <c r="J62" s="34"/>
      <c r="K62" s="34"/>
      <c r="L62" s="34"/>
      <c r="M62" s="34"/>
      <c r="N62" s="34"/>
      <c r="O62" s="34"/>
      <c r="P62" s="34"/>
      <c r="Q62" s="34"/>
      <c r="R62" s="34"/>
      <c r="S62" s="34"/>
      <c r="T62" s="34"/>
      <c r="U62" s="34"/>
      <c r="V62" s="34"/>
      <c r="W62" s="34"/>
      <c r="X62" s="34"/>
      <c r="Y62" s="34"/>
      <c r="Z62" s="34"/>
      <c r="AA62" s="34"/>
      <c r="AB62" s="34"/>
    </row>
    <row r="63" spans="1:38" x14ac:dyDescent="0.25">
      <c r="B63" s="34"/>
      <c r="C63" s="34"/>
      <c r="D63" s="34"/>
      <c r="E63" s="34"/>
      <c r="F63" s="34"/>
      <c r="G63" s="34"/>
      <c r="H63" s="36"/>
      <c r="I63" s="34"/>
      <c r="J63" s="34"/>
      <c r="K63" s="34"/>
      <c r="L63" s="34"/>
      <c r="M63" s="34"/>
      <c r="N63" s="34"/>
      <c r="O63" s="34"/>
      <c r="P63" s="34"/>
      <c r="Q63" s="34"/>
      <c r="R63" s="34"/>
      <c r="S63" s="34"/>
      <c r="T63" s="34"/>
      <c r="U63" s="34"/>
      <c r="V63" s="34"/>
      <c r="W63" s="34"/>
      <c r="X63" s="34"/>
      <c r="Y63" s="34"/>
      <c r="Z63" s="34"/>
      <c r="AA63" s="34"/>
      <c r="AB63" s="34"/>
    </row>
    <row r="64" spans="1:38" x14ac:dyDescent="0.25">
      <c r="B64" s="34"/>
      <c r="C64" s="34"/>
      <c r="D64" s="34"/>
      <c r="E64" s="34"/>
      <c r="F64" s="34"/>
      <c r="G64" s="34"/>
      <c r="H64" s="36"/>
      <c r="I64" s="34"/>
      <c r="J64" s="34"/>
      <c r="K64" s="34"/>
      <c r="L64" s="34"/>
      <c r="M64" s="34"/>
      <c r="N64" s="34"/>
      <c r="O64" s="34"/>
      <c r="P64" s="34"/>
      <c r="Q64" s="34"/>
      <c r="R64" s="34"/>
      <c r="S64" s="34"/>
      <c r="T64" s="34"/>
      <c r="U64" s="34"/>
      <c r="V64" s="34"/>
      <c r="W64" s="34"/>
      <c r="X64" s="34"/>
      <c r="Y64" s="34"/>
      <c r="Z64" s="34"/>
      <c r="AA64" s="34"/>
      <c r="AB64" s="34"/>
    </row>
    <row r="65" spans="2:28" x14ac:dyDescent="0.25">
      <c r="B65" s="34"/>
      <c r="C65" s="34"/>
      <c r="D65" s="34"/>
      <c r="E65" s="34"/>
      <c r="F65" s="34"/>
      <c r="G65" s="34"/>
      <c r="H65" s="36"/>
      <c r="I65" s="34"/>
      <c r="J65" s="34"/>
      <c r="K65" s="34"/>
      <c r="L65" s="34"/>
      <c r="M65" s="34"/>
      <c r="N65" s="34"/>
      <c r="O65" s="34"/>
      <c r="P65" s="34"/>
      <c r="Q65" s="34"/>
      <c r="R65" s="34"/>
      <c r="S65" s="34"/>
      <c r="T65" s="34"/>
      <c r="U65" s="34"/>
      <c r="V65" s="34"/>
      <c r="W65" s="34"/>
      <c r="X65" s="34"/>
      <c r="Y65" s="34"/>
      <c r="Z65" s="34"/>
      <c r="AA65" s="34"/>
      <c r="AB65" s="34"/>
    </row>
    <row r="66" spans="2:28" x14ac:dyDescent="0.25">
      <c r="B66" s="34"/>
      <c r="C66" s="34"/>
      <c r="D66" s="34"/>
      <c r="E66" s="34"/>
      <c r="F66" s="34"/>
      <c r="G66" s="34"/>
      <c r="H66" s="36"/>
      <c r="I66" s="34"/>
      <c r="J66" s="34"/>
      <c r="K66" s="34"/>
      <c r="L66" s="34"/>
      <c r="M66" s="34"/>
      <c r="N66" s="34"/>
      <c r="O66" s="34"/>
      <c r="P66" s="34"/>
      <c r="Q66" s="34"/>
      <c r="R66" s="34"/>
      <c r="S66" s="34"/>
      <c r="T66" s="34"/>
      <c r="U66" s="34"/>
      <c r="V66" s="34"/>
      <c r="W66" s="34"/>
      <c r="X66" s="34"/>
      <c r="Y66" s="34"/>
      <c r="Z66" s="34"/>
      <c r="AA66" s="34"/>
      <c r="AB66" s="34"/>
    </row>
    <row r="67" spans="2:28" x14ac:dyDescent="0.25">
      <c r="B67" s="34"/>
      <c r="C67" s="34"/>
      <c r="D67" s="34"/>
      <c r="E67" s="34"/>
      <c r="F67" s="34"/>
      <c r="G67" s="34"/>
      <c r="H67" s="36"/>
      <c r="I67" s="34"/>
      <c r="J67" s="34"/>
      <c r="K67" s="34"/>
      <c r="L67" s="34"/>
      <c r="M67" s="34"/>
      <c r="N67" s="34"/>
      <c r="O67" s="34"/>
      <c r="P67" s="34"/>
      <c r="Q67" s="34"/>
      <c r="R67" s="34"/>
      <c r="S67" s="34"/>
      <c r="T67" s="34"/>
      <c r="U67" s="34"/>
      <c r="V67" s="34"/>
      <c r="W67" s="34"/>
      <c r="X67" s="34"/>
      <c r="Y67" s="34"/>
      <c r="Z67" s="34"/>
      <c r="AA67" s="34"/>
      <c r="AB67" s="34"/>
    </row>
    <row r="68" spans="2:28" x14ac:dyDescent="0.25">
      <c r="B68" s="34"/>
      <c r="C68" s="34"/>
      <c r="D68" s="34"/>
      <c r="E68" s="34"/>
      <c r="F68" s="34"/>
      <c r="G68" s="34"/>
      <c r="H68" s="36"/>
      <c r="I68" s="34"/>
      <c r="J68" s="34"/>
      <c r="K68" s="34"/>
      <c r="L68" s="34"/>
      <c r="M68" s="34"/>
      <c r="N68" s="34"/>
      <c r="O68" s="34"/>
      <c r="P68" s="34"/>
      <c r="Q68" s="34"/>
      <c r="R68" s="34"/>
      <c r="S68" s="34"/>
      <c r="T68" s="34"/>
      <c r="U68" s="34"/>
      <c r="V68" s="34"/>
      <c r="W68" s="34"/>
      <c r="X68" s="34"/>
      <c r="Y68" s="34"/>
      <c r="Z68" s="34"/>
      <c r="AA68" s="34"/>
      <c r="AB68" s="34"/>
    </row>
    <row r="69" spans="2:28" x14ac:dyDescent="0.25">
      <c r="B69" s="34"/>
      <c r="C69" s="34"/>
      <c r="D69" s="34"/>
      <c r="E69" s="34"/>
      <c r="F69" s="34"/>
      <c r="G69" s="34"/>
      <c r="H69" s="36"/>
      <c r="I69" s="34"/>
      <c r="J69" s="34"/>
      <c r="K69" s="34"/>
      <c r="L69" s="34"/>
      <c r="M69" s="34"/>
      <c r="N69" s="34"/>
      <c r="O69" s="34"/>
      <c r="P69" s="34"/>
      <c r="Q69" s="34"/>
      <c r="R69" s="34"/>
      <c r="S69" s="34"/>
      <c r="T69" s="34"/>
      <c r="U69" s="34"/>
      <c r="V69" s="34"/>
      <c r="W69" s="34"/>
      <c r="X69" s="34"/>
      <c r="Y69" s="34"/>
      <c r="Z69" s="34"/>
      <c r="AA69" s="34"/>
      <c r="AB69" s="34"/>
    </row>
    <row r="70" spans="2:28" x14ac:dyDescent="0.25">
      <c r="B70" s="34"/>
      <c r="C70" s="34"/>
      <c r="D70" s="34"/>
      <c r="E70" s="34"/>
      <c r="F70" s="34"/>
      <c r="G70" s="34"/>
      <c r="H70" s="36"/>
      <c r="I70" s="34"/>
      <c r="J70" s="34"/>
      <c r="K70" s="34"/>
      <c r="L70" s="34"/>
      <c r="M70" s="34"/>
      <c r="N70" s="34"/>
      <c r="O70" s="34"/>
      <c r="P70" s="34"/>
      <c r="Q70" s="34"/>
      <c r="R70" s="34"/>
      <c r="S70" s="34"/>
      <c r="T70" s="34"/>
      <c r="U70" s="34"/>
      <c r="V70" s="34"/>
      <c r="W70" s="34"/>
      <c r="X70" s="34"/>
      <c r="Y70" s="34"/>
      <c r="Z70" s="34"/>
      <c r="AA70" s="34"/>
      <c r="AB70" s="34"/>
    </row>
    <row r="71" spans="2:28" x14ac:dyDescent="0.25">
      <c r="B71" s="34"/>
      <c r="C71" s="34"/>
      <c r="D71" s="34"/>
      <c r="E71" s="34"/>
      <c r="F71" s="34"/>
      <c r="G71" s="34"/>
      <c r="H71" s="36"/>
      <c r="I71" s="34"/>
      <c r="J71" s="34"/>
      <c r="K71" s="34"/>
      <c r="L71" s="34"/>
      <c r="M71" s="34"/>
      <c r="N71" s="34"/>
      <c r="O71" s="34"/>
      <c r="P71" s="34"/>
      <c r="Q71" s="34"/>
      <c r="R71" s="34"/>
      <c r="S71" s="34"/>
      <c r="T71" s="34"/>
      <c r="U71" s="34"/>
      <c r="V71" s="34"/>
      <c r="W71" s="34"/>
      <c r="X71" s="34"/>
      <c r="Y71" s="34"/>
      <c r="Z71" s="34"/>
      <c r="AA71" s="34"/>
      <c r="AB71" s="34"/>
    </row>
    <row r="72" spans="2:28" x14ac:dyDescent="0.25">
      <c r="B72" s="34"/>
      <c r="C72" s="34"/>
      <c r="D72" s="34"/>
      <c r="E72" s="34"/>
      <c r="F72" s="34"/>
      <c r="G72" s="34"/>
      <c r="H72" s="36"/>
      <c r="I72" s="34"/>
      <c r="J72" s="34"/>
      <c r="K72" s="34"/>
      <c r="L72" s="34"/>
      <c r="M72" s="34"/>
      <c r="N72" s="34"/>
      <c r="O72" s="34"/>
      <c r="P72" s="34"/>
      <c r="Q72" s="34"/>
      <c r="R72" s="34"/>
      <c r="S72" s="34"/>
      <c r="T72" s="34"/>
      <c r="U72" s="34"/>
      <c r="V72" s="34"/>
      <c r="W72" s="34"/>
      <c r="X72" s="34"/>
      <c r="Y72" s="34"/>
      <c r="Z72" s="34"/>
      <c r="AA72" s="34"/>
      <c r="AB72" s="34"/>
    </row>
    <row r="73" spans="2:28" x14ac:dyDescent="0.25">
      <c r="B73" s="34"/>
      <c r="C73" s="34"/>
      <c r="D73" s="34"/>
      <c r="E73" s="34"/>
      <c r="F73" s="34"/>
      <c r="G73" s="34"/>
      <c r="H73" s="36"/>
      <c r="I73" s="34"/>
      <c r="J73" s="34"/>
      <c r="K73" s="34"/>
      <c r="L73" s="34"/>
      <c r="M73" s="34"/>
      <c r="N73" s="34"/>
      <c r="O73" s="34"/>
      <c r="P73" s="34"/>
      <c r="Q73" s="34"/>
      <c r="R73" s="34"/>
      <c r="S73" s="34"/>
      <c r="T73" s="34"/>
      <c r="U73" s="34"/>
      <c r="V73" s="34"/>
      <c r="W73" s="34"/>
      <c r="X73" s="34"/>
      <c r="Y73" s="34"/>
      <c r="Z73" s="34"/>
      <c r="AA73" s="34"/>
      <c r="AB73" s="34"/>
    </row>
    <row r="74" spans="2:28" x14ac:dyDescent="0.25">
      <c r="B74" s="34"/>
      <c r="C74" s="34"/>
      <c r="D74" s="34"/>
      <c r="E74" s="34"/>
      <c r="F74" s="34"/>
      <c r="G74" s="34"/>
      <c r="H74" s="36"/>
      <c r="I74" s="34"/>
      <c r="J74" s="34"/>
      <c r="K74" s="34"/>
      <c r="L74" s="34"/>
      <c r="M74" s="34"/>
      <c r="N74" s="34"/>
      <c r="O74" s="34"/>
      <c r="P74" s="34"/>
      <c r="Q74" s="34"/>
      <c r="R74" s="34"/>
      <c r="S74" s="34"/>
      <c r="T74" s="34"/>
      <c r="U74" s="34"/>
      <c r="V74" s="34"/>
      <c r="W74" s="34"/>
      <c r="X74" s="34"/>
      <c r="Y74" s="34"/>
      <c r="Z74" s="34"/>
      <c r="AA74" s="34"/>
      <c r="AB74" s="34"/>
    </row>
    <row r="75" spans="2:28" x14ac:dyDescent="0.25">
      <c r="B75" s="34"/>
      <c r="C75" s="34"/>
      <c r="D75" s="34"/>
      <c r="E75" s="34"/>
      <c r="F75" s="34"/>
      <c r="G75" s="34"/>
      <c r="H75" s="36"/>
      <c r="I75" s="34"/>
      <c r="J75" s="34"/>
      <c r="K75" s="34"/>
      <c r="L75" s="34"/>
      <c r="M75" s="34"/>
      <c r="N75" s="34"/>
      <c r="O75" s="34"/>
      <c r="P75" s="34"/>
      <c r="Q75" s="34"/>
      <c r="R75" s="34"/>
      <c r="S75" s="34"/>
      <c r="T75" s="34"/>
      <c r="U75" s="34"/>
      <c r="V75" s="34"/>
      <c r="W75" s="34"/>
      <c r="X75" s="34"/>
      <c r="Y75" s="34"/>
      <c r="Z75" s="34"/>
      <c r="AA75" s="34"/>
      <c r="AB75" s="34"/>
    </row>
    <row r="76" spans="2:28" x14ac:dyDescent="0.25">
      <c r="B76" s="34"/>
      <c r="C76" s="34"/>
      <c r="D76" s="34"/>
      <c r="E76" s="34"/>
      <c r="F76" s="34"/>
      <c r="G76" s="34"/>
      <c r="H76" s="36"/>
      <c r="I76" s="34"/>
      <c r="J76" s="34"/>
      <c r="K76" s="34"/>
      <c r="L76" s="34"/>
      <c r="M76" s="34"/>
      <c r="N76" s="34"/>
      <c r="O76" s="34"/>
      <c r="P76" s="34"/>
      <c r="Q76" s="34"/>
      <c r="R76" s="34"/>
      <c r="S76" s="34"/>
      <c r="T76" s="34"/>
      <c r="U76" s="34"/>
      <c r="V76" s="34"/>
      <c r="W76" s="34"/>
      <c r="X76" s="34"/>
      <c r="Y76" s="34"/>
      <c r="Z76" s="34"/>
      <c r="AA76" s="34"/>
      <c r="AB76" s="34"/>
    </row>
    <row r="77" spans="2:28" x14ac:dyDescent="0.25">
      <c r="B77" s="34"/>
      <c r="C77" s="34"/>
      <c r="D77" s="34"/>
      <c r="E77" s="34"/>
      <c r="F77" s="34"/>
      <c r="G77" s="34"/>
      <c r="H77" s="36"/>
      <c r="I77" s="34"/>
      <c r="J77" s="34"/>
      <c r="K77" s="34"/>
      <c r="L77" s="34"/>
      <c r="M77" s="34"/>
      <c r="N77" s="34"/>
      <c r="O77" s="34"/>
      <c r="P77" s="34"/>
      <c r="Q77" s="34"/>
      <c r="R77" s="34"/>
      <c r="S77" s="34"/>
      <c r="T77" s="34"/>
      <c r="U77" s="34"/>
      <c r="V77" s="34"/>
      <c r="W77" s="34"/>
      <c r="X77" s="34"/>
      <c r="Y77" s="34"/>
      <c r="Z77" s="34"/>
      <c r="AA77" s="34"/>
      <c r="AB77" s="34"/>
    </row>
    <row r="78" spans="2:28" x14ac:dyDescent="0.25">
      <c r="B78" s="34"/>
      <c r="C78" s="34"/>
      <c r="D78" s="34"/>
      <c r="E78" s="34"/>
      <c r="F78" s="34"/>
      <c r="G78" s="34"/>
      <c r="H78" s="36"/>
      <c r="I78" s="34"/>
      <c r="J78" s="34"/>
      <c r="K78" s="34"/>
      <c r="L78" s="34"/>
      <c r="M78" s="34"/>
      <c r="N78" s="34"/>
      <c r="O78" s="34"/>
      <c r="P78" s="34"/>
      <c r="Q78" s="34"/>
      <c r="R78" s="34"/>
      <c r="S78" s="34"/>
      <c r="T78" s="34"/>
      <c r="U78" s="34"/>
      <c r="V78" s="34"/>
      <c r="W78" s="34"/>
      <c r="X78" s="34"/>
      <c r="Y78" s="34"/>
      <c r="Z78" s="34"/>
      <c r="AA78" s="34"/>
      <c r="AB78" s="34"/>
    </row>
    <row r="79" spans="2:28" x14ac:dyDescent="0.25">
      <c r="B79" s="34"/>
      <c r="C79" s="34"/>
      <c r="D79" s="34"/>
      <c r="E79" s="34"/>
      <c r="F79" s="34"/>
      <c r="G79" s="34"/>
      <c r="H79" s="36"/>
      <c r="I79" s="34"/>
      <c r="J79" s="34"/>
      <c r="K79" s="34"/>
      <c r="L79" s="34"/>
      <c r="M79" s="34"/>
      <c r="N79" s="34"/>
      <c r="O79" s="34"/>
      <c r="P79" s="34"/>
      <c r="Q79" s="34"/>
      <c r="R79" s="34"/>
      <c r="S79" s="34"/>
      <c r="T79" s="34"/>
      <c r="U79" s="34"/>
      <c r="V79" s="34"/>
      <c r="W79" s="34"/>
      <c r="X79" s="34"/>
      <c r="Y79" s="34"/>
      <c r="Z79" s="34"/>
      <c r="AA79" s="34"/>
      <c r="AB79" s="34"/>
    </row>
    <row r="80" spans="2:28" x14ac:dyDescent="0.25">
      <c r="B80" s="34"/>
      <c r="C80" s="34"/>
      <c r="D80" s="34"/>
      <c r="E80" s="34"/>
      <c r="F80" s="34"/>
      <c r="G80" s="34"/>
      <c r="H80" s="36"/>
      <c r="I80" s="34"/>
      <c r="J80" s="34"/>
      <c r="K80" s="34"/>
      <c r="L80" s="34"/>
      <c r="M80" s="34"/>
      <c r="N80" s="34"/>
      <c r="O80" s="34"/>
      <c r="P80" s="34"/>
      <c r="Q80" s="34"/>
      <c r="R80" s="34"/>
      <c r="S80" s="34"/>
      <c r="T80" s="34"/>
      <c r="U80" s="34"/>
      <c r="V80" s="34"/>
      <c r="W80" s="34"/>
      <c r="X80" s="34"/>
      <c r="Y80" s="34"/>
      <c r="Z80" s="34"/>
      <c r="AA80" s="34"/>
      <c r="AB80" s="34"/>
    </row>
    <row r="81" spans="2:28" x14ac:dyDescent="0.25">
      <c r="B81" s="34"/>
      <c r="C81" s="34"/>
      <c r="D81" s="34"/>
      <c r="E81" s="34"/>
      <c r="F81" s="34"/>
      <c r="G81" s="34"/>
      <c r="H81" s="36"/>
      <c r="I81" s="34"/>
      <c r="J81" s="34"/>
      <c r="K81" s="34"/>
      <c r="L81" s="34"/>
      <c r="M81" s="34"/>
      <c r="N81" s="34"/>
      <c r="O81" s="34"/>
      <c r="P81" s="34"/>
      <c r="Q81" s="34"/>
      <c r="R81" s="34"/>
      <c r="S81" s="34"/>
      <c r="T81" s="34"/>
      <c r="U81" s="34"/>
      <c r="V81" s="34"/>
      <c r="W81" s="34"/>
      <c r="X81" s="34"/>
      <c r="Y81" s="34"/>
      <c r="Z81" s="34"/>
      <c r="AA81" s="34"/>
      <c r="AB81" s="34"/>
    </row>
    <row r="82" spans="2:28" x14ac:dyDescent="0.25">
      <c r="B82" s="34"/>
      <c r="C82" s="34"/>
      <c r="D82" s="34"/>
      <c r="E82" s="34"/>
      <c r="F82" s="34"/>
      <c r="G82" s="34"/>
      <c r="H82" s="36"/>
      <c r="I82" s="34"/>
      <c r="J82" s="34"/>
      <c r="K82" s="34"/>
      <c r="L82" s="34"/>
      <c r="M82" s="34"/>
      <c r="N82" s="34"/>
      <c r="O82" s="34"/>
      <c r="P82" s="34"/>
      <c r="Q82" s="34"/>
      <c r="R82" s="34"/>
      <c r="S82" s="34"/>
      <c r="T82" s="34"/>
      <c r="U82" s="34"/>
      <c r="V82" s="34"/>
      <c r="W82" s="34"/>
      <c r="X82" s="34"/>
      <c r="Y82" s="34"/>
      <c r="Z82" s="34"/>
      <c r="AA82" s="34"/>
      <c r="AB82" s="34"/>
    </row>
    <row r="83" spans="2:28" x14ac:dyDescent="0.25">
      <c r="B83" s="34"/>
      <c r="C83" s="34"/>
      <c r="D83" s="34"/>
      <c r="E83" s="34"/>
      <c r="F83" s="34"/>
      <c r="G83" s="34"/>
      <c r="H83" s="36"/>
      <c r="I83" s="34"/>
      <c r="J83" s="34"/>
      <c r="K83" s="34"/>
      <c r="L83" s="34"/>
      <c r="M83" s="34"/>
      <c r="N83" s="34"/>
      <c r="O83" s="34"/>
      <c r="P83" s="34"/>
      <c r="Q83" s="34"/>
      <c r="R83" s="34"/>
      <c r="S83" s="34"/>
      <c r="T83" s="34"/>
      <c r="U83" s="34"/>
      <c r="V83" s="34"/>
      <c r="W83" s="34"/>
      <c r="X83" s="34"/>
      <c r="Y83" s="34"/>
      <c r="Z83" s="34"/>
      <c r="AA83" s="34"/>
      <c r="AB83" s="34"/>
    </row>
    <row r="84" spans="2:28" x14ac:dyDescent="0.25">
      <c r="B84" s="34"/>
      <c r="C84" s="34"/>
      <c r="D84" s="34"/>
      <c r="E84" s="34"/>
      <c r="F84" s="34"/>
      <c r="G84" s="34"/>
      <c r="H84" s="36"/>
      <c r="I84" s="34"/>
      <c r="J84" s="34"/>
      <c r="K84" s="34"/>
      <c r="L84" s="34"/>
      <c r="M84" s="34"/>
      <c r="N84" s="34"/>
      <c r="O84" s="34"/>
      <c r="P84" s="34"/>
      <c r="Q84" s="34"/>
      <c r="R84" s="34"/>
      <c r="S84" s="34"/>
      <c r="T84" s="34"/>
      <c r="U84" s="34"/>
      <c r="V84" s="34"/>
      <c r="W84" s="34"/>
      <c r="X84" s="34"/>
      <c r="Y84" s="34"/>
      <c r="Z84" s="34"/>
      <c r="AA84" s="34"/>
      <c r="AB84" s="34"/>
    </row>
    <row r="85" spans="2:28" x14ac:dyDescent="0.25">
      <c r="B85" s="34"/>
      <c r="C85" s="34"/>
      <c r="D85" s="34"/>
      <c r="E85" s="34"/>
      <c r="F85" s="34"/>
      <c r="G85" s="34"/>
      <c r="H85" s="36"/>
      <c r="I85" s="34"/>
      <c r="J85" s="34"/>
      <c r="K85" s="34"/>
      <c r="L85" s="34"/>
      <c r="M85" s="34"/>
      <c r="N85" s="34"/>
      <c r="O85" s="34"/>
      <c r="P85" s="34"/>
      <c r="Q85" s="34"/>
      <c r="R85" s="34"/>
      <c r="S85" s="34"/>
      <c r="T85" s="34"/>
      <c r="U85" s="34"/>
      <c r="V85" s="34"/>
      <c r="W85" s="34"/>
      <c r="X85" s="34"/>
      <c r="Y85" s="34"/>
      <c r="Z85" s="34"/>
      <c r="AA85" s="34"/>
      <c r="AB85" s="34"/>
    </row>
    <row r="86" spans="2:28" x14ac:dyDescent="0.25">
      <c r="B86" s="34"/>
      <c r="C86" s="34"/>
      <c r="D86" s="34"/>
      <c r="E86" s="34"/>
      <c r="F86" s="34"/>
      <c r="G86" s="34"/>
      <c r="H86" s="36"/>
      <c r="I86" s="34"/>
      <c r="J86" s="34"/>
      <c r="K86" s="34"/>
      <c r="L86" s="34"/>
      <c r="M86" s="34"/>
      <c r="N86" s="34"/>
      <c r="O86" s="34"/>
      <c r="P86" s="34"/>
      <c r="Q86" s="34"/>
      <c r="R86" s="34"/>
      <c r="S86" s="34"/>
      <c r="T86" s="34"/>
      <c r="U86" s="34"/>
      <c r="V86" s="34"/>
      <c r="W86" s="34"/>
      <c r="X86" s="34"/>
      <c r="Y86" s="34"/>
      <c r="Z86" s="34"/>
      <c r="AA86" s="34"/>
      <c r="AB86" s="34"/>
    </row>
  </sheetData>
  <mergeCells count="2">
    <mergeCell ref="A3:I3"/>
    <mergeCell ref="A5:G5"/>
  </mergeCells>
  <pageMargins left="0.7" right="0.7" top="0.75" bottom="0.75" header="0.3" footer="0.3"/>
  <customProperties>
    <customPr name="HasEnPITables" r:id="rId1"/>
    <customPr name="SheetGUID" r:id="rId2"/>
  </customProperties>
  <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0175B-DF9F-4621-9811-DE9F2E8F219C}">
  <sheetPr>
    <tabColor rgb="FF008000"/>
  </sheetPr>
  <dimension ref="A1:N33"/>
  <sheetViews>
    <sheetView workbookViewId="0">
      <selection activeCell="E11" sqref="E11:F11"/>
    </sheetView>
  </sheetViews>
  <sheetFormatPr defaultRowHeight="15" x14ac:dyDescent="0.25"/>
  <cols>
    <col min="1" max="1" width="55.42578125" bestFit="1" customWidth="1"/>
    <col min="2" max="2" width="11.28515625" bestFit="1" customWidth="1"/>
    <col min="3" max="4" width="9.5703125" bestFit="1" customWidth="1"/>
  </cols>
  <sheetData>
    <row r="1" spans="1:8" ht="19.5" x14ac:dyDescent="0.3">
      <c r="A1" s="62" t="s">
        <v>74</v>
      </c>
      <c r="B1" s="62"/>
      <c r="C1" s="62"/>
      <c r="D1" s="62"/>
      <c r="E1" s="62"/>
      <c r="F1" s="62"/>
      <c r="G1" s="62"/>
      <c r="H1" s="62"/>
    </row>
    <row r="2" spans="1:8" ht="60" customHeight="1" x14ac:dyDescent="0.25">
      <c r="A2" s="63" t="s">
        <v>75</v>
      </c>
      <c r="B2" s="63"/>
      <c r="C2" s="63"/>
      <c r="D2" s="63"/>
      <c r="E2" s="63"/>
      <c r="F2" s="63"/>
      <c r="G2" s="63"/>
      <c r="H2" s="63"/>
    </row>
    <row r="4" spans="1:8" x14ac:dyDescent="0.25">
      <c r="A4" s="42" t="s">
        <v>79</v>
      </c>
      <c r="B4" s="42" t="s">
        <v>76</v>
      </c>
      <c r="C4" s="42" t="s">
        <v>77</v>
      </c>
      <c r="D4" s="42" t="s">
        <v>78</v>
      </c>
    </row>
    <row r="5" spans="1:8" x14ac:dyDescent="0.25">
      <c r="A5" s="64" t="s">
        <v>80</v>
      </c>
      <c r="B5" s="65">
        <f>SUMIF(DetailTable4[Period],AnnualTable6[#Headers],DetailTable4[Electricity (MMBTU)])</f>
        <v>1634357.9706402963</v>
      </c>
      <c r="C5" s="65">
        <f>SUMIF(DetailTable4[Period],AnnualTable6[#Headers],DetailTable4[Electricity (MMBTU)])</f>
        <v>1265861.3034387541</v>
      </c>
      <c r="D5" s="65">
        <f>SUMIF(DetailTable4[Period],AnnualTable6[#Headers],DetailTable4[Electricity (MMBTU)])</f>
        <v>1050127.5097183201</v>
      </c>
    </row>
    <row r="6" spans="1:8" x14ac:dyDescent="0.25">
      <c r="A6" s="64" t="s">
        <v>81</v>
      </c>
      <c r="B6" s="65">
        <f>SUMIF(DetailTable4[Period],AnnualTable6[#Headers],DetailTable4[Natural gas (MMBTU)])</f>
        <v>960346.2</v>
      </c>
      <c r="C6" s="65">
        <f>SUMIF(DetailTable4[Period],AnnualTable6[#Headers],DetailTable4[Natural gas (MMBTU)])</f>
        <v>758810.6</v>
      </c>
      <c r="D6" s="65">
        <f>SUMIF(DetailTable4[Period],AnnualTable6[#Headers],DetailTable4[Natural gas (MMBTU)])</f>
        <v>643298.80000000005</v>
      </c>
    </row>
    <row r="7" spans="1:8" x14ac:dyDescent="0.25">
      <c r="A7" s="64" t="s">
        <v>39</v>
      </c>
      <c r="B7" s="65">
        <f>SUMIF(DetailTable4[Period],AnnualTable6[#Headers],DetailTable4[TOTAL  (MMBTU)])</f>
        <v>2594704.1706402958</v>
      </c>
      <c r="C7" s="65">
        <f>SUMIF(DetailTable4[Period],AnnualTable6[#Headers],DetailTable4[TOTAL  (MMBTU)])</f>
        <v>2024671.9034387544</v>
      </c>
      <c r="D7" s="65">
        <f>SUMIF(DetailTable4[Period],AnnualTable6[#Headers],DetailTable4[TOTAL  (MMBTU)])</f>
        <v>1693426.3097183199</v>
      </c>
    </row>
    <row r="8" spans="1:8" x14ac:dyDescent="0.25">
      <c r="A8" s="66" t="s">
        <v>79</v>
      </c>
      <c r="B8" s="67" t="s">
        <v>79</v>
      </c>
      <c r="C8" s="67" t="s">
        <v>79</v>
      </c>
      <c r="D8" s="67" t="s">
        <v>79</v>
      </c>
    </row>
    <row r="9" spans="1:8" x14ac:dyDescent="0.25">
      <c r="A9" s="64" t="s">
        <v>43</v>
      </c>
      <c r="B9" s="69" t="s">
        <v>41</v>
      </c>
      <c r="C9" s="69" t="s">
        <v>82</v>
      </c>
      <c r="D9" s="69" t="s">
        <v>82</v>
      </c>
    </row>
    <row r="10" spans="1:8" x14ac:dyDescent="0.25">
      <c r="A10" s="64" t="s">
        <v>44</v>
      </c>
      <c r="B10" s="68">
        <f>SUMIF(DetailTable4[Period],AnnualTable6[#Headers],DetailTable4[Modeled Electricity (MMBTU)])</f>
        <v>1634357.9517394546</v>
      </c>
      <c r="C10" s="68">
        <f>SUMIF(DetailTable4[Period],AnnualTable6[#Headers],DetailTable4[Modeled Electricity (MMBTU)])</f>
        <v>1304164.0065470017</v>
      </c>
      <c r="D10" s="68">
        <f>SUMIF(DetailTable4[Period],AnnualTable6[#Headers],DetailTable4[Modeled Electricity (MMBTU)])</f>
        <v>1153191.3190062193</v>
      </c>
    </row>
    <row r="11" spans="1:8" x14ac:dyDescent="0.25">
      <c r="A11" s="64" t="s">
        <v>83</v>
      </c>
      <c r="B11" s="68">
        <f>INDEX(AnnualTable6[], MATCH("Modeled Electricity (MMBTU)",AnnualTable6[[ ]],0),) - INDEX(AnnualTable6[], MATCH("Actual Electricity (MMBTU)",AnnualTable6[[ ]],0),)</f>
        <v>-1.8900841707363725E-2</v>
      </c>
      <c r="C11" s="68">
        <f>INDEX(AnnualTable6[], MATCH("Modeled Electricity (MMBTU)",AnnualTable6[[ ]],0),) - INDEX(AnnualTable6[], MATCH("Actual Electricity (MMBTU)",AnnualTable6[[ ]],0),)</f>
        <v>38302.703108247602</v>
      </c>
      <c r="D11" s="68">
        <f>INDEX(AnnualTable6[], MATCH("Modeled Electricity (MMBTU)",AnnualTable6[[ ]],0),) - INDEX(AnnualTable6[], MATCH("Actual Electricity (MMBTU)",AnnualTable6[[ ]],0),)</f>
        <v>103063.80928789917</v>
      </c>
    </row>
    <row r="12" spans="1:8" x14ac:dyDescent="0.25">
      <c r="A12" s="64" t="s">
        <v>45</v>
      </c>
      <c r="B12" s="68">
        <f>SUMIF(DetailTable4[Period],AnnualTable6[#Headers],DetailTable4[Modeled Natural gas (MMBTU)])</f>
        <v>960346.22711887234</v>
      </c>
      <c r="C12" s="68">
        <f>SUMIF(DetailTable4[Period],AnnualTable6[#Headers],DetailTable4[Modeled Natural gas (MMBTU)])</f>
        <v>797194.02992500598</v>
      </c>
      <c r="D12" s="68">
        <f>SUMIF(DetailTable4[Period],AnnualTable6[#Headers],DetailTable4[Modeled Natural gas (MMBTU)])</f>
        <v>714012.5261813103</v>
      </c>
    </row>
    <row r="13" spans="1:8" x14ac:dyDescent="0.25">
      <c r="A13" s="64" t="s">
        <v>84</v>
      </c>
      <c r="B13" s="68">
        <f>INDEX(AnnualTable6[], MATCH("Modeled Natural gas (MMBTU)",AnnualTable6[[ ]],0),) - INDEX(AnnualTable6[], MATCH("Actual Natural gas (MMBTU)",AnnualTable6[[ ]],0),)</f>
        <v>2.7118872385472059E-2</v>
      </c>
      <c r="C13" s="68">
        <f>INDEX(AnnualTable6[], MATCH("Modeled Natural gas (MMBTU)",AnnualTable6[[ ]],0),) - INDEX(AnnualTable6[], MATCH("Actual Natural gas (MMBTU)",AnnualTable6[[ ]],0),)</f>
        <v>38383.429925005999</v>
      </c>
      <c r="D13" s="68">
        <f>INDEX(AnnualTable6[], MATCH("Modeled Natural gas (MMBTU)",AnnualTable6[[ ]],0),) - INDEX(AnnualTable6[], MATCH("Actual Natural gas (MMBTU)",AnnualTable6[[ ]],0),)</f>
        <v>70713.726181310252</v>
      </c>
    </row>
    <row r="14" spans="1:8" x14ac:dyDescent="0.25">
      <c r="A14" s="64" t="s">
        <v>46</v>
      </c>
      <c r="B14" s="68">
        <f>SUMIF(DetailTable4[Period],AnnualTable6[#Headers],DetailTable4[Total Modeled Energy Consumption (MMBTU)])</f>
        <v>2594704.1788583272</v>
      </c>
      <c r="C14" s="68">
        <f>SUMIF(DetailTable4[Period],AnnualTable6[#Headers],DetailTable4[Total Modeled Energy Consumption (MMBTU)])</f>
        <v>2101358.0364720072</v>
      </c>
      <c r="D14" s="68">
        <f>SUMIF(DetailTable4[Period],AnnualTable6[#Headers],DetailTable4[Total Modeled Energy Consumption (MMBTU)])</f>
        <v>1867203.8451875297</v>
      </c>
    </row>
    <row r="15" spans="1:8" hidden="1" x14ac:dyDescent="0.25">
      <c r="A15" s="70" t="s">
        <v>85</v>
      </c>
      <c r="B15" s="71">
        <f xml:space="preserve"> 1</f>
        <v>1</v>
      </c>
      <c r="C15" s="71">
        <f>IFERROR((INDEX(AnnualTable6[],MATCH("TOTAL  (MMBTU)",AnnualTable6[[ ]],0),)/1)*(1/INDEX(AnnualTable6[],MATCH("Total Modeled Energy Consumption (MMBTU)",AnnualTable6[[ ]],0),)),1)</f>
        <v>0.96350639362628465</v>
      </c>
      <c r="D15" s="71">
        <f>IFERROR((INDEX(AnnualTable6[],MATCH("TOTAL  (MMBTU)",AnnualTable6[[ ]],0),)/1)*(1/INDEX(AnnualTable6[],MATCH("Total Modeled Energy Consumption (MMBTU)",AnnualTable6[[ ]],0),)),1)</f>
        <v>0.90693167437658284</v>
      </c>
    </row>
    <row r="16" spans="1:8" x14ac:dyDescent="0.25">
      <c r="A16" s="72" t="s">
        <v>86</v>
      </c>
      <c r="B16" s="73">
        <v>0</v>
      </c>
      <c r="C16" s="73">
        <f t="shared" ref="A16:D16" ca="1" si="0">(1 - OFFSET(INDIRECT(ADDRESS(ROW(), COLUMN())),-1,0,1,1))</f>
        <v>3.6493606373715348E-2</v>
      </c>
      <c r="D16" s="73">
        <f t="shared" ca="1" si="0"/>
        <v>9.3068325623417159E-2</v>
      </c>
    </row>
    <row r="17" spans="1:14" x14ac:dyDescent="0.25">
      <c r="A17" s="72" t="s">
        <v>87</v>
      </c>
      <c r="B17" s="73">
        <v>0</v>
      </c>
      <c r="C17" s="73">
        <f t="shared" ref="A17:D17" ca="1" si="1">OFFSET(INDIRECT(ADDRESS(ROW(), COLUMN())),-1,0,1,1) - OFFSET(INDIRECT(ADDRESS(ROW(), COLUMN())),-1,-1,1,1)</f>
        <v>3.6493606373715348E-2</v>
      </c>
      <c r="D17" s="73">
        <f t="shared" ca="1" si="1"/>
        <v>5.657471924970181E-2</v>
      </c>
    </row>
    <row r="18" spans="1:14" x14ac:dyDescent="0.25">
      <c r="A18" s="64" t="s">
        <v>88</v>
      </c>
      <c r="B18" s="68">
        <v>0</v>
      </c>
      <c r="C18" s="68">
        <f>INDEX(AnnualTable6[],MATCH("Total Modeled Energy Consumption (MMBTU)",AnnualTable6[[ ]],0),)-INDEX(AnnualTable6[],MATCH("TOTAL  (MMBTU)",AnnualTable6[[ ]],0),)</f>
        <v>76686.133033252787</v>
      </c>
      <c r="D18" s="68">
        <f>INDEX(AnnualTable6[],MATCH("Total Modeled Energy Consumption (MMBTU)",AnnualTable6[[ ]],0),)-INDEX(AnnualTable6[],MATCH("TOTAL  (MMBTU)",AnnualTable6[[ ]],0),)</f>
        <v>173777.53546920978</v>
      </c>
    </row>
    <row r="19" spans="1:14" x14ac:dyDescent="0.25">
      <c r="A19" s="64" t="s">
        <v>89</v>
      </c>
      <c r="B19" s="68">
        <v>0</v>
      </c>
      <c r="C19" s="68">
        <f t="shared" ref="A19:D19" ca="1" si="2">OFFSET(INDIRECT(ADDRESS(ROW(), COLUMN())),0,-1,1,1) + OFFSET(INDIRECT(ADDRESS(ROW(), COLUMN())),-1,0,1,1)</f>
        <v>76686.133033252787</v>
      </c>
      <c r="D19" s="68">
        <f t="shared" ca="1" si="2"/>
        <v>250463.66850246256</v>
      </c>
    </row>
    <row r="20" spans="1:14" x14ac:dyDescent="0.25">
      <c r="A20" s="64" t="s">
        <v>90</v>
      </c>
      <c r="B20" s="68">
        <v>0</v>
      </c>
      <c r="C20" s="68">
        <f t="shared" ref="A20:D20" ca="1" si="3">OFFSET(INDIRECT(ADDRESS(ROW(), COLUMN())),-2,0,1,1) - OFFSET(INDIRECT(ADDRESS(ROW(), COLUMN())),-2,-1,1,1)</f>
        <v>76686.133033252787</v>
      </c>
      <c r="D20" s="68">
        <f t="shared" ca="1" si="3"/>
        <v>97091.402435956988</v>
      </c>
    </row>
    <row r="21" spans="1:14" x14ac:dyDescent="0.25">
      <c r="A21" s="64" t="s">
        <v>91</v>
      </c>
      <c r="B21" s="68">
        <v>0</v>
      </c>
      <c r="C21" s="68">
        <f ca="1">(INDEX(AnnualTable6[],MATCH("TOTAL  (MMBTU)",AnnualTable6[[ ]],0),) + OFFSET(INDIRECT(ADDRESS(ROW(),COLUMN())),-3,0,1,1)) - (INDEX(AnnualTable6[],MATCH("TOTAL  (MMBTU)",AnnualTable6[[ ]],0),2))</f>
        <v>-493346.13416828867</v>
      </c>
      <c r="D21" s="68">
        <f ca="1">(INDEX(AnnualTable6[],MATCH("TOTAL  (MMBTU)",AnnualTable6[[ ]],0),) + OFFSET(INDIRECT(ADDRESS(ROW(),COLUMN())),-3,0,1,1)) - (INDEX(AnnualTable6[],MATCH("TOTAL  (MMBTU)",AnnualTable6[[ ]],0),2))</f>
        <v>-727500.32545276615</v>
      </c>
    </row>
    <row r="23" spans="1:14" ht="268.35000000000002" customHeight="1" x14ac:dyDescent="0.25"/>
    <row r="25" spans="1:14" hidden="1" x14ac:dyDescent="0.25">
      <c r="A25" s="75" t="s">
        <v>92</v>
      </c>
      <c r="B25" s="4"/>
      <c r="C25" s="4"/>
      <c r="D25" s="4"/>
      <c r="E25" s="4"/>
      <c r="F25" s="4"/>
      <c r="G25" s="4"/>
      <c r="H25" s="4"/>
      <c r="I25" s="4"/>
      <c r="J25" s="4"/>
      <c r="K25" s="4"/>
      <c r="L25" s="4"/>
    </row>
    <row r="27" spans="1:14" x14ac:dyDescent="0.25">
      <c r="A27" t="s">
        <v>93</v>
      </c>
      <c r="B27" t="s">
        <v>12</v>
      </c>
      <c r="C27" t="s">
        <v>13</v>
      </c>
      <c r="D27" t="s">
        <v>17</v>
      </c>
      <c r="E27" t="s">
        <v>18</v>
      </c>
      <c r="F27" t="s">
        <v>19</v>
      </c>
      <c r="G27" t="s">
        <v>20</v>
      </c>
      <c r="H27" t="s">
        <v>24</v>
      </c>
    </row>
    <row r="29" spans="1:14" x14ac:dyDescent="0.25">
      <c r="A29" s="76" t="s">
        <v>94</v>
      </c>
      <c r="B29" s="76" t="b">
        <v>1</v>
      </c>
      <c r="C29" s="76" t="s">
        <v>5</v>
      </c>
      <c r="D29" s="76">
        <v>2.33666697227881E-4</v>
      </c>
      <c r="E29" s="76">
        <v>0.75699547686676505</v>
      </c>
      <c r="F29" s="76">
        <v>0.73269502455344104</v>
      </c>
      <c r="G29" s="76">
        <v>2.3366669722788201E-4</v>
      </c>
      <c r="H29" s="76" t="s">
        <v>25</v>
      </c>
      <c r="I29" s="76"/>
      <c r="J29" s="76"/>
      <c r="K29" s="76"/>
      <c r="L29" s="76"/>
      <c r="M29" s="76"/>
      <c r="N29" s="76"/>
    </row>
    <row r="30" spans="1:14" x14ac:dyDescent="0.25">
      <c r="A30" s="76"/>
      <c r="B30" s="76"/>
      <c r="C30" s="76"/>
      <c r="D30" s="76"/>
      <c r="E30" s="76"/>
      <c r="F30" s="76"/>
      <c r="G30" s="76"/>
      <c r="H30" s="76"/>
      <c r="I30" s="76"/>
      <c r="J30" s="76"/>
      <c r="K30" s="76"/>
      <c r="L30" s="76"/>
      <c r="M30" s="76"/>
      <c r="N30" s="76"/>
    </row>
    <row r="31" spans="1:14" x14ac:dyDescent="0.25">
      <c r="A31" s="76" t="s">
        <v>95</v>
      </c>
      <c r="B31" s="76" t="b">
        <v>1</v>
      </c>
      <c r="C31" s="76" t="s">
        <v>5</v>
      </c>
      <c r="D31" s="77">
        <v>4.1327635892594297E-6</v>
      </c>
      <c r="E31" s="76">
        <v>0.91487172597815203</v>
      </c>
      <c r="F31" s="76">
        <v>0.89595433175107497</v>
      </c>
      <c r="G31" s="77">
        <v>1.5322591613455399E-5</v>
      </c>
      <c r="H31" s="76" t="s">
        <v>35</v>
      </c>
      <c r="I31" s="76"/>
      <c r="J31" s="76"/>
      <c r="K31" s="76"/>
      <c r="L31" s="76"/>
      <c r="M31" s="76"/>
      <c r="N31" s="76"/>
    </row>
    <row r="32" spans="1:14" x14ac:dyDescent="0.25">
      <c r="A32" s="76"/>
      <c r="B32" s="76"/>
      <c r="C32" s="76" t="s">
        <v>6</v>
      </c>
      <c r="D32" s="76">
        <v>1.30106320332476E-2</v>
      </c>
      <c r="E32" s="76"/>
      <c r="F32" s="76"/>
      <c r="G32" s="76"/>
      <c r="H32" s="76"/>
      <c r="I32" s="76"/>
      <c r="J32" s="76"/>
      <c r="K32" s="76"/>
      <c r="L32" s="76"/>
      <c r="M32" s="76"/>
      <c r="N32" s="76"/>
    </row>
    <row r="33" spans="1:14" x14ac:dyDescent="0.25">
      <c r="A33" s="76"/>
      <c r="B33" s="76"/>
      <c r="C33" s="76"/>
      <c r="D33" s="76"/>
      <c r="E33" s="76"/>
      <c r="F33" s="76"/>
      <c r="G33" s="76"/>
      <c r="H33" s="76"/>
      <c r="I33" s="76"/>
      <c r="J33" s="76"/>
      <c r="K33" s="76"/>
      <c r="L33" s="76"/>
      <c r="M33" s="76"/>
      <c r="N33" s="76"/>
    </row>
  </sheetData>
  <mergeCells count="3">
    <mergeCell ref="A1:H1"/>
    <mergeCell ref="A2:H2"/>
    <mergeCell ref="A25:L25"/>
  </mergeCells>
  <pageMargins left="0.7" right="0.7" top="0.75" bottom="0.75" header="0.3" footer="0.3"/>
  <customProperties>
    <customPr name="HasEnPITables" r:id="rId1"/>
    <customPr name="IsValidRollupSource" r:id="rId2"/>
    <customPr name="SheetGUID" r:id="rId3"/>
  </customProperties>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B60-488E-4C73-AF1D-62896FF43F40}">
  <sheetPr>
    <tabColor rgb="FF008000"/>
  </sheetPr>
  <dimension ref="A1:N35"/>
  <sheetViews>
    <sheetView workbookViewId="0">
      <selection activeCell="E12" sqref="E12:F12"/>
    </sheetView>
  </sheetViews>
  <sheetFormatPr defaultRowHeight="15" x14ac:dyDescent="0.25"/>
  <cols>
    <col min="1" max="1" width="51.140625" bestFit="1" customWidth="1"/>
    <col min="2" max="3" width="11.42578125" bestFit="1" customWidth="1"/>
    <col min="5" max="5" width="30.5703125" bestFit="1" customWidth="1"/>
    <col min="6" max="6" width="6.5703125" bestFit="1" customWidth="1"/>
    <col min="7" max="7" width="0" hidden="1" customWidth="1"/>
    <col min="8" max="8" width="9.28515625" bestFit="1" customWidth="1"/>
  </cols>
  <sheetData>
    <row r="1" spans="1:8" ht="19.5" x14ac:dyDescent="0.3">
      <c r="A1" s="62" t="s">
        <v>96</v>
      </c>
      <c r="B1" s="62"/>
      <c r="C1" s="62"/>
      <c r="D1" s="62"/>
      <c r="E1" s="62"/>
      <c r="F1" s="62"/>
      <c r="G1" s="62"/>
      <c r="H1" s="62"/>
    </row>
    <row r="2" spans="1:8" ht="69.95" customHeight="1" x14ac:dyDescent="0.25">
      <c r="A2" s="63" t="s">
        <v>97</v>
      </c>
      <c r="B2" s="63"/>
      <c r="C2" s="63"/>
      <c r="D2" s="63"/>
      <c r="E2" s="63"/>
      <c r="F2" s="63"/>
      <c r="G2" s="63"/>
      <c r="H2" s="63"/>
    </row>
    <row r="4" spans="1:8" x14ac:dyDescent="0.25">
      <c r="A4" s="78"/>
      <c r="B4" s="78" t="s">
        <v>98</v>
      </c>
      <c r="C4" s="78" t="s">
        <v>99</v>
      </c>
    </row>
    <row r="5" spans="1:8" x14ac:dyDescent="0.25">
      <c r="A5" s="42" t="s">
        <v>79</v>
      </c>
      <c r="B5" s="42" t="s">
        <v>76</v>
      </c>
      <c r="C5" s="42" t="s">
        <v>78</v>
      </c>
      <c r="E5" s="74" t="s">
        <v>110</v>
      </c>
      <c r="F5" s="74" t="s">
        <v>111</v>
      </c>
    </row>
    <row r="6" spans="1:8" x14ac:dyDescent="0.25">
      <c r="A6" s="81" t="s">
        <v>100</v>
      </c>
      <c r="B6" s="82">
        <f>SUMIF(DetailTable4[Period],AnnualTable8[#Headers],DetailTable4[Electricity (MMBTU)])</f>
        <v>1634357.9706402963</v>
      </c>
      <c r="C6" s="82">
        <f>SUMIF(DetailTable4[Period],AnnualTable8[#Headers],DetailTable4[Electricity (MMBTU)])</f>
        <v>1050127.5097183201</v>
      </c>
      <c r="E6" s="79" t="s">
        <v>112</v>
      </c>
      <c r="F6" s="80"/>
    </row>
    <row r="7" spans="1:8" ht="30" x14ac:dyDescent="0.25">
      <c r="A7" s="81" t="s">
        <v>101</v>
      </c>
      <c r="B7" s="82">
        <f>SUMIF(DetailTable4[Period],AnnualTable8[#Headers],DetailTable4[Natural gas (MMBTU)])</f>
        <v>960346.2</v>
      </c>
      <c r="C7" s="82">
        <f>SUMIF(DetailTable4[Period],AnnualTable8[#Headers],DetailTable4[Natural gas (MMBTU)])</f>
        <v>643298.80000000005</v>
      </c>
      <c r="E7" s="79" t="s">
        <v>113</v>
      </c>
      <c r="F7" s="80"/>
    </row>
    <row r="8" spans="1:8" x14ac:dyDescent="0.25">
      <c r="A8" s="81" t="s">
        <v>102</v>
      </c>
      <c r="B8" s="82">
        <f>SUMIF(DetailTable4[Period],AnnualTable8[#Headers],DetailTable4[TOTAL  (MMBTU)])</f>
        <v>2594704.1706402958</v>
      </c>
      <c r="C8" s="82">
        <f>SUMIF(DetailTable4[Period],AnnualTable8[#Headers],DetailTable4[TOTAL  (MMBTU)])</f>
        <v>1693426.3097183199</v>
      </c>
      <c r="E8" s="79" t="s">
        <v>114</v>
      </c>
      <c r="F8" s="80"/>
    </row>
    <row r="9" spans="1:8" x14ac:dyDescent="0.25">
      <c r="A9" s="83" t="s">
        <v>79</v>
      </c>
      <c r="B9" s="84" t="s">
        <v>79</v>
      </c>
      <c r="C9" s="84" t="s">
        <v>79</v>
      </c>
      <c r="E9" s="79" t="s">
        <v>115</v>
      </c>
      <c r="F9" s="80"/>
    </row>
    <row r="10" spans="1:8" x14ac:dyDescent="0.25">
      <c r="A10" s="81" t="s">
        <v>103</v>
      </c>
      <c r="B10" s="85" t="s">
        <v>41</v>
      </c>
      <c r="C10" s="85" t="s">
        <v>82</v>
      </c>
      <c r="E10" s="79" t="s">
        <v>116</v>
      </c>
      <c r="F10" s="80"/>
    </row>
    <row r="11" spans="1:8" x14ac:dyDescent="0.25">
      <c r="A11" s="81" t="s">
        <v>104</v>
      </c>
      <c r="B11" s="86">
        <f>SUMIF(DetailTable4[Period],AnnualTable8[#Headers],DetailTable4[Modeled Electricity (MMBTU)])</f>
        <v>1634357.9517394546</v>
      </c>
      <c r="C11" s="86">
        <f>SUMIF(DetailTable4[Period],AnnualTable8[#Headers],DetailTable4[Modeled Electricity (MMBTU)])</f>
        <v>1153191.3190062193</v>
      </c>
      <c r="E11" s="79" t="s">
        <v>117</v>
      </c>
      <c r="F11" s="80"/>
    </row>
    <row r="12" spans="1:8" ht="30" x14ac:dyDescent="0.25">
      <c r="A12" s="81" t="s">
        <v>105</v>
      </c>
      <c r="B12" s="86">
        <f>INDEX(AnnualTable8[], MATCH("Modeled Primary Electricity (MMBTU)",AnnualTable8[[ ]],0),) - INDEX(AnnualTable8[], MATCH("Actual Primary Electricity (MMBTU)",AnnualTable8[[ ]],0),)</f>
        <v>-1.8900841707363725E-2</v>
      </c>
      <c r="C12" s="86">
        <f>INDEX(AnnualTable8[], MATCH("Modeled Primary Electricity (MMBTU)",AnnualTable8[[ ]],0),) - INDEX(AnnualTable8[], MATCH("Actual Primary Electricity (MMBTU)",AnnualTable8[[ ]],0),)</f>
        <v>103063.80928789917</v>
      </c>
      <c r="E12" s="79" t="s">
        <v>118</v>
      </c>
      <c r="F12" s="80"/>
    </row>
    <row r="13" spans="1:8" x14ac:dyDescent="0.25">
      <c r="A13" s="81" t="s">
        <v>106</v>
      </c>
      <c r="B13" s="86">
        <f>SUMIF(DetailTable4[Period],AnnualTable8[#Headers],DetailTable4[Modeled Natural gas (MMBTU)])</f>
        <v>960346.22711887234</v>
      </c>
      <c r="C13" s="86">
        <f>SUMIF(DetailTable4[Period],AnnualTable8[#Headers],DetailTable4[Modeled Natural gas (MMBTU)])</f>
        <v>714012.5261813103</v>
      </c>
    </row>
    <row r="14" spans="1:8" x14ac:dyDescent="0.25">
      <c r="A14" s="81" t="s">
        <v>107</v>
      </c>
      <c r="B14" s="86">
        <f>INDEX(AnnualTable8[], MATCH("Modeled Primary Natural gas (MMBTU)",AnnualTable8[[ ]],0),) - INDEX(AnnualTable8[], MATCH("Actual Primary Natural gas (MMBTU)",AnnualTable8[[ ]],0),)</f>
        <v>2.7118872385472059E-2</v>
      </c>
      <c r="C14" s="86">
        <f>INDEX(AnnualTable8[], MATCH("Modeled Primary Natural gas (MMBTU)",AnnualTable8[[ ]],0),) - INDEX(AnnualTable8[], MATCH("Actual Primary Natural gas (MMBTU)",AnnualTable8[[ ]],0),)</f>
        <v>70713.726181310252</v>
      </c>
    </row>
    <row r="15" spans="1:8" x14ac:dyDescent="0.25">
      <c r="A15" s="81" t="s">
        <v>108</v>
      </c>
      <c r="B15" s="86">
        <f>SUMIF(DetailTable4[Period],AnnualTable8[#Headers],DetailTable4[Total Modeled Energy Consumption (MMBTU)])</f>
        <v>2594704.1788583272</v>
      </c>
      <c r="C15" s="86">
        <f>SUMIF(DetailTable4[Period],AnnualTable8[#Headers],DetailTable4[Total Modeled Energy Consumption (MMBTU)])</f>
        <v>1867203.8451875297</v>
      </c>
    </row>
    <row r="16" spans="1:8" x14ac:dyDescent="0.25">
      <c r="A16" s="87" t="s">
        <v>85</v>
      </c>
      <c r="B16" s="88">
        <f xml:space="preserve"> 1</f>
        <v>1</v>
      </c>
      <c r="C16" s="88">
        <f>IFERROR((INDEX(AnnualTable8[],MATCH("TOTAL  Actual Primary Energy (MMBTU)",AnnualTable8[[ ]],0),)/1)*(1/INDEX(AnnualTable8[],MATCH("Total Modeled Primary Energy Consumption",AnnualTable8[[ ]],0),)),1)</f>
        <v>0.90693167437658284</v>
      </c>
    </row>
    <row r="17" spans="1:14" x14ac:dyDescent="0.25">
      <c r="A17" s="89" t="s">
        <v>109</v>
      </c>
      <c r="B17" s="90">
        <v>0</v>
      </c>
      <c r="C17" s="90">
        <f t="shared" ref="C17" ca="1" si="0">(1 - OFFSET(INDIRECT(ADDRESS(ROW(), COLUMN())),-1,0,1,1))</f>
        <v>9.3068325623417159E-2</v>
      </c>
    </row>
    <row r="19" spans="1:14" ht="268.35000000000002" customHeight="1" x14ac:dyDescent="0.25"/>
    <row r="21" spans="1:14" ht="268.35000000000002" customHeight="1" x14ac:dyDescent="0.25"/>
    <row r="23" spans="1:14" ht="268.35000000000002" customHeight="1" x14ac:dyDescent="0.25"/>
    <row r="25" spans="1:14" ht="268.35000000000002" customHeight="1" x14ac:dyDescent="0.25"/>
    <row r="27" spans="1:14" hidden="1" x14ac:dyDescent="0.25">
      <c r="A27" s="75" t="s">
        <v>92</v>
      </c>
      <c r="B27" s="4"/>
      <c r="C27" s="4"/>
      <c r="D27" s="4"/>
      <c r="E27" s="4"/>
      <c r="F27" s="4"/>
      <c r="G27" s="4"/>
      <c r="H27" s="4"/>
      <c r="I27" s="4"/>
      <c r="J27" s="4"/>
      <c r="K27" s="4"/>
      <c r="L27" s="4"/>
    </row>
    <row r="29" spans="1:14" ht="45" x14ac:dyDescent="0.25">
      <c r="A29" s="74" t="s">
        <v>93</v>
      </c>
      <c r="B29" s="74" t="s">
        <v>12</v>
      </c>
      <c r="C29" s="74" t="s">
        <v>119</v>
      </c>
      <c r="D29" s="74" t="s">
        <v>14</v>
      </c>
      <c r="E29" s="74" t="s">
        <v>17</v>
      </c>
      <c r="F29" s="74" t="s">
        <v>18</v>
      </c>
      <c r="G29" s="74" t="s">
        <v>19</v>
      </c>
      <c r="H29" s="74" t="s">
        <v>20</v>
      </c>
      <c r="I29" s="74" t="s">
        <v>24</v>
      </c>
    </row>
    <row r="30" spans="1:14" x14ac:dyDescent="0.25">
      <c r="A30" s="74"/>
      <c r="B30" s="74"/>
      <c r="C30" s="74"/>
      <c r="D30" s="74"/>
      <c r="E30" s="74"/>
      <c r="F30" s="74"/>
      <c r="G30" s="74"/>
      <c r="H30" s="74"/>
      <c r="I30" s="74"/>
    </row>
    <row r="31" spans="1:14" x14ac:dyDescent="0.25">
      <c r="A31" s="91" t="s">
        <v>94</v>
      </c>
      <c r="B31" s="91" t="b">
        <v>1</v>
      </c>
      <c r="C31" s="91" t="s">
        <v>5</v>
      </c>
      <c r="D31" s="91" t="s">
        <v>26</v>
      </c>
      <c r="E31" s="91">
        <v>2.33666697227881E-4</v>
      </c>
      <c r="F31" s="91">
        <v>0.75699547686676505</v>
      </c>
      <c r="G31" s="91">
        <v>0.73269502455344104</v>
      </c>
      <c r="H31" s="91">
        <v>2.3366669722788201E-4</v>
      </c>
      <c r="I31" s="91" t="s">
        <v>25</v>
      </c>
      <c r="J31" s="91"/>
      <c r="K31" s="91"/>
      <c r="L31" s="91"/>
      <c r="M31" s="91"/>
      <c r="N31" s="91"/>
    </row>
    <row r="32" spans="1:14" x14ac:dyDescent="0.25">
      <c r="A32" s="91"/>
      <c r="B32" s="91"/>
      <c r="C32" s="91"/>
      <c r="D32" s="91"/>
      <c r="E32" s="91"/>
      <c r="F32" s="91"/>
      <c r="G32" s="91"/>
      <c r="H32" s="91"/>
      <c r="I32" s="91"/>
      <c r="J32" s="91"/>
      <c r="K32" s="91"/>
      <c r="L32" s="91"/>
      <c r="M32" s="91"/>
      <c r="N32" s="91"/>
    </row>
    <row r="33" spans="1:14" x14ac:dyDescent="0.25">
      <c r="A33" s="91" t="s">
        <v>95</v>
      </c>
      <c r="B33" s="91" t="b">
        <v>1</v>
      </c>
      <c r="C33" s="91" t="s">
        <v>5</v>
      </c>
      <c r="D33" s="91" t="s">
        <v>26</v>
      </c>
      <c r="E33" s="91">
        <v>4.1327635892594297E-6</v>
      </c>
      <c r="F33" s="91">
        <v>0.91487172597815203</v>
      </c>
      <c r="G33" s="91">
        <v>0.89595433175107497</v>
      </c>
      <c r="H33" s="91">
        <v>1.5322591613455399E-5</v>
      </c>
      <c r="I33" s="91" t="s">
        <v>35</v>
      </c>
      <c r="J33" s="91"/>
      <c r="K33" s="91"/>
      <c r="L33" s="91"/>
      <c r="M33" s="91"/>
      <c r="N33" s="91"/>
    </row>
    <row r="34" spans="1:14" x14ac:dyDescent="0.25">
      <c r="A34" s="91"/>
      <c r="B34" s="91"/>
      <c r="C34" s="91" t="s">
        <v>6</v>
      </c>
      <c r="D34" s="91" t="s">
        <v>26</v>
      </c>
      <c r="E34" s="91">
        <v>1.30106320332476E-2</v>
      </c>
      <c r="F34" s="91"/>
      <c r="G34" s="91"/>
      <c r="H34" s="91"/>
      <c r="I34" s="91"/>
      <c r="J34" s="91"/>
      <c r="K34" s="91"/>
      <c r="L34" s="91"/>
      <c r="M34" s="91"/>
      <c r="N34" s="91"/>
    </row>
    <row r="35" spans="1:14" x14ac:dyDescent="0.25">
      <c r="A35" s="91"/>
      <c r="B35" s="91"/>
      <c r="C35" s="91"/>
      <c r="D35" s="91"/>
      <c r="E35" s="91"/>
      <c r="F35" s="91"/>
      <c r="G35" s="91"/>
      <c r="H35" s="91"/>
      <c r="I35" s="91"/>
      <c r="J35" s="91"/>
      <c r="K35" s="91"/>
      <c r="L35" s="91"/>
      <c r="M35" s="91"/>
      <c r="N35" s="91"/>
    </row>
  </sheetData>
  <mergeCells count="3">
    <mergeCell ref="A1:H1"/>
    <mergeCell ref="A2:H2"/>
    <mergeCell ref="A27:L27"/>
  </mergeCells>
  <pageMargins left="0.5" right="0.5" top="1" bottom="1" header="0.3" footer="0.3"/>
  <pageSetup paperSize="9" orientation="landscape" horizontalDpi="1200" verticalDpi="1200" r:id="rId1"/>
  <rowBreaks count="3" manualBreakCount="3">
    <brk id="18" max="16383" man="1"/>
    <brk id="22" max="16383" man="1"/>
    <brk id="28" max="16383" man="1"/>
  </rowBreaks>
  <customProperties>
    <customPr name="HasEnPITables" r:id="rId2"/>
    <customPr name="SheetGUID" r:id="rId3"/>
  </customProperties>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Rochester</vt:lpstr>
      <vt:lpstr>1 Electricity (MMBTU)</vt:lpstr>
      <vt:lpstr>1 Natural gas (MMBTU)</vt:lpstr>
      <vt:lpstr>1 Model Data</vt:lpstr>
      <vt:lpstr>1 EnPI Results</vt:lpstr>
      <vt:lpstr>1 SEP Results</vt:lpstr>
      <vt:lpstr>'1 SEP Results'!Print_Area</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Chris</dc:creator>
  <cp:lastModifiedBy>Price, Chris</cp:lastModifiedBy>
  <dcterms:created xsi:type="dcterms:W3CDTF">2015-06-05T18:17:20Z</dcterms:created>
  <dcterms:modified xsi:type="dcterms:W3CDTF">2019-08-09T20:20:15Z</dcterms:modified>
</cp:coreProperties>
</file>