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980" windowHeight="7815"/>
  </bookViews>
  <sheets>
    <sheet name="line_tension" sheetId="1" r:id="rId1"/>
    <sheet name="outcome_predict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S27" i="2"/>
  <c r="S26"/>
  <c r="AE15"/>
  <c r="AE14"/>
  <c r="AE18"/>
  <c r="AE19"/>
  <c r="AE20"/>
  <c r="AE21"/>
  <c r="AE22"/>
  <c r="AE23"/>
  <c r="AE24"/>
  <c r="AE17"/>
  <c r="AE5"/>
  <c r="Y18" l="1"/>
  <c r="AC18" s="1"/>
  <c r="AF18" s="1"/>
  <c r="AI18" s="1"/>
  <c r="AB18"/>
  <c r="AH18"/>
  <c r="Y19"/>
  <c r="AC19" s="1"/>
  <c r="AF19" s="1"/>
  <c r="AI19" s="1"/>
  <c r="AB19"/>
  <c r="AH19"/>
  <c r="Y20"/>
  <c r="AC20" s="1"/>
  <c r="AF20" s="1"/>
  <c r="AI20" s="1"/>
  <c r="AB20"/>
  <c r="AH20"/>
  <c r="Y21"/>
  <c r="AC21" s="1"/>
  <c r="AF21" s="1"/>
  <c r="AI21" s="1"/>
  <c r="AB21"/>
  <c r="AH21"/>
  <c r="Y22"/>
  <c r="AC22" s="1"/>
  <c r="AF22" s="1"/>
  <c r="AI22" s="1"/>
  <c r="AB22"/>
  <c r="AH22"/>
  <c r="Y23"/>
  <c r="AC23" s="1"/>
  <c r="AF23" s="1"/>
  <c r="AI23" s="1"/>
  <c r="AB23"/>
  <c r="AH23"/>
  <c r="Y24"/>
  <c r="AC24" s="1"/>
  <c r="AF24" s="1"/>
  <c r="AI24" s="1"/>
  <c r="AB24"/>
  <c r="AH24"/>
  <c r="Y17"/>
  <c r="AH17"/>
  <c r="AC17"/>
  <c r="AB17"/>
  <c r="AH15"/>
  <c r="AC15"/>
  <c r="AB15"/>
  <c r="Y15"/>
  <c r="Y14"/>
  <c r="AC14" s="1"/>
  <c r="AF14" s="1"/>
  <c r="AH14"/>
  <c r="AB14"/>
  <c r="AJ24" l="1"/>
  <c r="AJ23"/>
  <c r="AJ22"/>
  <c r="AJ21"/>
  <c r="AJ20"/>
  <c r="AJ19"/>
  <c r="AJ18"/>
  <c r="AF17"/>
  <c r="AI17" s="1"/>
  <c r="AJ17" s="1"/>
  <c r="AF15"/>
  <c r="AI15" s="1"/>
  <c r="AJ15" s="1"/>
  <c r="AI14"/>
  <c r="AJ14" s="1"/>
  <c r="AJ6" l="1"/>
  <c r="AJ7"/>
  <c r="AJ9"/>
  <c r="AJ10"/>
  <c r="AJ11"/>
  <c r="AJ5"/>
  <c r="AG11"/>
  <c r="AG7"/>
  <c r="AH6"/>
  <c r="AH7"/>
  <c r="AH9"/>
  <c r="AH10"/>
  <c r="AH11"/>
  <c r="AH5"/>
  <c r="AI6"/>
  <c r="AI7"/>
  <c r="AI9"/>
  <c r="AI10"/>
  <c r="AI11"/>
  <c r="AI5"/>
  <c r="AB11"/>
  <c r="Y11"/>
  <c r="AC11" s="1"/>
  <c r="AC10"/>
  <c r="AB10"/>
  <c r="Y10"/>
  <c r="X10"/>
  <c r="AE10" s="1"/>
  <c r="AE9"/>
  <c r="AC9"/>
  <c r="AB9"/>
  <c r="AF9" s="1"/>
  <c r="AB6"/>
  <c r="AC6"/>
  <c r="AF6" s="1"/>
  <c r="AE6"/>
  <c r="AB7"/>
  <c r="AC7"/>
  <c r="AF7" s="1"/>
  <c r="AE7"/>
  <c r="X7"/>
  <c r="X6"/>
  <c r="Y7"/>
  <c r="Y6"/>
  <c r="AC5"/>
  <c r="AF5"/>
  <c r="AB5"/>
  <c r="AL8" i="1"/>
  <c r="AL9"/>
  <c r="AL10"/>
  <c r="AL11"/>
  <c r="AL12"/>
  <c r="AL13"/>
  <c r="AL14"/>
  <c r="AL15"/>
  <c r="AL16"/>
  <c r="AL17"/>
  <c r="AL18"/>
  <c r="AL19"/>
  <c r="AM13"/>
  <c r="B28"/>
  <c r="AM17" l="1"/>
  <c r="AM12"/>
  <c r="AM9"/>
  <c r="AM18"/>
  <c r="AM8"/>
  <c r="AM14"/>
  <c r="AM11"/>
  <c r="AM15"/>
  <c r="AM10"/>
  <c r="AM19"/>
  <c r="AM16"/>
  <c r="AF10" i="2"/>
  <c r="X11"/>
  <c r="AE11" s="1"/>
  <c r="F10" i="3"/>
  <c r="F9"/>
  <c r="F8"/>
  <c r="F7"/>
  <c r="AF11" i="2" l="1"/>
  <c r="O19" i="1"/>
  <c r="E19"/>
  <c r="F19"/>
  <c r="G19"/>
  <c r="H19"/>
  <c r="E9"/>
  <c r="F9"/>
  <c r="G9"/>
  <c r="U9" s="1"/>
  <c r="H9"/>
  <c r="E10"/>
  <c r="S10" s="1"/>
  <c r="F10"/>
  <c r="G10"/>
  <c r="U10" s="1"/>
  <c r="H10"/>
  <c r="E11"/>
  <c r="S11" s="1"/>
  <c r="F11"/>
  <c r="G11"/>
  <c r="U11" s="1"/>
  <c r="H11"/>
  <c r="E12"/>
  <c r="S12" s="1"/>
  <c r="F12"/>
  <c r="G12"/>
  <c r="U12" s="1"/>
  <c r="H12"/>
  <c r="E13"/>
  <c r="S13" s="1"/>
  <c r="F13"/>
  <c r="G13"/>
  <c r="U13" s="1"/>
  <c r="H13"/>
  <c r="E14"/>
  <c r="S14" s="1"/>
  <c r="F14"/>
  <c r="G14"/>
  <c r="U14" s="1"/>
  <c r="H14"/>
  <c r="E15"/>
  <c r="S15" s="1"/>
  <c r="F15"/>
  <c r="G15"/>
  <c r="U15" s="1"/>
  <c r="H15"/>
  <c r="E16"/>
  <c r="S16" s="1"/>
  <c r="F16"/>
  <c r="G16"/>
  <c r="U16" s="1"/>
  <c r="H16"/>
  <c r="E17"/>
  <c r="S17" s="1"/>
  <c r="F17"/>
  <c r="G17"/>
  <c r="U17" s="1"/>
  <c r="H17"/>
  <c r="E18"/>
  <c r="S18" s="1"/>
  <c r="F18"/>
  <c r="G18"/>
  <c r="U18" s="1"/>
  <c r="H18"/>
  <c r="H8"/>
  <c r="G8"/>
  <c r="F8"/>
  <c r="E8"/>
  <c r="S8" s="1"/>
  <c r="S9"/>
  <c r="O9"/>
  <c r="O10"/>
  <c r="O11"/>
  <c r="O12"/>
  <c r="O13"/>
  <c r="O14"/>
  <c r="O15"/>
  <c r="O16"/>
  <c r="O17"/>
  <c r="O18"/>
  <c r="L9"/>
  <c r="L10"/>
  <c r="L11"/>
  <c r="L12"/>
  <c r="L13"/>
  <c r="L14"/>
  <c r="L15"/>
  <c r="L16"/>
  <c r="L17"/>
  <c r="L18"/>
  <c r="B23"/>
  <c r="L8"/>
  <c r="AG18" l="1"/>
  <c r="AG17"/>
  <c r="AG16"/>
  <c r="AG15"/>
  <c r="AG14"/>
  <c r="AG13"/>
  <c r="AG12"/>
  <c r="AG11"/>
  <c r="AG10"/>
  <c r="AG9"/>
  <c r="AG19"/>
  <c r="AG8"/>
  <c r="X15"/>
  <c r="X9"/>
  <c r="X17"/>
  <c r="X13"/>
  <c r="X11"/>
  <c r="S19"/>
  <c r="U19"/>
  <c r="P13"/>
  <c r="Q13" s="1"/>
  <c r="K13" s="1"/>
  <c r="P10"/>
  <c r="Q10" s="1"/>
  <c r="K10" s="1"/>
  <c r="X18"/>
  <c r="X16"/>
  <c r="X14"/>
  <c r="X12"/>
  <c r="X10"/>
  <c r="P19"/>
  <c r="Q19" s="1"/>
  <c r="K19" s="1"/>
  <c r="P9"/>
  <c r="Q9" s="1"/>
  <c r="K9" s="1"/>
  <c r="P17"/>
  <c r="Q17" s="1"/>
  <c r="K17" s="1"/>
  <c r="P11"/>
  <c r="Q11" s="1"/>
  <c r="K11" s="1"/>
  <c r="P15"/>
  <c r="Q15" s="1"/>
  <c r="K15" s="1"/>
  <c r="P16"/>
  <c r="Q16" s="1"/>
  <c r="K16" s="1"/>
  <c r="P14"/>
  <c r="Q14" s="1"/>
  <c r="K14" s="1"/>
  <c r="P18"/>
  <c r="Q18" s="1"/>
  <c r="K18" s="1"/>
  <c r="P12"/>
  <c r="Q12" s="1"/>
  <c r="K12" s="1"/>
  <c r="U8"/>
  <c r="X8" s="1"/>
  <c r="O8"/>
  <c r="P8" s="1"/>
  <c r="Q8" s="1"/>
  <c r="K8" s="1"/>
  <c r="T17" l="1"/>
  <c r="T11"/>
  <c r="T19"/>
  <c r="T14"/>
  <c r="M10"/>
  <c r="V10" s="1"/>
  <c r="AE10" s="1"/>
  <c r="T9"/>
  <c r="M13"/>
  <c r="V13" s="1"/>
  <c r="AE13" s="1"/>
  <c r="T13"/>
  <c r="X19"/>
  <c r="T10"/>
  <c r="M19"/>
  <c r="V19" s="1"/>
  <c r="AE19" s="1"/>
  <c r="M9"/>
  <c r="V9" s="1"/>
  <c r="AE9" s="1"/>
  <c r="M14"/>
  <c r="V14" s="1"/>
  <c r="AE14" s="1"/>
  <c r="M18"/>
  <c r="V18" s="1"/>
  <c r="AE18" s="1"/>
  <c r="M15"/>
  <c r="V15" s="1"/>
  <c r="AE15" s="1"/>
  <c r="M12"/>
  <c r="V12" s="1"/>
  <c r="AE12" s="1"/>
  <c r="M16"/>
  <c r="V16" s="1"/>
  <c r="AE16" s="1"/>
  <c r="M17"/>
  <c r="V17" s="1"/>
  <c r="AE17" s="1"/>
  <c r="M11"/>
  <c r="V11" s="1"/>
  <c r="AE11" s="1"/>
  <c r="T15"/>
  <c r="T16"/>
  <c r="AH16" s="1"/>
  <c r="AI16" s="1"/>
  <c r="T12"/>
  <c r="AH12" s="1"/>
  <c r="AI12" s="1"/>
  <c r="T18"/>
  <c r="T8"/>
  <c r="AH8" s="1"/>
  <c r="AI8" s="1"/>
  <c r="M8"/>
  <c r="V8" s="1"/>
  <c r="AE8" s="1"/>
  <c r="AD9" l="1"/>
  <c r="AH9"/>
  <c r="AI9" s="1"/>
  <c r="AD19"/>
  <c r="AH19"/>
  <c r="AI19" s="1"/>
  <c r="AD15"/>
  <c r="AH15"/>
  <c r="AI15" s="1"/>
  <c r="AD17"/>
  <c r="AH17"/>
  <c r="AI17" s="1"/>
  <c r="AD10"/>
  <c r="AH10"/>
  <c r="AI10" s="1"/>
  <c r="AD11"/>
  <c r="AH11"/>
  <c r="AI11" s="1"/>
  <c r="AD18"/>
  <c r="AH18"/>
  <c r="AI18" s="1"/>
  <c r="AD13"/>
  <c r="AH13"/>
  <c r="AI13" s="1"/>
  <c r="AD14"/>
  <c r="AH14"/>
  <c r="AI14" s="1"/>
  <c r="AA8"/>
  <c r="AD8"/>
  <c r="AA16"/>
  <c r="AD16"/>
  <c r="AA12"/>
  <c r="AD12"/>
  <c r="AA19"/>
  <c r="AA13"/>
  <c r="AA15"/>
  <c r="AA17"/>
  <c r="AA18"/>
  <c r="Y10"/>
  <c r="AA10"/>
  <c r="AB10" s="1"/>
  <c r="Y13"/>
  <c r="AA9"/>
  <c r="AA14"/>
  <c r="AA11"/>
  <c r="Y16"/>
  <c r="Y15"/>
  <c r="Y18"/>
  <c r="Y19"/>
  <c r="Y9"/>
  <c r="Y11"/>
  <c r="Y14"/>
  <c r="AB14" s="1"/>
  <c r="Y17"/>
  <c r="Y12"/>
  <c r="Y8"/>
  <c r="AD2" l="1"/>
  <c r="AB17"/>
  <c r="AB16"/>
  <c r="AB12"/>
  <c r="AB19"/>
  <c r="AB11"/>
  <c r="AB15"/>
  <c r="AB13"/>
  <c r="AB18"/>
  <c r="AB9"/>
  <c r="AB8"/>
</calcChain>
</file>

<file path=xl/sharedStrings.xml><?xml version="1.0" encoding="utf-8"?>
<sst xmlns="http://schemas.openxmlformats.org/spreadsheetml/2006/main" count="111" uniqueCount="64">
  <si>
    <t>monolayer bending modulus (kT)</t>
  </si>
  <si>
    <t>lipid density (nm^-2)</t>
  </si>
  <si>
    <t>l_pore</t>
  </si>
  <si>
    <t>Species 1</t>
  </si>
  <si>
    <t>Spontaneous curvature (nm^-1)</t>
  </si>
  <si>
    <t>Species 2</t>
  </si>
  <si>
    <t>Bulk</t>
  </si>
  <si>
    <t>Pore</t>
  </si>
  <si>
    <t>monolayer thickness</t>
  </si>
  <si>
    <t>Ratio (1:2)</t>
  </si>
  <si>
    <t>Pore fraction</t>
  </si>
  <si>
    <t>Free energy per lipid (kT)</t>
  </si>
  <si>
    <t>Fraction lipid</t>
  </si>
  <si>
    <t>Weighted average</t>
  </si>
  <si>
    <t>Line tension</t>
  </si>
  <si>
    <t>(kT/nm)</t>
  </si>
  <si>
    <t>Bending energy per lipid (kT)</t>
  </si>
  <si>
    <t>Pure DOPC line tension</t>
  </si>
  <si>
    <t>Pure DOPC gamma_crit</t>
  </si>
  <si>
    <t>Gamma_crit</t>
  </si>
  <si>
    <t>(mN/m)</t>
  </si>
  <si>
    <t>ulk</t>
  </si>
  <si>
    <t>deadendfraction =</t>
  </si>
  <si>
    <t>fusionfraction =</t>
  </si>
  <si>
    <t>lysisfraction =</t>
  </si>
  <si>
    <t>Tfusion =</t>
  </si>
  <si>
    <t>Tlysis =</t>
  </si>
  <si>
    <t>25% PS</t>
  </si>
  <si>
    <t>9% PS</t>
  </si>
  <si>
    <t>50% PS</t>
  </si>
  <si>
    <t>100% PS</t>
  </si>
  <si>
    <t>PS %</t>
  </si>
  <si>
    <t>D</t>
  </si>
  <si>
    <t>F</t>
  </si>
  <si>
    <t>L</t>
  </si>
  <si>
    <t>free energy per lipid</t>
  </si>
  <si>
    <t>deltaf1</t>
  </si>
  <si>
    <t>T_pore_ves</t>
  </si>
  <si>
    <t>T_pore_hd</t>
  </si>
  <si>
    <t>Tension</t>
  </si>
  <si>
    <t>v*</t>
  </si>
  <si>
    <t>gamma*</t>
  </si>
  <si>
    <t>v_rup</t>
  </si>
  <si>
    <t>gamma_rup</t>
  </si>
  <si>
    <t>k*</t>
  </si>
  <si>
    <t>krup</t>
  </si>
  <si>
    <t>tau_rup</t>
  </si>
  <si>
    <t>PS/PE</t>
  </si>
  <si>
    <t>PS</t>
  </si>
  <si>
    <t>PC</t>
  </si>
  <si>
    <t>tau_*</t>
  </si>
  <si>
    <t>prob_rup</t>
  </si>
  <si>
    <t>ves</t>
  </si>
  <si>
    <t>HD</t>
  </si>
  <si>
    <t>0% LPC</t>
  </si>
  <si>
    <t>LPC/lect</t>
  </si>
  <si>
    <t>*approximated by</t>
  </si>
  <si>
    <t>40%PS, 60% PE</t>
  </si>
  <si>
    <t>----&gt;</t>
  </si>
  <si>
    <t>tension where</t>
  </si>
  <si>
    <t>fusion occurs</t>
  </si>
  <si>
    <t>VES-BLM</t>
  </si>
  <si>
    <t>DOPE</t>
  </si>
  <si>
    <t>DOPC/PS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</si>
</sst>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9" fontId="0" fillId="0" borderId="0" xfId="0" applyNumberFormat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800783522749336"/>
          <c:y val="5.7060002916302165E-2"/>
          <c:w val="0.76391347633270024"/>
          <c:h val="0.7115893846602505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line_tension!$J$8:$J$18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0.99999899999999997</c:v>
                </c:pt>
              </c:numCache>
            </c:numRef>
          </c:xVal>
          <c:yVal>
            <c:numRef>
              <c:f>line_tension!$K$8:$K$18</c:f>
              <c:numCache>
                <c:formatCode>General</c:formatCode>
                <c:ptCount val="11"/>
                <c:pt idx="0">
                  <c:v>2.6884268443274489E-6</c:v>
                </c:pt>
                <c:pt idx="1">
                  <c:v>0.23000788517567405</c:v>
                </c:pt>
                <c:pt idx="2">
                  <c:v>0.40195245034032012</c:v>
                </c:pt>
                <c:pt idx="3">
                  <c:v>0.53535590277899725</c:v>
                </c:pt>
                <c:pt idx="4">
                  <c:v>0.64187069987809375</c:v>
                </c:pt>
                <c:pt idx="5">
                  <c:v>0.72888203791470063</c:v>
                </c:pt>
                <c:pt idx="6">
                  <c:v>0.80129741167377333</c:v>
                </c:pt>
                <c:pt idx="7">
                  <c:v>0.86250528010287253</c:v>
                </c:pt>
                <c:pt idx="8">
                  <c:v>0.91492059287162153</c:v>
                </c:pt>
                <c:pt idx="9">
                  <c:v>0.96031097533867094</c:v>
                </c:pt>
                <c:pt idx="10">
                  <c:v>0.99999962803565157</c:v>
                </c:pt>
              </c:numCache>
            </c:numRef>
          </c:yVal>
          <c:smooth val="1"/>
        </c:ser>
        <c:axId val="98909568"/>
        <c:axId val="98944896"/>
      </c:scatterChart>
      <c:valAx>
        <c:axId val="9890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Bulk Fraction Lipid Species</a:t>
                </a:r>
                <a:r>
                  <a:rPr lang="en-US" sz="1050" baseline="0"/>
                  <a:t> 1</a:t>
                </a:r>
                <a:endParaRPr lang="en-US" sz="1050"/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944896"/>
        <c:crosses val="autoZero"/>
        <c:crossBetween val="midCat"/>
      </c:valAx>
      <c:valAx>
        <c:axId val="989448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Pore Fraction Lipid Species 1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90956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800783522749358"/>
          <c:y val="5.7060002916302206E-2"/>
          <c:w val="0.76391347633270079"/>
          <c:h val="0.71158938466025057"/>
        </c:manualLayout>
      </c:layout>
      <c:scatterChart>
        <c:scatterStyle val="smoothMarker"/>
        <c:ser>
          <c:idx val="1"/>
          <c:order val="1"/>
          <c:marker>
            <c:symbol val="none"/>
          </c:marker>
          <c:xVal>
            <c:numRef>
              <c:f>line_tension!$J$8:$J$18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0.99999899999999997</c:v>
                </c:pt>
              </c:numCache>
            </c:numRef>
          </c:xVal>
          <c:yVal>
            <c:numRef>
              <c:f>line_tension!$AA$8:$AA$18</c:f>
              <c:numCache>
                <c:formatCode>General</c:formatCode>
                <c:ptCount val="11"/>
                <c:pt idx="0">
                  <c:v>4.5083205258795802</c:v>
                </c:pt>
                <c:pt idx="1">
                  <c:v>4.1780934313038784</c:v>
                </c:pt>
                <c:pt idx="2">
                  <c:v>3.8924980043153012</c:v>
                </c:pt>
                <c:pt idx="3">
                  <c:v>3.6408958861639085</c:v>
                </c:pt>
                <c:pt idx="4">
                  <c:v>3.4160488300021714</c:v>
                </c:pt>
                <c:pt idx="5">
                  <c:v>3.2128096138718609</c:v>
                </c:pt>
                <c:pt idx="6">
                  <c:v>3.0273868970682352</c:v>
                </c:pt>
                <c:pt idx="7">
                  <c:v>2.8569072030987659</c:v>
                </c:pt>
                <c:pt idx="8">
                  <c:v>2.6991406368973467</c:v>
                </c:pt>
                <c:pt idx="9">
                  <c:v>2.5523219720058496</c:v>
                </c:pt>
                <c:pt idx="10">
                  <c:v>2.4150312185397174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line_tension!$J$8:$J$18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0.99999899999999997</c:v>
                </c:pt>
              </c:numCache>
            </c:numRef>
          </c:xVal>
          <c:yVal>
            <c:numRef>
              <c:f>line_tension!$AA$8:$AA$18</c:f>
              <c:numCache>
                <c:formatCode>General</c:formatCode>
                <c:ptCount val="11"/>
                <c:pt idx="0">
                  <c:v>4.5083205258795802</c:v>
                </c:pt>
                <c:pt idx="1">
                  <c:v>4.1780934313038784</c:v>
                </c:pt>
                <c:pt idx="2">
                  <c:v>3.8924980043153012</c:v>
                </c:pt>
                <c:pt idx="3">
                  <c:v>3.6408958861639085</c:v>
                </c:pt>
                <c:pt idx="4">
                  <c:v>3.4160488300021714</c:v>
                </c:pt>
                <c:pt idx="5">
                  <c:v>3.2128096138718609</c:v>
                </c:pt>
                <c:pt idx="6">
                  <c:v>3.0273868970682352</c:v>
                </c:pt>
                <c:pt idx="7">
                  <c:v>2.8569072030987659</c:v>
                </c:pt>
                <c:pt idx="8">
                  <c:v>2.6991406368973467</c:v>
                </c:pt>
                <c:pt idx="9">
                  <c:v>2.5523219720058496</c:v>
                </c:pt>
                <c:pt idx="10">
                  <c:v>2.4150312185397174</c:v>
                </c:pt>
              </c:numCache>
            </c:numRef>
          </c:yVal>
          <c:smooth val="1"/>
        </c:ser>
        <c:axId val="98649984"/>
        <c:axId val="98656256"/>
      </c:scatterChart>
      <c:valAx>
        <c:axId val="9864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Bulk Fraction Lipid Species</a:t>
                </a:r>
                <a:r>
                  <a:rPr lang="en-US" sz="1050" baseline="0"/>
                  <a:t> 1</a:t>
                </a:r>
                <a:endParaRPr lang="en-US" sz="1050"/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656256"/>
        <c:crosses val="autoZero"/>
        <c:crossBetween val="midCat"/>
      </c:valAx>
      <c:valAx>
        <c:axId val="986562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Line Tension (kT/nm)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64998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800783522749369"/>
          <c:y val="5.7060002916302234E-2"/>
          <c:w val="0.76391347633270101"/>
          <c:h val="0.7115893846602505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line_tension!$J$8:$J$18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0.99999899999999997</c:v>
                </c:pt>
              </c:numCache>
            </c:numRef>
          </c:xVal>
          <c:yVal>
            <c:numRef>
              <c:f>line_tension!$AB$8:$AB$18</c:f>
              <c:numCache>
                <c:formatCode>General</c:formatCode>
                <c:ptCount val="11"/>
                <c:pt idx="0">
                  <c:v>268.67963144179618</c:v>
                </c:pt>
                <c:pt idx="1">
                  <c:v>230.76049843593839</c:v>
                </c:pt>
                <c:pt idx="2">
                  <c:v>200.29124700120258</c:v>
                </c:pt>
                <c:pt idx="3">
                  <c:v>175.23533923008014</c:v>
                </c:pt>
                <c:pt idx="4">
                  <c:v>154.25999511875347</c:v>
                </c:pt>
                <c:pt idx="5">
                  <c:v>136.45050731364213</c:v>
                </c:pt>
                <c:pt idx="6">
                  <c:v>121.15491217528491</c:v>
                </c:pt>
                <c:pt idx="7">
                  <c:v>107.89403656628113</c:v>
                </c:pt>
                <c:pt idx="8">
                  <c:v>96.30663326172089</c:v>
                </c:pt>
                <c:pt idx="9">
                  <c:v>86.114461794963177</c:v>
                </c:pt>
                <c:pt idx="10">
                  <c:v>77.099341997184084</c:v>
                </c:pt>
              </c:numCache>
            </c:numRef>
          </c:yVal>
          <c:smooth val="1"/>
        </c:ser>
        <c:axId val="98952320"/>
        <c:axId val="98686080"/>
      </c:scatterChart>
      <c:valAx>
        <c:axId val="9895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Bulk Fraction Lipid Species</a:t>
                </a:r>
                <a:r>
                  <a:rPr lang="en-US" sz="1050" baseline="0"/>
                  <a:t> 1</a:t>
                </a:r>
                <a:endParaRPr lang="en-US" sz="1050"/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686080"/>
        <c:crosses val="autoZero"/>
        <c:crossBetween val="midCat"/>
      </c:valAx>
      <c:valAx>
        <c:axId val="986860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Critical</a:t>
                </a:r>
                <a:r>
                  <a:rPr lang="en-US" sz="1050" baseline="0"/>
                  <a:t> Tension (mN/m)</a:t>
                </a:r>
                <a:endParaRPr lang="en-US" sz="1050"/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9523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572961961844322"/>
          <c:y val="5.1400554097404488E-2"/>
          <c:w val="0.75704411015787298"/>
          <c:h val="0.7882207683282465"/>
        </c:manualLayout>
      </c:layout>
      <c:scatterChart>
        <c:scatterStyle val="smoothMarker"/>
        <c:ser>
          <c:idx val="0"/>
          <c:order val="0"/>
          <c:tx>
            <c:v>Dead-end Hemifusion</c:v>
          </c:tx>
          <c:xVal>
            <c:numRef>
              <c:f>outcome_predictions!$N$3:$N$6</c:f>
              <c:numCache>
                <c:formatCode>General</c:formatCode>
                <c:ptCount val="4"/>
                <c:pt idx="0">
                  <c:v>0.09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outcome_predictions!$O$3:$O$6</c:f>
              <c:numCache>
                <c:formatCode>General</c:formatCode>
                <c:ptCount val="4"/>
                <c:pt idx="0">
                  <c:v>0.999</c:v>
                </c:pt>
                <c:pt idx="1">
                  <c:v>0.94</c:v>
                </c:pt>
                <c:pt idx="2">
                  <c:v>0.44</c:v>
                </c:pt>
                <c:pt idx="3">
                  <c:v>0.17</c:v>
                </c:pt>
              </c:numCache>
            </c:numRef>
          </c:yVal>
          <c:smooth val="1"/>
        </c:ser>
        <c:ser>
          <c:idx val="1"/>
          <c:order val="1"/>
          <c:tx>
            <c:v>Fusion</c:v>
          </c:tx>
          <c:xVal>
            <c:numRef>
              <c:f>outcome_predictions!$N$3:$N$6</c:f>
              <c:numCache>
                <c:formatCode>General</c:formatCode>
                <c:ptCount val="4"/>
                <c:pt idx="0">
                  <c:v>0.09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outcome_predictions!$P$3:$P$6</c:f>
              <c:numCache>
                <c:formatCode>General</c:formatCode>
                <c:ptCount val="4"/>
                <c:pt idx="0">
                  <c:v>1E-3</c:v>
                </c:pt>
                <c:pt idx="1">
                  <c:v>0.06</c:v>
                </c:pt>
                <c:pt idx="2">
                  <c:v>0.56000000000000005</c:v>
                </c:pt>
                <c:pt idx="3">
                  <c:v>0.55000000000000004</c:v>
                </c:pt>
              </c:numCache>
            </c:numRef>
          </c:yVal>
          <c:smooth val="1"/>
        </c:ser>
        <c:ser>
          <c:idx val="2"/>
          <c:order val="2"/>
          <c:tx>
            <c:v>Lysis</c:v>
          </c:tx>
          <c:xVal>
            <c:numRef>
              <c:f>outcome_predictions!$N$3:$N$6</c:f>
              <c:numCache>
                <c:formatCode>General</c:formatCode>
                <c:ptCount val="4"/>
                <c:pt idx="0">
                  <c:v>0.09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outcome_predictions!$Q$3:$Q$6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1.4E-3</c:v>
                </c:pt>
                <c:pt idx="3" formatCode="General">
                  <c:v>0.28000000000000003</c:v>
                </c:pt>
              </c:numCache>
            </c:numRef>
          </c:yVal>
          <c:smooth val="1"/>
        </c:ser>
        <c:axId val="98851072"/>
        <c:axId val="98857344"/>
      </c:scatterChart>
      <c:valAx>
        <c:axId val="98851072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DOPS</a:t>
                </a:r>
                <a:r>
                  <a:rPr lang="en-US" sz="1200" baseline="0"/>
                  <a:t> Fraction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7720327910553034"/>
              <c:y val="0.9307335392908157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8857344"/>
        <c:crosses val="autoZero"/>
        <c:crossBetween val="midCat"/>
        <c:minorUnit val="0.1"/>
      </c:valAx>
      <c:valAx>
        <c:axId val="98857344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en-US" sz="1400" b="1"/>
                  <a:t>Outcome Probability</a:t>
                </a:r>
              </a:p>
            </c:rich>
          </c:tx>
          <c:layout>
            <c:manualLayout>
              <c:xMode val="edge"/>
              <c:yMode val="edge"/>
              <c:x val="4.3110062784002215E-2"/>
              <c:y val="0.21478466291326506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8851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963000219686197"/>
          <c:y val="3.6461067366579218E-2"/>
          <c:w val="0.49449489518656004"/>
          <c:h val="0.23841426071741056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21</xdr:row>
      <xdr:rowOff>38100</xdr:rowOff>
    </xdr:from>
    <xdr:to>
      <xdr:col>17</xdr:col>
      <xdr:colOff>19050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24</xdr:col>
      <xdr:colOff>514350</xdr:colOff>
      <xdr:row>33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21</xdr:row>
      <xdr:rowOff>0</xdr:rowOff>
    </xdr:from>
    <xdr:to>
      <xdr:col>33</xdr:col>
      <xdr:colOff>371475</xdr:colOff>
      <xdr:row>33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10</xdr:row>
      <xdr:rowOff>171449</xdr:rowOff>
    </xdr:from>
    <xdr:to>
      <xdr:col>11</xdr:col>
      <xdr:colOff>85725</xdr:colOff>
      <xdr:row>28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M34"/>
  <sheetViews>
    <sheetView tabSelected="1" workbookViewId="0">
      <selection activeCell="B15" sqref="B15"/>
    </sheetView>
  </sheetViews>
  <sheetFormatPr defaultRowHeight="15"/>
  <cols>
    <col min="2" max="2" width="31" bestFit="1" customWidth="1"/>
    <col min="3" max="3" width="3" customWidth="1"/>
    <col min="4" max="4" width="1.85546875" customWidth="1"/>
    <col min="6" max="6" width="6.42578125" customWidth="1"/>
    <col min="9" max="9" width="2.28515625" customWidth="1"/>
    <col min="10" max="10" width="8.85546875" customWidth="1"/>
    <col min="11" max="11" width="6.42578125" customWidth="1"/>
    <col min="13" max="13" width="6.42578125" customWidth="1"/>
    <col min="14" max="14" width="2.140625" customWidth="1"/>
    <col min="18" max="18" width="3.85546875" customWidth="1"/>
    <col min="23" max="23" width="2" customWidth="1"/>
    <col min="26" max="26" width="1.7109375" customWidth="1"/>
    <col min="27" max="27" width="13.5703125" customWidth="1"/>
  </cols>
  <sheetData>
    <row r="1" spans="2:39">
      <c r="B1" t="s">
        <v>0</v>
      </c>
    </row>
    <row r="2" spans="2:39">
      <c r="B2">
        <v>11</v>
      </c>
      <c r="AD2">
        <f>(AA19-AA13)/AA19</f>
        <v>0.12927719767251375</v>
      </c>
    </row>
    <row r="3" spans="2:39">
      <c r="B3" t="s">
        <v>1</v>
      </c>
    </row>
    <row r="4" spans="2:39">
      <c r="B4">
        <f>1/0.6</f>
        <v>1.6666666666666667</v>
      </c>
    </row>
    <row r="5" spans="2:39">
      <c r="B5" t="s">
        <v>8</v>
      </c>
      <c r="E5" s="1" t="s">
        <v>16</v>
      </c>
      <c r="J5" s="1" t="s">
        <v>12</v>
      </c>
      <c r="S5" s="1" t="s">
        <v>11</v>
      </c>
      <c r="X5" s="1" t="s">
        <v>13</v>
      </c>
      <c r="AA5" s="1" t="s">
        <v>14</v>
      </c>
      <c r="AB5" s="1" t="s">
        <v>19</v>
      </c>
    </row>
    <row r="6" spans="2:39">
      <c r="B6">
        <v>1.9</v>
      </c>
      <c r="E6" t="s">
        <v>3</v>
      </c>
      <c r="G6" t="s">
        <v>5</v>
      </c>
      <c r="J6" t="s">
        <v>3</v>
      </c>
      <c r="L6" t="s">
        <v>5</v>
      </c>
      <c r="O6" t="s">
        <v>9</v>
      </c>
      <c r="Q6" t="s">
        <v>3</v>
      </c>
      <c r="S6" t="s">
        <v>3</v>
      </c>
      <c r="U6" t="s">
        <v>5</v>
      </c>
      <c r="X6" s="1" t="s">
        <v>35</v>
      </c>
      <c r="AA6" s="1" t="s">
        <v>15</v>
      </c>
      <c r="AB6" s="1" t="s">
        <v>20</v>
      </c>
    </row>
    <row r="7" spans="2:39">
      <c r="B7" t="s">
        <v>2</v>
      </c>
      <c r="E7" t="s">
        <v>6</v>
      </c>
      <c r="F7" t="s">
        <v>7</v>
      </c>
      <c r="G7" t="s">
        <v>6</v>
      </c>
      <c r="H7" t="s">
        <v>7</v>
      </c>
      <c r="J7" t="s">
        <v>6</v>
      </c>
      <c r="K7" t="s">
        <v>7</v>
      </c>
      <c r="L7" t="s">
        <v>6</v>
      </c>
      <c r="M7" t="s">
        <v>7</v>
      </c>
      <c r="O7" t="s">
        <v>6</v>
      </c>
      <c r="P7" t="s">
        <v>7</v>
      </c>
      <c r="Q7" t="s">
        <v>10</v>
      </c>
      <c r="S7" t="s">
        <v>6</v>
      </c>
      <c r="T7" t="s">
        <v>7</v>
      </c>
      <c r="U7" t="s">
        <v>6</v>
      </c>
      <c r="V7" t="s">
        <v>7</v>
      </c>
      <c r="X7" t="s">
        <v>6</v>
      </c>
      <c r="Y7" t="s">
        <v>7</v>
      </c>
      <c r="AG7" t="s">
        <v>36</v>
      </c>
    </row>
    <row r="8" spans="2:39">
      <c r="B8">
        <v>1.27</v>
      </c>
      <c r="E8">
        <f>1/$B$4*$B$2/2*$B$14^2</f>
        <v>1.4071496999999999E-2</v>
      </c>
      <c r="F8">
        <f>1/$B$4*$B$2/2*(1/$B$6^2-2*$B$14/$B$6+$B$14^2)</f>
        <v>1.1550304997700831</v>
      </c>
      <c r="G8">
        <f>1/$B$4*$B$2/2*$B$19^2</f>
        <v>0.40424999999999994</v>
      </c>
      <c r="H8">
        <f>1/$B$4*$B$2/2*(1/$B$6^2-2*$B$19/$B$6+$B$19^2)</f>
        <v>2.5341668975069251</v>
      </c>
      <c r="J8">
        <v>9.9999999999999995E-7</v>
      </c>
      <c r="K8">
        <f>Q8</f>
        <v>2.6884268443274489E-6</v>
      </c>
      <c r="L8">
        <f>1-J8</f>
        <v>0.99999899999999997</v>
      </c>
      <c r="M8">
        <f>1-K8</f>
        <v>0.99999731157315563</v>
      </c>
      <c r="O8">
        <f>J8/L8</f>
        <v>1.0000010000009999E-6</v>
      </c>
      <c r="P8">
        <f>O8*EXP(H8-G8-F8+E8)</f>
        <v>2.6884340719857774E-6</v>
      </c>
      <c r="Q8">
        <f>(1/P8+1)^(-1)</f>
        <v>2.6884268443274489E-6</v>
      </c>
      <c r="S8">
        <f>E8+LN(J8)-1</f>
        <v>-14.801439060964274</v>
      </c>
      <c r="T8">
        <f>F8+LN(K8)-1</f>
        <v>-12.671523851887308</v>
      </c>
      <c r="U8">
        <f>G8+LN(L8)-1</f>
        <v>-0.59575100000050007</v>
      </c>
      <c r="V8">
        <f>H8+LN(M8)-1</f>
        <v>1.5341642090764669</v>
      </c>
      <c r="X8">
        <f>J8*S8+L8*U8</f>
        <v>-0.59576520568856106</v>
      </c>
      <c r="Y8">
        <f>K8*T8+M8*V8</f>
        <v>1.5341260181233416</v>
      </c>
      <c r="AA8">
        <f>(K8*(T8-S8)+M8*(V8-U8))*$B$8*$B$4</f>
        <v>4.5083205258795802</v>
      </c>
      <c r="AB8">
        <f>$B$25/$B$23^2*AA8^2</f>
        <v>268.67963144179618</v>
      </c>
      <c r="AD8">
        <f>$B$8*$B$4*(T8-S8)</f>
        <v>4.5083205258795784</v>
      </c>
      <c r="AE8">
        <f>$B$8*$B$4*(V8-U8)</f>
        <v>4.5083205258795802</v>
      </c>
      <c r="AG8">
        <f>F8-E8-LN(J8+(1-J8)*EXP(F8-E8-H8+G8))</f>
        <v>2.1299152090769673</v>
      </c>
      <c r="AH8">
        <f>T8-S8</f>
        <v>2.129915209076966</v>
      </c>
      <c r="AI8">
        <f>AH8*$B$4*$B$8</f>
        <v>4.5083205258795784</v>
      </c>
      <c r="AL8">
        <f>2.1-LN(J8+(1-J8)*EXP(1.4))</f>
        <v>0.70000075340331991</v>
      </c>
      <c r="AM8">
        <f>AL8*$B$4*$B$8</f>
        <v>1.4816682613703605</v>
      </c>
    </row>
    <row r="9" spans="2:39">
      <c r="E9">
        <f t="shared" ref="E9:E19" si="0">1/$B$4*$B$2/2*$B$14^2</f>
        <v>1.4071496999999999E-2</v>
      </c>
      <c r="F9">
        <f t="shared" ref="F9:F19" si="1">1/$B$4*$B$2/2*(1/$B$6^2-2*$B$14/$B$6+$B$14^2)</f>
        <v>1.1550304997700831</v>
      </c>
      <c r="G9">
        <f t="shared" ref="G9:G19" si="2">1/$B$4*$B$2/2*$B$19^2</f>
        <v>0.40424999999999994</v>
      </c>
      <c r="H9">
        <f t="shared" ref="H9:H19" si="3">1/$B$4*$B$2/2*(1/$B$6^2-2*$B$19/$B$6+$B$19^2)</f>
        <v>2.5341668975069251</v>
      </c>
      <c r="J9">
        <v>0.1</v>
      </c>
      <c r="K9">
        <f t="shared" ref="K9:K18" si="4">Q9</f>
        <v>0.23000788517567405</v>
      </c>
      <c r="L9">
        <f t="shared" ref="L9:L18" si="5">1-J9</f>
        <v>0.9</v>
      </c>
      <c r="M9">
        <f t="shared" ref="M9:M18" si="6">1-K9</f>
        <v>0.76999211482432595</v>
      </c>
      <c r="O9">
        <f t="shared" ref="O9:O18" si="7">J9/L9</f>
        <v>0.11111111111111112</v>
      </c>
      <c r="P9">
        <f t="shared" ref="P9:P18" si="8">O9*EXP(H9-G9-F9+E9)</f>
        <v>0.29871459817241175</v>
      </c>
      <c r="Q9">
        <f t="shared" ref="Q9:Q19" si="9">(1/P9+1)^(-1)</f>
        <v>0.23000788517567405</v>
      </c>
      <c r="S9">
        <f t="shared" ref="S9:S18" si="10">E9+LN(J9)-1</f>
        <v>-3.2885135959940452</v>
      </c>
      <c r="T9">
        <f t="shared" ref="T9:T18" si="11">F9+LN(K9)-1</f>
        <v>-1.3146111875040241</v>
      </c>
      <c r="U9">
        <f t="shared" ref="U9:U18" si="12">G9+LN(L9)-1</f>
        <v>-0.70111051565782634</v>
      </c>
      <c r="V9">
        <f t="shared" ref="V9:V18" si="13">H9+LN(M9)-1</f>
        <v>1.2727918928321951</v>
      </c>
      <c r="X9">
        <f t="shared" ref="X9:X18" si="14">J9*S9+L9*U9</f>
        <v>-0.95985082369144825</v>
      </c>
      <c r="Y9">
        <f t="shared" ref="Y9:Y18" si="15">K9*T9+M9*V9</f>
        <v>0.67766878222703664</v>
      </c>
      <c r="AA9">
        <f t="shared" ref="AA9:AA19" si="16">(K9*(T9-S9)+M9*(V9-U9))*$B$8*$B$4</f>
        <v>4.1780934313038784</v>
      </c>
      <c r="AB9">
        <f t="shared" ref="AB9:AB19" si="17">$B$25/$B$23^2*AA9^2</f>
        <v>230.76049843593839</v>
      </c>
      <c r="AD9">
        <f t="shared" ref="AD9:AD19" si="18">$B$8*$B$4*(T9-S9)</f>
        <v>4.1780934313038784</v>
      </c>
      <c r="AE9">
        <f t="shared" ref="AE9:AE19" si="19">$B$8*$B$4*(V9-U9)</f>
        <v>4.1780934313038784</v>
      </c>
      <c r="AG9">
        <f t="shared" ref="AG9:AG19" si="20">F9-E9-LN(J9+(1-J9)*EXP(F9-E9-H9+G9))</f>
        <v>1.9739024084900214</v>
      </c>
      <c r="AH9">
        <f t="shared" ref="AH9:AH19" si="21">T9-S9</f>
        <v>1.9739024084900212</v>
      </c>
      <c r="AI9">
        <f t="shared" ref="AI9:AI19" si="22">AH9*$B$4*$B$8</f>
        <v>4.1780934313038784</v>
      </c>
      <c r="AL9">
        <f t="shared" ref="AL9:AL19" si="23">2.1-LN(J9+(1-J9)*EXP(1.4))</f>
        <v>0.77832950495006714</v>
      </c>
      <c r="AM9">
        <f t="shared" ref="AM9:AM19" si="24">AL9*$B$4*$B$8</f>
        <v>1.6474641188109758</v>
      </c>
    </row>
    <row r="10" spans="2:39">
      <c r="E10">
        <f t="shared" si="0"/>
        <v>1.4071496999999999E-2</v>
      </c>
      <c r="F10">
        <f t="shared" si="1"/>
        <v>1.1550304997700831</v>
      </c>
      <c r="G10">
        <f t="shared" si="2"/>
        <v>0.40424999999999994</v>
      </c>
      <c r="H10">
        <f t="shared" si="3"/>
        <v>2.5341668975069251</v>
      </c>
      <c r="J10">
        <v>0.2</v>
      </c>
      <c r="K10">
        <f t="shared" si="4"/>
        <v>0.40195245034032012</v>
      </c>
      <c r="L10">
        <f t="shared" si="5"/>
        <v>0.8</v>
      </c>
      <c r="M10">
        <f t="shared" si="6"/>
        <v>0.59804754965967988</v>
      </c>
      <c r="O10">
        <f t="shared" si="7"/>
        <v>0.25</v>
      </c>
      <c r="P10">
        <f t="shared" si="8"/>
        <v>0.67210784588792638</v>
      </c>
      <c r="Q10">
        <f t="shared" si="9"/>
        <v>0.40195245034032012</v>
      </c>
      <c r="S10">
        <f t="shared" si="10"/>
        <v>-2.5953664154341003</v>
      </c>
      <c r="T10">
        <f t="shared" si="11"/>
        <v>-0.75639098032450947</v>
      </c>
      <c r="U10">
        <f t="shared" si="12"/>
        <v>-0.81889355131420971</v>
      </c>
      <c r="V10">
        <f t="shared" si="13"/>
        <v>1.0200818837953811</v>
      </c>
      <c r="X10">
        <f t="shared" si="14"/>
        <v>-1.174188124138188</v>
      </c>
      <c r="Y10">
        <f t="shared" si="15"/>
        <v>0.30602426309930458</v>
      </c>
      <c r="AA10">
        <f t="shared" si="16"/>
        <v>3.8924980043153012</v>
      </c>
      <c r="AB10">
        <f>$B$25/$B$23^2*AA10^2</f>
        <v>200.29124700120258</v>
      </c>
      <c r="AD10">
        <f t="shared" si="18"/>
        <v>3.8924980043153008</v>
      </c>
      <c r="AE10">
        <f t="shared" si="19"/>
        <v>3.8924980043153008</v>
      </c>
      <c r="AG10">
        <f t="shared" si="20"/>
        <v>1.8389754351095911</v>
      </c>
      <c r="AH10">
        <f t="shared" si="21"/>
        <v>1.8389754351095908</v>
      </c>
      <c r="AI10">
        <f t="shared" si="22"/>
        <v>3.8924980043153008</v>
      </c>
      <c r="AL10">
        <f t="shared" si="23"/>
        <v>0.86331996460743143</v>
      </c>
      <c r="AM10">
        <f t="shared" si="24"/>
        <v>1.8273605917523965</v>
      </c>
    </row>
    <row r="11" spans="2:39">
      <c r="B11" t="s">
        <v>3</v>
      </c>
      <c r="E11">
        <f t="shared" si="0"/>
        <v>1.4071496999999999E-2</v>
      </c>
      <c r="F11">
        <f t="shared" si="1"/>
        <v>1.1550304997700831</v>
      </c>
      <c r="G11">
        <f t="shared" si="2"/>
        <v>0.40424999999999994</v>
      </c>
      <c r="H11">
        <f t="shared" si="3"/>
        <v>2.5341668975069251</v>
      </c>
      <c r="J11">
        <v>0.3</v>
      </c>
      <c r="K11">
        <f t="shared" si="4"/>
        <v>0.53535590277899725</v>
      </c>
      <c r="L11">
        <f t="shared" si="5"/>
        <v>0.7</v>
      </c>
      <c r="M11">
        <f t="shared" si="6"/>
        <v>0.46464409722100275</v>
      </c>
      <c r="O11">
        <f t="shared" si="7"/>
        <v>0.4285714285714286</v>
      </c>
      <c r="P11">
        <f t="shared" si="8"/>
        <v>1.1521848786650168</v>
      </c>
      <c r="Q11">
        <f t="shared" si="9"/>
        <v>0.53535590277899725</v>
      </c>
      <c r="S11">
        <f t="shared" si="10"/>
        <v>-2.1899013073259361</v>
      </c>
      <c r="T11">
        <f t="shared" si="11"/>
        <v>-0.46979301465007361</v>
      </c>
      <c r="U11">
        <f t="shared" si="12"/>
        <v>-0.95242494393873245</v>
      </c>
      <c r="V11">
        <f t="shared" si="13"/>
        <v>0.76768334873712996</v>
      </c>
      <c r="X11">
        <f t="shared" si="14"/>
        <v>-1.3236678529548935</v>
      </c>
      <c r="Y11">
        <f t="shared" si="15"/>
        <v>0.10519307304830311</v>
      </c>
      <c r="AA11">
        <f t="shared" si="16"/>
        <v>3.6408958861639085</v>
      </c>
      <c r="AB11">
        <f t="shared" si="17"/>
        <v>175.23533923008014</v>
      </c>
      <c r="AD11">
        <f t="shared" si="18"/>
        <v>3.6408958861639089</v>
      </c>
      <c r="AE11">
        <f t="shared" si="19"/>
        <v>3.6408958861639089</v>
      </c>
      <c r="AG11">
        <f t="shared" si="20"/>
        <v>1.7201082926758624</v>
      </c>
      <c r="AH11">
        <f t="shared" si="21"/>
        <v>1.7201082926758624</v>
      </c>
      <c r="AI11">
        <f t="shared" si="22"/>
        <v>3.6408958861639089</v>
      </c>
      <c r="AL11">
        <f t="shared" si="23"/>
        <v>0.95621042231746478</v>
      </c>
      <c r="AM11">
        <f t="shared" si="24"/>
        <v>2.0239787272386338</v>
      </c>
    </row>
    <row r="12" spans="2:39">
      <c r="B12" t="s">
        <v>63</v>
      </c>
      <c r="E12">
        <f t="shared" si="0"/>
        <v>1.4071496999999999E-2</v>
      </c>
      <c r="F12">
        <f t="shared" si="1"/>
        <v>1.1550304997700831</v>
      </c>
      <c r="G12">
        <f t="shared" si="2"/>
        <v>0.40424999999999994</v>
      </c>
      <c r="H12">
        <f t="shared" si="3"/>
        <v>2.5341668975069251</v>
      </c>
      <c r="J12">
        <v>0.4</v>
      </c>
      <c r="K12">
        <f t="shared" si="4"/>
        <v>0.64187069987809375</v>
      </c>
      <c r="L12">
        <f t="shared" si="5"/>
        <v>0.6</v>
      </c>
      <c r="M12">
        <f t="shared" si="6"/>
        <v>0.35812930012190625</v>
      </c>
      <c r="O12">
        <f t="shared" si="7"/>
        <v>0.66666666666666674</v>
      </c>
      <c r="P12">
        <f t="shared" si="8"/>
        <v>1.7922875890344705</v>
      </c>
      <c r="Q12">
        <f t="shared" si="9"/>
        <v>0.64187069987809375</v>
      </c>
      <c r="S12">
        <f t="shared" si="10"/>
        <v>-1.9022192348741549</v>
      </c>
      <c r="T12">
        <f t="shared" si="11"/>
        <v>-0.2883378978652551</v>
      </c>
      <c r="U12">
        <f t="shared" si="12"/>
        <v>-1.1065756237659907</v>
      </c>
      <c r="V12">
        <f t="shared" si="13"/>
        <v>0.50730571324290907</v>
      </c>
      <c r="X12">
        <f t="shared" si="14"/>
        <v>-1.4248330682092565</v>
      </c>
      <c r="Y12">
        <f t="shared" si="15"/>
        <v>-3.3946082726221127E-3</v>
      </c>
      <c r="AA12">
        <f t="shared" si="16"/>
        <v>3.4160488300021714</v>
      </c>
      <c r="AB12">
        <f t="shared" si="17"/>
        <v>154.25999511875347</v>
      </c>
      <c r="AD12">
        <f t="shared" si="18"/>
        <v>3.4160488300021714</v>
      </c>
      <c r="AE12">
        <f t="shared" si="19"/>
        <v>3.4160488300021714</v>
      </c>
      <c r="AG12">
        <f t="shared" si="20"/>
        <v>1.6138813370088998</v>
      </c>
      <c r="AH12">
        <f t="shared" si="21"/>
        <v>1.6138813370088998</v>
      </c>
      <c r="AI12">
        <f t="shared" si="22"/>
        <v>3.4160488300021714</v>
      </c>
      <c r="AL12">
        <f t="shared" si="23"/>
        <v>1.0586214291458869</v>
      </c>
      <c r="AM12">
        <f t="shared" si="24"/>
        <v>2.2407486916921275</v>
      </c>
    </row>
    <row r="13" spans="2:39">
      <c r="B13" t="s">
        <v>4</v>
      </c>
      <c r="E13">
        <f t="shared" si="0"/>
        <v>1.4071496999999999E-2</v>
      </c>
      <c r="F13">
        <f t="shared" si="1"/>
        <v>1.1550304997700831</v>
      </c>
      <c r="G13">
        <f t="shared" si="2"/>
        <v>0.40424999999999994</v>
      </c>
      <c r="H13">
        <f t="shared" si="3"/>
        <v>2.5341668975069251</v>
      </c>
      <c r="J13">
        <v>0.5</v>
      </c>
      <c r="K13">
        <f t="shared" si="4"/>
        <v>0.72888203791470063</v>
      </c>
      <c r="L13">
        <f t="shared" si="5"/>
        <v>0.5</v>
      </c>
      <c r="M13">
        <f t="shared" si="6"/>
        <v>0.27111796208529937</v>
      </c>
      <c r="O13">
        <f t="shared" si="7"/>
        <v>1</v>
      </c>
      <c r="P13">
        <f t="shared" si="8"/>
        <v>2.6884313835517055</v>
      </c>
      <c r="Q13">
        <f t="shared" si="9"/>
        <v>0.72888203791470063</v>
      </c>
      <c r="S13">
        <f t="shared" si="10"/>
        <v>-1.6790756835599452</v>
      </c>
      <c r="T13">
        <f t="shared" si="11"/>
        <v>-0.1612128738567038</v>
      </c>
      <c r="U13">
        <f t="shared" si="12"/>
        <v>-1.2888971805599454</v>
      </c>
      <c r="V13">
        <f t="shared" si="13"/>
        <v>0.22896562914329555</v>
      </c>
      <c r="X13">
        <f t="shared" si="14"/>
        <v>-1.4839864320599454</v>
      </c>
      <c r="Y13">
        <f t="shared" si="15"/>
        <v>-5.5428473273851107E-2</v>
      </c>
      <c r="AA13">
        <f t="shared" si="16"/>
        <v>3.2128096138718609</v>
      </c>
      <c r="AB13">
        <f t="shared" si="17"/>
        <v>136.45050731364213</v>
      </c>
      <c r="AD13">
        <f t="shared" si="18"/>
        <v>3.2128096138718609</v>
      </c>
      <c r="AE13">
        <f t="shared" si="19"/>
        <v>3.21280961387186</v>
      </c>
      <c r="AG13">
        <f t="shared" si="20"/>
        <v>1.5178628097032414</v>
      </c>
      <c r="AH13">
        <f t="shared" si="21"/>
        <v>1.5178628097032414</v>
      </c>
      <c r="AI13">
        <f t="shared" si="22"/>
        <v>3.2128096138718614</v>
      </c>
      <c r="AL13">
        <f t="shared" si="23"/>
        <v>1.1727297706414945</v>
      </c>
      <c r="AM13">
        <f t="shared" si="24"/>
        <v>2.4822780145244971</v>
      </c>
    </row>
    <row r="14" spans="2:39">
      <c r="B14">
        <v>-6.5299999999999997E-2</v>
      </c>
      <c r="E14">
        <f t="shared" si="0"/>
        <v>1.4071496999999999E-2</v>
      </c>
      <c r="F14">
        <f t="shared" si="1"/>
        <v>1.1550304997700831</v>
      </c>
      <c r="G14">
        <f t="shared" si="2"/>
        <v>0.40424999999999994</v>
      </c>
      <c r="H14">
        <f t="shared" si="3"/>
        <v>2.5341668975069251</v>
      </c>
      <c r="J14">
        <v>0.6</v>
      </c>
      <c r="K14">
        <f t="shared" si="4"/>
        <v>0.80129741167377333</v>
      </c>
      <c r="L14">
        <f t="shared" si="5"/>
        <v>0.4</v>
      </c>
      <c r="M14">
        <f t="shared" si="6"/>
        <v>0.19870258832622667</v>
      </c>
      <c r="O14">
        <f t="shared" si="7"/>
        <v>1.4999999999999998</v>
      </c>
      <c r="P14">
        <f t="shared" si="8"/>
        <v>4.0326470753275574</v>
      </c>
      <c r="Q14">
        <f t="shared" si="9"/>
        <v>0.80129741167377333</v>
      </c>
      <c r="S14">
        <f t="shared" si="10"/>
        <v>-1.4967541267659907</v>
      </c>
      <c r="T14">
        <f t="shared" si="11"/>
        <v>-6.6492600592021445E-2</v>
      </c>
      <c r="U14">
        <f t="shared" si="12"/>
        <v>-1.5120407318741551</v>
      </c>
      <c r="V14">
        <f t="shared" si="13"/>
        <v>-8.1779205700185376E-2</v>
      </c>
      <c r="X14">
        <f t="shared" si="14"/>
        <v>-1.5028687688092566</v>
      </c>
      <c r="Y14">
        <f t="shared" si="15"/>
        <v>-6.9530088593734538E-2</v>
      </c>
      <c r="AA14">
        <f t="shared" si="16"/>
        <v>3.0273868970682352</v>
      </c>
      <c r="AB14">
        <f t="shared" si="17"/>
        <v>121.15491217528491</v>
      </c>
      <c r="AD14">
        <f t="shared" si="18"/>
        <v>3.0273868970682352</v>
      </c>
      <c r="AE14">
        <f t="shared" si="19"/>
        <v>3.027386897068236</v>
      </c>
      <c r="AG14">
        <f t="shared" si="20"/>
        <v>1.4302615261739695</v>
      </c>
      <c r="AH14">
        <f t="shared" si="21"/>
        <v>1.4302615261739693</v>
      </c>
      <c r="AI14">
        <f t="shared" si="22"/>
        <v>3.0273868970682352</v>
      </c>
      <c r="AL14">
        <f t="shared" si="23"/>
        <v>1.3015563117986564</v>
      </c>
      <c r="AM14">
        <f t="shared" si="24"/>
        <v>2.7549608599738229</v>
      </c>
    </row>
    <row r="15" spans="2:39">
      <c r="E15">
        <f t="shared" si="0"/>
        <v>1.4071496999999999E-2</v>
      </c>
      <c r="F15">
        <f t="shared" si="1"/>
        <v>1.1550304997700831</v>
      </c>
      <c r="G15">
        <f t="shared" si="2"/>
        <v>0.40424999999999994</v>
      </c>
      <c r="H15">
        <f t="shared" si="3"/>
        <v>2.5341668975069251</v>
      </c>
      <c r="J15">
        <v>0.7</v>
      </c>
      <c r="K15">
        <f t="shared" si="4"/>
        <v>0.86250528010287253</v>
      </c>
      <c r="L15">
        <f t="shared" si="5"/>
        <v>0.30000000000000004</v>
      </c>
      <c r="M15">
        <f t="shared" si="6"/>
        <v>0.13749471989712747</v>
      </c>
      <c r="O15">
        <f t="shared" si="7"/>
        <v>2.333333333333333</v>
      </c>
      <c r="P15">
        <f t="shared" si="8"/>
        <v>6.2730065616206456</v>
      </c>
      <c r="Q15">
        <f t="shared" si="9"/>
        <v>0.86250528010287253</v>
      </c>
      <c r="S15">
        <f t="shared" si="10"/>
        <v>-1.3426034469387325</v>
      </c>
      <c r="T15">
        <f t="shared" si="11"/>
        <v>7.1164915331252132E-3</v>
      </c>
      <c r="U15">
        <f t="shared" si="12"/>
        <v>-1.7997228043259359</v>
      </c>
      <c r="V15">
        <f t="shared" si="13"/>
        <v>-0.45000286585407734</v>
      </c>
      <c r="X15">
        <f t="shared" si="14"/>
        <v>-1.4797392541548935</v>
      </c>
      <c r="Y15">
        <f t="shared" si="15"/>
        <v>-5.5735006470383111E-2</v>
      </c>
      <c r="AA15">
        <f t="shared" si="16"/>
        <v>2.8569072030987659</v>
      </c>
      <c r="AB15">
        <f t="shared" si="17"/>
        <v>107.89403656628113</v>
      </c>
      <c r="AD15">
        <f t="shared" si="18"/>
        <v>2.8569072030987654</v>
      </c>
      <c r="AE15">
        <f t="shared" si="19"/>
        <v>2.8569072030987672</v>
      </c>
      <c r="AG15">
        <f t="shared" si="20"/>
        <v>1.3497199384718579</v>
      </c>
      <c r="AH15">
        <f t="shared" si="21"/>
        <v>1.3497199384718577</v>
      </c>
      <c r="AI15">
        <f t="shared" si="22"/>
        <v>2.8569072030987654</v>
      </c>
      <c r="AL15">
        <f t="shared" si="23"/>
        <v>1.4494680927712214</v>
      </c>
      <c r="AM15">
        <f t="shared" si="24"/>
        <v>3.0680407963657523</v>
      </c>
    </row>
    <row r="16" spans="2:39">
      <c r="B16" t="s">
        <v>5</v>
      </c>
      <c r="E16">
        <f t="shared" si="0"/>
        <v>1.4071496999999999E-2</v>
      </c>
      <c r="F16">
        <f t="shared" si="1"/>
        <v>1.1550304997700831</v>
      </c>
      <c r="G16">
        <f t="shared" si="2"/>
        <v>0.40424999999999994</v>
      </c>
      <c r="H16">
        <f t="shared" si="3"/>
        <v>2.5341668975069251</v>
      </c>
      <c r="J16">
        <v>0.8</v>
      </c>
      <c r="K16">
        <f t="shared" si="4"/>
        <v>0.91492059287162153</v>
      </c>
      <c r="L16">
        <f t="shared" si="5"/>
        <v>0.19999999999999996</v>
      </c>
      <c r="M16">
        <f t="shared" si="6"/>
        <v>8.507940712837847E-2</v>
      </c>
      <c r="O16">
        <f t="shared" si="7"/>
        <v>4.0000000000000009</v>
      </c>
      <c r="P16">
        <f t="shared" si="8"/>
        <v>10.753725534206824</v>
      </c>
      <c r="Q16">
        <f t="shared" si="9"/>
        <v>0.91492059287162153</v>
      </c>
      <c r="S16">
        <f t="shared" si="10"/>
        <v>-1.2090720543142097</v>
      </c>
      <c r="T16">
        <f t="shared" si="11"/>
        <v>6.6112498550678467E-2</v>
      </c>
      <c r="U16">
        <f t="shared" si="12"/>
        <v>-2.2051879124341003</v>
      </c>
      <c r="V16">
        <f t="shared" si="13"/>
        <v>-0.93000335956921232</v>
      </c>
      <c r="X16">
        <f t="shared" si="14"/>
        <v>-1.4082952259381878</v>
      </c>
      <c r="Y16">
        <f t="shared" si="15"/>
        <v>-1.8636448089337808E-2</v>
      </c>
      <c r="AA16">
        <f t="shared" si="16"/>
        <v>2.6991406368973467</v>
      </c>
      <c r="AB16">
        <f t="shared" si="17"/>
        <v>96.30663326172089</v>
      </c>
      <c r="AD16">
        <f t="shared" si="18"/>
        <v>2.6991406368973467</v>
      </c>
      <c r="AE16">
        <f t="shared" si="19"/>
        <v>2.6991406368973463</v>
      </c>
      <c r="AG16">
        <f t="shared" si="20"/>
        <v>1.275184552864888</v>
      </c>
      <c r="AH16">
        <f t="shared" si="21"/>
        <v>1.2751845528648882</v>
      </c>
      <c r="AI16">
        <f t="shared" si="22"/>
        <v>2.6991406368973467</v>
      </c>
      <c r="AL16">
        <f t="shared" si="23"/>
        <v>1.6231200709308475</v>
      </c>
      <c r="AM16">
        <f t="shared" si="24"/>
        <v>3.4356041501369607</v>
      </c>
    </row>
    <row r="17" spans="2:39">
      <c r="B17" t="s">
        <v>62</v>
      </c>
      <c r="E17">
        <f t="shared" si="0"/>
        <v>1.4071496999999999E-2</v>
      </c>
      <c r="F17">
        <f t="shared" si="1"/>
        <v>1.1550304997700831</v>
      </c>
      <c r="G17">
        <f t="shared" si="2"/>
        <v>0.40424999999999994</v>
      </c>
      <c r="H17">
        <f t="shared" si="3"/>
        <v>2.5341668975069251</v>
      </c>
      <c r="J17">
        <v>0.9</v>
      </c>
      <c r="K17">
        <f t="shared" si="4"/>
        <v>0.96031097533867094</v>
      </c>
      <c r="L17">
        <f t="shared" si="5"/>
        <v>9.9999999999999978E-2</v>
      </c>
      <c r="M17">
        <f t="shared" si="6"/>
        <v>3.9689024661329064E-2</v>
      </c>
      <c r="O17">
        <f t="shared" si="7"/>
        <v>9.0000000000000018</v>
      </c>
      <c r="P17">
        <f t="shared" si="8"/>
        <v>24.195882451965353</v>
      </c>
      <c r="Q17">
        <f t="shared" si="9"/>
        <v>0.96031097533867094</v>
      </c>
      <c r="S17">
        <f t="shared" si="10"/>
        <v>-1.0912890186578263</v>
      </c>
      <c r="T17">
        <f t="shared" si="11"/>
        <v>0.11453238543942534</v>
      </c>
      <c r="U17">
        <f t="shared" si="12"/>
        <v>-2.8983350929940457</v>
      </c>
      <c r="V17">
        <f t="shared" si="13"/>
        <v>-1.6925136888967933</v>
      </c>
      <c r="X17">
        <f t="shared" si="14"/>
        <v>-1.2719936260914482</v>
      </c>
      <c r="Y17">
        <f t="shared" si="15"/>
        <v>4.2812489230937292E-2</v>
      </c>
      <c r="AA17">
        <f t="shared" si="16"/>
        <v>2.5523219720058496</v>
      </c>
      <c r="AB17">
        <f t="shared" si="17"/>
        <v>86.114461794963177</v>
      </c>
      <c r="AD17">
        <f t="shared" si="18"/>
        <v>2.5523219720058496</v>
      </c>
      <c r="AE17">
        <f t="shared" si="19"/>
        <v>2.552321972005851</v>
      </c>
      <c r="AG17">
        <f t="shared" si="20"/>
        <v>1.2058214040972517</v>
      </c>
      <c r="AH17">
        <f t="shared" si="21"/>
        <v>1.2058214040972517</v>
      </c>
      <c r="AI17">
        <f t="shared" si="22"/>
        <v>2.5523219720058496</v>
      </c>
      <c r="AL17">
        <f t="shared" si="23"/>
        <v>1.8333985736990841</v>
      </c>
      <c r="AM17">
        <f t="shared" si="24"/>
        <v>3.8806936476630618</v>
      </c>
    </row>
    <row r="18" spans="2:39">
      <c r="B18" t="s">
        <v>4</v>
      </c>
      <c r="E18">
        <f t="shared" si="0"/>
        <v>1.4071496999999999E-2</v>
      </c>
      <c r="F18">
        <f t="shared" si="1"/>
        <v>1.1550304997700831</v>
      </c>
      <c r="G18">
        <f t="shared" si="2"/>
        <v>0.40424999999999994</v>
      </c>
      <c r="H18">
        <f t="shared" si="3"/>
        <v>2.5341668975069251</v>
      </c>
      <c r="J18">
        <v>0.99999899999999997</v>
      </c>
      <c r="K18">
        <f t="shared" si="4"/>
        <v>0.99999962803565157</v>
      </c>
      <c r="L18">
        <f t="shared" si="5"/>
        <v>1.0000000000287557E-6</v>
      </c>
      <c r="M18">
        <f t="shared" si="6"/>
        <v>3.7196434843345116E-7</v>
      </c>
      <c r="O18">
        <f t="shared" si="7"/>
        <v>999998.99997124437</v>
      </c>
      <c r="P18">
        <f t="shared" si="8"/>
        <v>2688428.6950430144</v>
      </c>
      <c r="Q18">
        <f t="shared" si="9"/>
        <v>0.99999962803565157</v>
      </c>
      <c r="S18">
        <f t="shared" si="10"/>
        <v>-0.98592950300050008</v>
      </c>
      <c r="T18">
        <f t="shared" si="11"/>
        <v>0.15503012780566539</v>
      </c>
      <c r="U18">
        <f t="shared" si="12"/>
        <v>-14.411260557935519</v>
      </c>
      <c r="V18">
        <f t="shared" si="13"/>
        <v>-13.270300927303538</v>
      </c>
      <c r="X18">
        <f t="shared" si="14"/>
        <v>-0.98594292833155539</v>
      </c>
      <c r="Y18">
        <f t="shared" si="15"/>
        <v>0.15502513406114696</v>
      </c>
      <c r="AA18">
        <f t="shared" si="16"/>
        <v>2.4150312185397174</v>
      </c>
      <c r="AB18">
        <f t="shared" si="17"/>
        <v>77.099341997184084</v>
      </c>
      <c r="AD18">
        <f t="shared" si="18"/>
        <v>2.4150312185397174</v>
      </c>
      <c r="AE18">
        <f t="shared" si="19"/>
        <v>2.4150312181710265</v>
      </c>
      <c r="AG18">
        <f t="shared" si="20"/>
        <v>1.1409596308061656</v>
      </c>
      <c r="AH18">
        <f t="shared" si="21"/>
        <v>1.1409596308061656</v>
      </c>
      <c r="AI18">
        <f t="shared" si="22"/>
        <v>2.4150312185397174</v>
      </c>
      <c r="AL18">
        <f t="shared" si="23"/>
        <v>2.0999969448047002</v>
      </c>
      <c r="AM18">
        <f t="shared" si="24"/>
        <v>4.4449935331699493</v>
      </c>
    </row>
    <row r="19" spans="2:39">
      <c r="B19">
        <v>-0.35</v>
      </c>
      <c r="E19" s="2">
        <f t="shared" si="0"/>
        <v>1.4071496999999999E-2</v>
      </c>
      <c r="F19" s="2">
        <f t="shared" si="1"/>
        <v>1.1550304997700831</v>
      </c>
      <c r="G19" s="2">
        <f t="shared" si="2"/>
        <v>0.40424999999999994</v>
      </c>
      <c r="H19" s="2">
        <f t="shared" si="3"/>
        <v>2.5341668975069251</v>
      </c>
      <c r="I19" s="2"/>
      <c r="J19" s="2">
        <v>0.25</v>
      </c>
      <c r="K19" s="2">
        <f>Q19</f>
        <v>0.45656155407726479</v>
      </c>
      <c r="L19" s="2">
        <v>0.8</v>
      </c>
      <c r="M19" s="2">
        <f>1-K19</f>
        <v>0.54343844592273527</v>
      </c>
      <c r="N19" s="2"/>
      <c r="O19" s="2">
        <f>J19/L19</f>
        <v>0.3125</v>
      </c>
      <c r="P19" s="2">
        <f>O19*EXP(H19-G19-F19+E19)</f>
        <v>0.84013480735990798</v>
      </c>
      <c r="Q19" s="2">
        <f t="shared" si="9"/>
        <v>0.45656155407726479</v>
      </c>
      <c r="R19" s="2"/>
      <c r="S19" s="2">
        <f>E19+LN(J19)-1</f>
        <v>-2.3722228641198906</v>
      </c>
      <c r="T19" s="2">
        <f>F19+LN(K19)-1</f>
        <v>-0.62900124910542576</v>
      </c>
      <c r="U19" s="2">
        <f>G19+LN(L19)-1</f>
        <v>-0.81889355131420971</v>
      </c>
      <c r="V19" s="2">
        <f>H19+LN(M19)-1</f>
        <v>0.92432806370025533</v>
      </c>
      <c r="W19" s="2"/>
      <c r="X19" s="2">
        <f>J19*S19+L19*U19</f>
        <v>-1.2481705570813406</v>
      </c>
      <c r="Y19" s="2">
        <f>K19*T19+M19*V19</f>
        <v>0.21513761865192388</v>
      </c>
      <c r="Z19" s="2"/>
      <c r="AA19">
        <f t="shared" si="16"/>
        <v>3.689819085113951</v>
      </c>
      <c r="AB19" s="6">
        <f t="shared" si="17"/>
        <v>179.9762999132119</v>
      </c>
      <c r="AD19">
        <f t="shared" si="18"/>
        <v>3.6898190851139505</v>
      </c>
      <c r="AE19">
        <f t="shared" si="19"/>
        <v>3.689819085113951</v>
      </c>
      <c r="AG19">
        <f t="shared" si="20"/>
        <v>1.7777767280115557</v>
      </c>
      <c r="AH19">
        <f t="shared" si="21"/>
        <v>1.7432216150144648</v>
      </c>
      <c r="AI19">
        <f t="shared" si="22"/>
        <v>3.6898190851139505</v>
      </c>
      <c r="AL19">
        <f t="shared" si="23"/>
        <v>0.90868700137584479</v>
      </c>
      <c r="AM19">
        <f t="shared" si="24"/>
        <v>1.9233874862455382</v>
      </c>
    </row>
    <row r="22" spans="2:39">
      <c r="B22" t="s">
        <v>17</v>
      </c>
    </row>
    <row r="23" spans="2:39">
      <c r="B23">
        <f>11.5/4.14</f>
        <v>2.7777777777777781</v>
      </c>
    </row>
    <row r="24" spans="2:39">
      <c r="B24" t="s">
        <v>18</v>
      </c>
    </row>
    <row r="25" spans="2:39">
      <c r="B25">
        <v>102</v>
      </c>
    </row>
    <row r="28" spans="2:39">
      <c r="B28">
        <f>B23*4.14</f>
        <v>11.5</v>
      </c>
    </row>
    <row r="34" spans="17:17">
      <c r="Q34" t="s">
        <v>21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2:AJ29"/>
  <sheetViews>
    <sheetView topLeftCell="Q1" workbookViewId="0">
      <selection activeCell="S28" sqref="S28"/>
    </sheetView>
  </sheetViews>
  <sheetFormatPr defaultRowHeight="15"/>
  <cols>
    <col min="19" max="19" width="10.85546875" customWidth="1"/>
    <col min="25" max="25" width="11.85546875" bestFit="1" customWidth="1"/>
  </cols>
  <sheetData>
    <row r="2" spans="3:36">
      <c r="N2" t="s">
        <v>31</v>
      </c>
      <c r="O2" t="s">
        <v>32</v>
      </c>
      <c r="P2" t="s">
        <v>33</v>
      </c>
      <c r="Q2" t="s">
        <v>34</v>
      </c>
      <c r="S2" t="s">
        <v>37</v>
      </c>
      <c r="T2" t="s">
        <v>38</v>
      </c>
    </row>
    <row r="3" spans="3:36">
      <c r="C3">
        <v>0.09</v>
      </c>
      <c r="E3">
        <v>0.25</v>
      </c>
      <c r="G3">
        <v>0.5</v>
      </c>
      <c r="I3">
        <v>1</v>
      </c>
      <c r="N3">
        <v>0.09</v>
      </c>
      <c r="O3">
        <v>0.999</v>
      </c>
      <c r="P3">
        <v>1E-3</v>
      </c>
      <c r="Q3" s="3">
        <v>0</v>
      </c>
    </row>
    <row r="4" spans="3:36">
      <c r="C4" t="s">
        <v>28</v>
      </c>
      <c r="E4" t="s">
        <v>27</v>
      </c>
      <c r="G4" t="s">
        <v>29</v>
      </c>
      <c r="I4" t="s">
        <v>30</v>
      </c>
      <c r="N4">
        <v>0.25</v>
      </c>
      <c r="O4">
        <v>0.94</v>
      </c>
      <c r="P4">
        <v>0.06</v>
      </c>
      <c r="Q4" s="3">
        <v>0</v>
      </c>
      <c r="S4">
        <v>4</v>
      </c>
      <c r="T4">
        <v>3.3</v>
      </c>
      <c r="X4" t="s">
        <v>39</v>
      </c>
      <c r="Y4" t="s">
        <v>14</v>
      </c>
      <c r="Z4" t="s">
        <v>40</v>
      </c>
      <c r="AA4" t="s">
        <v>41</v>
      </c>
      <c r="AB4" t="s">
        <v>42</v>
      </c>
      <c r="AC4" t="s">
        <v>43</v>
      </c>
      <c r="AE4" t="s">
        <v>44</v>
      </c>
      <c r="AF4" t="s">
        <v>45</v>
      </c>
      <c r="AH4" t="s">
        <v>50</v>
      </c>
      <c r="AI4" t="s">
        <v>46</v>
      </c>
      <c r="AJ4" t="s">
        <v>51</v>
      </c>
    </row>
    <row r="5" spans="3:36">
      <c r="N5">
        <v>0.5</v>
      </c>
      <c r="O5">
        <v>0.44</v>
      </c>
      <c r="P5">
        <v>0.56000000000000005</v>
      </c>
      <c r="Q5">
        <v>1.4E-3</v>
      </c>
      <c r="S5">
        <v>3.7</v>
      </c>
      <c r="T5">
        <v>2.5</v>
      </c>
      <c r="V5" t="s">
        <v>52</v>
      </c>
      <c r="W5" t="s">
        <v>49</v>
      </c>
      <c r="X5">
        <v>9.6</v>
      </c>
      <c r="Y5">
        <v>11.5</v>
      </c>
      <c r="Z5">
        <v>0.22</v>
      </c>
      <c r="AA5">
        <v>4</v>
      </c>
      <c r="AB5">
        <f>3000000</f>
        <v>3000000</v>
      </c>
      <c r="AC5">
        <f>102*(Y5/11.5)^2</f>
        <v>102</v>
      </c>
      <c r="AE5">
        <f>Z5*EXP(X5/AA5)</f>
        <v>2.4250988037411525</v>
      </c>
      <c r="AF5">
        <f>AB5*(X5/AC5)^0.5*EXP(-AC5/X5)</f>
        <v>22.365464130952141</v>
      </c>
      <c r="AH5">
        <f>1/Z5</f>
        <v>4.5454545454545459</v>
      </c>
      <c r="AI5">
        <f>1/AF5</f>
        <v>4.471179288499872E-2</v>
      </c>
      <c r="AJ5">
        <f>AH5/AI5</f>
        <v>101.66120059523701</v>
      </c>
    </row>
    <row r="6" spans="3:36">
      <c r="N6">
        <v>1</v>
      </c>
      <c r="O6">
        <v>0.17</v>
      </c>
      <c r="P6">
        <v>0.55000000000000004</v>
      </c>
      <c r="Q6">
        <v>0.28000000000000003</v>
      </c>
      <c r="S6">
        <v>3.1</v>
      </c>
      <c r="T6">
        <v>1.5</v>
      </c>
      <c r="W6" t="s">
        <v>47</v>
      </c>
      <c r="X6">
        <f>X5</f>
        <v>9.6</v>
      </c>
      <c r="Y6">
        <f>3.7*4.14</f>
        <v>15.318</v>
      </c>
      <c r="Z6">
        <v>0.22</v>
      </c>
      <c r="AA6">
        <v>4</v>
      </c>
      <c r="AB6">
        <f t="shared" ref="AB6:AB7" si="0">3000000</f>
        <v>3000000</v>
      </c>
      <c r="AC6">
        <f t="shared" ref="AC6:AC7" si="1">102*(Y6/11.5)^2</f>
        <v>180.97084800000002</v>
      </c>
      <c r="AE6">
        <f t="shared" ref="AE6:AE7" si="2">Z6*EXP(X6/AA6)</f>
        <v>2.4250988037411525</v>
      </c>
      <c r="AF6">
        <f t="shared" ref="AF6:AF7" si="3">AB6*(X6/AC6)^0.5*EXP(-AC6/X6)</f>
        <v>4.4927352173541697E-3</v>
      </c>
      <c r="AH6">
        <f t="shared" ref="AH6:AH11" si="4">1/Z6</f>
        <v>4.5454545454545459</v>
      </c>
      <c r="AI6">
        <f>1/AF6</f>
        <v>222.58155702950887</v>
      </c>
      <c r="AJ6">
        <f t="shared" ref="AJ6:AJ11" si="5">AH6/AI6</f>
        <v>2.0421523715246227E-2</v>
      </c>
    </row>
    <row r="7" spans="3:36">
      <c r="C7" t="s">
        <v>22</v>
      </c>
      <c r="E7" t="s">
        <v>22</v>
      </c>
      <c r="G7" t="s">
        <v>22</v>
      </c>
      <c r="I7" t="s">
        <v>22</v>
      </c>
      <c r="W7" t="s">
        <v>48</v>
      </c>
      <c r="X7">
        <f>X6</f>
        <v>9.6</v>
      </c>
      <c r="Y7">
        <f>3.1*4.14</f>
        <v>12.834</v>
      </c>
      <c r="Z7">
        <v>0.22</v>
      </c>
      <c r="AA7">
        <v>4</v>
      </c>
      <c r="AB7">
        <f t="shared" si="0"/>
        <v>3000000</v>
      </c>
      <c r="AC7">
        <f t="shared" si="1"/>
        <v>127.03651199999997</v>
      </c>
      <c r="AE7">
        <f t="shared" si="2"/>
        <v>2.4250988037411525</v>
      </c>
      <c r="AF7">
        <f t="shared" si="3"/>
        <v>1.4766811821928016</v>
      </c>
      <c r="AG7">
        <f>AF7/AF6</f>
        <v>328.68199676864964</v>
      </c>
      <c r="AH7">
        <f t="shared" si="4"/>
        <v>4.5454545454545459</v>
      </c>
      <c r="AI7">
        <f>1/AF7</f>
        <v>0.67719424616425827</v>
      </c>
      <c r="AJ7">
        <f t="shared" si="5"/>
        <v>6.7121871917854623</v>
      </c>
    </row>
    <row r="9" spans="3:36">
      <c r="C9">
        <v>0.83960000000000001</v>
      </c>
      <c r="E9">
        <v>0.41389999999999999</v>
      </c>
      <c r="G9">
        <v>0.41360000000000002</v>
      </c>
      <c r="I9">
        <v>0.21049999999999999</v>
      </c>
      <c r="V9" t="s">
        <v>53</v>
      </c>
      <c r="W9" t="s">
        <v>49</v>
      </c>
      <c r="X9">
        <v>12</v>
      </c>
      <c r="Y9">
        <v>11.5</v>
      </c>
      <c r="Z9">
        <v>0.22</v>
      </c>
      <c r="AA9">
        <v>4</v>
      </c>
      <c r="AB9">
        <f>3000000</f>
        <v>3000000</v>
      </c>
      <c r="AC9">
        <f>102*(Y9/11.5)^2</f>
        <v>102</v>
      </c>
      <c r="AE9">
        <f>Z9*EXP(X9/AA9)</f>
        <v>4.4188181231012873</v>
      </c>
      <c r="AF9">
        <f>AB9*(X9/AC9)^0.5*EXP(-AC9/X9)</f>
        <v>209.36722443947622</v>
      </c>
      <c r="AH9">
        <f t="shared" si="4"/>
        <v>4.5454545454545459</v>
      </c>
      <c r="AI9">
        <f>1/AF9</f>
        <v>4.7762967803448124E-3</v>
      </c>
      <c r="AJ9">
        <f t="shared" si="5"/>
        <v>951.66920199761933</v>
      </c>
    </row>
    <row r="10" spans="3:36">
      <c r="W10" t="s">
        <v>47</v>
      </c>
      <c r="X10">
        <f>X9</f>
        <v>12</v>
      </c>
      <c r="Y10">
        <f>3.7*4.14</f>
        <v>15.318</v>
      </c>
      <c r="Z10">
        <v>0.22</v>
      </c>
      <c r="AA10">
        <v>4</v>
      </c>
      <c r="AB10">
        <f t="shared" ref="AB10:AB24" si="6">3000000</f>
        <v>3000000</v>
      </c>
      <c r="AC10">
        <f t="shared" ref="AC10:AC11" si="7">102*(Y10/11.5)^2</f>
        <v>180.97084800000002</v>
      </c>
      <c r="AE10">
        <f t="shared" ref="AE10:AE11" si="8">Z10*EXP(X10/AA10)</f>
        <v>4.4188181231012873</v>
      </c>
      <c r="AF10">
        <f t="shared" ref="AF10:AF11" si="9">AB10*(X10/AC10)^0.5*EXP(-AC10/X10)</f>
        <v>0.21794864720245016</v>
      </c>
      <c r="AH10">
        <f t="shared" si="4"/>
        <v>4.5454545454545459</v>
      </c>
      <c r="AI10">
        <f>1/AF10</f>
        <v>4.5882367834617055</v>
      </c>
      <c r="AJ10">
        <f t="shared" si="5"/>
        <v>0.9906756691020463</v>
      </c>
    </row>
    <row r="11" spans="3:36">
      <c r="W11" t="s">
        <v>48</v>
      </c>
      <c r="X11">
        <f>X10</f>
        <v>12</v>
      </c>
      <c r="Y11">
        <f>3.1*4.14</f>
        <v>12.834</v>
      </c>
      <c r="Z11">
        <v>0.22</v>
      </c>
      <c r="AA11">
        <v>4</v>
      </c>
      <c r="AB11">
        <f t="shared" si="6"/>
        <v>3000000</v>
      </c>
      <c r="AC11">
        <f t="shared" si="7"/>
        <v>127.03651199999997</v>
      </c>
      <c r="AE11">
        <f t="shared" si="8"/>
        <v>4.4188181231012873</v>
      </c>
      <c r="AF11">
        <f t="shared" si="9"/>
        <v>23.288575092193152</v>
      </c>
      <c r="AG11">
        <f>AF11/AF10</f>
        <v>106.8534968724107</v>
      </c>
      <c r="AH11">
        <f t="shared" si="4"/>
        <v>4.5454545454545459</v>
      </c>
      <c r="AI11">
        <f>1/AF11</f>
        <v>4.2939509868734828E-2</v>
      </c>
      <c r="AJ11">
        <f t="shared" si="5"/>
        <v>105.85715950996888</v>
      </c>
    </row>
    <row r="12" spans="3:36">
      <c r="C12" t="s">
        <v>23</v>
      </c>
      <c r="E12" t="s">
        <v>23</v>
      </c>
      <c r="G12" t="s">
        <v>23</v>
      </c>
      <c r="I12" t="s">
        <v>23</v>
      </c>
      <c r="N12" t="s">
        <v>31</v>
      </c>
      <c r="O12" t="s">
        <v>32</v>
      </c>
      <c r="P12" t="s">
        <v>33</v>
      </c>
      <c r="Q12" t="s">
        <v>34</v>
      </c>
    </row>
    <row r="13" spans="3:36">
      <c r="N13">
        <v>0.09</v>
      </c>
      <c r="O13">
        <v>0.83960000000000001</v>
      </c>
      <c r="P13">
        <v>0.16039999999999999</v>
      </c>
      <c r="Q13">
        <v>1.698E-5</v>
      </c>
      <c r="V13" t="s">
        <v>61</v>
      </c>
    </row>
    <row r="14" spans="3:36">
      <c r="C14">
        <v>0.16039999999999999</v>
      </c>
      <c r="E14">
        <v>0.58540000000000003</v>
      </c>
      <c r="G14">
        <v>0.58499999999999996</v>
      </c>
      <c r="I14">
        <v>0.55730000000000002</v>
      </c>
      <c r="N14">
        <v>0.25</v>
      </c>
      <c r="O14">
        <v>0.41389999999999999</v>
      </c>
      <c r="P14">
        <v>0.58540000000000003</v>
      </c>
      <c r="Q14">
        <v>7.2968000000000002E-4</v>
      </c>
      <c r="V14" s="4">
        <v>0.15</v>
      </c>
      <c r="W14" t="s">
        <v>55</v>
      </c>
      <c r="X14">
        <v>3.3</v>
      </c>
      <c r="Y14">
        <f>2.4*4.14</f>
        <v>9.9359999999999982</v>
      </c>
      <c r="Z14">
        <v>0.22</v>
      </c>
      <c r="AA14">
        <v>4</v>
      </c>
      <c r="AB14">
        <f t="shared" si="6"/>
        <v>3000000</v>
      </c>
      <c r="AC14">
        <f t="shared" ref="AC14" si="10">102*(Y14/11.5)^2</f>
        <v>76.142591999999979</v>
      </c>
      <c r="AE14">
        <f>Z14*EXP(X14/AA14)/8</f>
        <v>6.2751721046555853E-2</v>
      </c>
      <c r="AF14">
        <f t="shared" ref="AF14" si="11">AB14*(X14/AC14)^0.5*EXP(-AC14/X14)</f>
        <v>5.954772042763689E-5</v>
      </c>
      <c r="AH14">
        <f t="shared" ref="AH14" si="12">1/Z14</f>
        <v>4.5454545454545459</v>
      </c>
      <c r="AI14">
        <f>1/AF14</f>
        <v>16793.25409635474</v>
      </c>
      <c r="AJ14">
        <f t="shared" ref="AJ14" si="13">AH14/AI14</f>
        <v>2.7067145648925861E-4</v>
      </c>
    </row>
    <row r="15" spans="3:36">
      <c r="N15">
        <v>0.5</v>
      </c>
      <c r="O15">
        <v>0.41360000000000002</v>
      </c>
      <c r="P15">
        <v>0.58499999999999996</v>
      </c>
      <c r="Q15">
        <v>1.4E-3</v>
      </c>
      <c r="V15" s="4">
        <v>0.3</v>
      </c>
      <c r="W15" t="s">
        <v>55</v>
      </c>
      <c r="X15">
        <v>3.3</v>
      </c>
      <c r="Y15">
        <f>1.77*4.14</f>
        <v>7.3277999999999999</v>
      </c>
      <c r="Z15">
        <v>0.22</v>
      </c>
      <c r="AA15">
        <v>4</v>
      </c>
      <c r="AB15">
        <f t="shared" si="6"/>
        <v>3000000</v>
      </c>
      <c r="AC15">
        <f t="shared" ref="AC15" si="14">102*(Y15/11.5)^2</f>
        <v>41.41443168</v>
      </c>
      <c r="AE15">
        <f>Z15*EXP(X15/AA15)/8</f>
        <v>6.2751721046555853E-2</v>
      </c>
      <c r="AF15">
        <f t="shared" ref="AF15" si="15">AB15*(X15/AC15)^0.5*EXP(-AC15/X15)</f>
        <v>3.0024889459638806</v>
      </c>
      <c r="AH15">
        <f t="shared" ref="AH15" si="16">1/Z15</f>
        <v>4.5454545454545459</v>
      </c>
      <c r="AI15">
        <f>1/AF15</f>
        <v>0.33305701303055851</v>
      </c>
      <c r="AJ15">
        <f t="shared" ref="AJ15" si="17">AH15/AI15</f>
        <v>13.647677027108548</v>
      </c>
    </row>
    <row r="16" spans="3:36">
      <c r="N16">
        <v>1</v>
      </c>
      <c r="O16">
        <v>0.21049999999999999</v>
      </c>
      <c r="P16">
        <v>0.55730000000000002</v>
      </c>
      <c r="Q16">
        <v>0.23219999999999999</v>
      </c>
    </row>
    <row r="17" spans="3:36">
      <c r="C17" t="s">
        <v>24</v>
      </c>
      <c r="E17" t="s">
        <v>24</v>
      </c>
      <c r="G17" t="s">
        <v>24</v>
      </c>
      <c r="I17" t="s">
        <v>24</v>
      </c>
      <c r="T17" t="s">
        <v>56</v>
      </c>
      <c r="V17" t="s">
        <v>54</v>
      </c>
      <c r="W17" t="s">
        <v>55</v>
      </c>
      <c r="X17">
        <v>3.3</v>
      </c>
      <c r="Y17">
        <f>2.78*4.14</f>
        <v>11.509199999999998</v>
      </c>
      <c r="Z17">
        <v>0.22</v>
      </c>
      <c r="AA17">
        <v>4</v>
      </c>
      <c r="AB17">
        <f t="shared" si="6"/>
        <v>3000000</v>
      </c>
      <c r="AC17">
        <f t="shared" ref="AC17" si="18">102*(Y17/11.5)^2</f>
        <v>102.16326527999999</v>
      </c>
      <c r="AE17">
        <f>Z17*EXP(X17/AA17)/8</f>
        <v>6.2751721046555853E-2</v>
      </c>
      <c r="AF17">
        <f t="shared" ref="AF17" si="19">AB17*(X17/AC17)^0.5*EXP(-AC17/X17)</f>
        <v>1.9346249852849397E-8</v>
      </c>
      <c r="AH17">
        <f t="shared" ref="AH17" si="20">1/Z17</f>
        <v>4.5454545454545459</v>
      </c>
      <c r="AI17">
        <f>1/AF17</f>
        <v>51689604.321569115</v>
      </c>
      <c r="AJ17">
        <f t="shared" ref="AJ17" si="21">AH17/AI17</f>
        <v>8.7937499331133633E-8</v>
      </c>
    </row>
    <row r="18" spans="3:36">
      <c r="T18" t="s">
        <v>57</v>
      </c>
      <c r="X18">
        <v>4</v>
      </c>
      <c r="Y18">
        <f t="shared" ref="Y18:Y24" si="22">2.78*4.14</f>
        <v>11.509199999999998</v>
      </c>
      <c r="Z18">
        <v>0.22</v>
      </c>
      <c r="AA18">
        <v>4</v>
      </c>
      <c r="AB18">
        <f t="shared" si="6"/>
        <v>3000000</v>
      </c>
      <c r="AC18">
        <f t="shared" ref="AC18:AC24" si="23">102*(Y18/11.5)^2</f>
        <v>102.16326527999999</v>
      </c>
      <c r="AE18">
        <f t="shared" ref="AE18:AE24" si="24">Z18*EXP(X18/AA18)/8</f>
        <v>7.4752750282623737E-2</v>
      </c>
      <c r="AF18">
        <f t="shared" ref="AF18:AF24" si="25">AB18*(X18/AC18)^0.5*EXP(-AC18/X18)</f>
        <v>4.8002988593677502E-6</v>
      </c>
      <c r="AH18">
        <f t="shared" ref="AH18:AH24" si="26">1/Z18</f>
        <v>4.5454545454545459</v>
      </c>
      <c r="AI18">
        <f t="shared" ref="AI18:AI24" si="27">1/AF18</f>
        <v>208320.36281418332</v>
      </c>
      <c r="AJ18">
        <f t="shared" ref="AJ18:AJ24" si="28">AH18/AI18</f>
        <v>2.1819540269853411E-5</v>
      </c>
    </row>
    <row r="19" spans="3:36">
      <c r="C19" s="3">
        <v>1.698E-5</v>
      </c>
      <c r="E19" s="3">
        <v>7.2968000000000002E-4</v>
      </c>
      <c r="G19">
        <v>1.4E-3</v>
      </c>
      <c r="I19">
        <v>0.23219999999999999</v>
      </c>
      <c r="X19">
        <v>5</v>
      </c>
      <c r="Y19">
        <f t="shared" si="22"/>
        <v>11.509199999999998</v>
      </c>
      <c r="Z19">
        <v>0.22</v>
      </c>
      <c r="AA19">
        <v>4</v>
      </c>
      <c r="AB19">
        <f t="shared" si="6"/>
        <v>3000000</v>
      </c>
      <c r="AC19">
        <f t="shared" si="23"/>
        <v>102.16326527999999</v>
      </c>
      <c r="AE19">
        <f t="shared" si="24"/>
        <v>9.598443133020064E-2</v>
      </c>
      <c r="AF19">
        <f t="shared" si="25"/>
        <v>8.875041682879398E-4</v>
      </c>
      <c r="AH19">
        <f t="shared" si="26"/>
        <v>4.5454545454545459</v>
      </c>
      <c r="AI19">
        <f t="shared" si="27"/>
        <v>1126.7552713910886</v>
      </c>
      <c r="AJ19">
        <f t="shared" si="28"/>
        <v>4.0341098558542721E-3</v>
      </c>
    </row>
    <row r="20" spans="3:36">
      <c r="V20" t="s">
        <v>59</v>
      </c>
      <c r="W20" s="5" t="s">
        <v>58</v>
      </c>
      <c r="X20" s="2">
        <v>6</v>
      </c>
      <c r="Y20" s="2">
        <f t="shared" si="22"/>
        <v>11.509199999999998</v>
      </c>
      <c r="Z20" s="2">
        <v>0.22</v>
      </c>
      <c r="AA20" s="2">
        <v>4</v>
      </c>
      <c r="AB20" s="2">
        <f t="shared" si="6"/>
        <v>3000000</v>
      </c>
      <c r="AC20" s="2">
        <f t="shared" si="23"/>
        <v>102.16326527999999</v>
      </c>
      <c r="AD20" s="2"/>
      <c r="AE20">
        <f t="shared" si="24"/>
        <v>0.12324644943429677</v>
      </c>
      <c r="AF20" s="2">
        <f t="shared" si="25"/>
        <v>2.9290431520335829E-2</v>
      </c>
      <c r="AG20" s="2"/>
      <c r="AH20" s="2">
        <f t="shared" si="26"/>
        <v>4.5454545454545459</v>
      </c>
      <c r="AI20" s="2">
        <f t="shared" si="27"/>
        <v>34.140842182735263</v>
      </c>
      <c r="AJ20" s="2">
        <f t="shared" si="28"/>
        <v>0.13313832509243559</v>
      </c>
    </row>
    <row r="21" spans="3:36">
      <c r="V21" t="s">
        <v>60</v>
      </c>
      <c r="X21">
        <v>7</v>
      </c>
      <c r="Y21">
        <f t="shared" si="22"/>
        <v>11.509199999999998</v>
      </c>
      <c r="Z21">
        <v>0.22</v>
      </c>
      <c r="AA21">
        <v>4</v>
      </c>
      <c r="AB21">
        <f t="shared" si="6"/>
        <v>3000000</v>
      </c>
      <c r="AC21">
        <f t="shared" si="23"/>
        <v>102.16326527999999</v>
      </c>
      <c r="AE21">
        <f t="shared" si="24"/>
        <v>0.1582515735901576</v>
      </c>
      <c r="AF21">
        <f t="shared" si="25"/>
        <v>0.36024880958923888</v>
      </c>
      <c r="AH21">
        <f t="shared" si="26"/>
        <v>4.5454545454545459</v>
      </c>
      <c r="AI21">
        <f t="shared" si="27"/>
        <v>2.775859276648867</v>
      </c>
      <c r="AJ21">
        <f t="shared" si="28"/>
        <v>1.637494589041995</v>
      </c>
    </row>
    <row r="22" spans="3:36">
      <c r="C22" t="s">
        <v>25</v>
      </c>
      <c r="E22" t="s">
        <v>25</v>
      </c>
      <c r="G22" t="s">
        <v>25</v>
      </c>
      <c r="I22" t="s">
        <v>25</v>
      </c>
      <c r="X22">
        <v>8</v>
      </c>
      <c r="Y22">
        <f t="shared" si="22"/>
        <v>11.509199999999998</v>
      </c>
      <c r="Z22">
        <v>0.22</v>
      </c>
      <c r="AA22">
        <v>4</v>
      </c>
      <c r="AB22">
        <f t="shared" si="6"/>
        <v>3000000</v>
      </c>
      <c r="AC22">
        <f t="shared" si="23"/>
        <v>102.16326527999999</v>
      </c>
      <c r="AE22">
        <f t="shared" si="24"/>
        <v>0.20319904272059289</v>
      </c>
      <c r="AF22">
        <f t="shared" si="25"/>
        <v>2.3872674146021007</v>
      </c>
      <c r="AH22">
        <f t="shared" si="26"/>
        <v>4.5454545454545459</v>
      </c>
      <c r="AI22">
        <f t="shared" si="27"/>
        <v>0.41888897485189175</v>
      </c>
      <c r="AJ22">
        <f t="shared" si="28"/>
        <v>10.851215520918641</v>
      </c>
    </row>
    <row r="23" spans="3:36">
      <c r="X23">
        <v>9</v>
      </c>
      <c r="Y23">
        <f t="shared" si="22"/>
        <v>11.509199999999998</v>
      </c>
      <c r="Z23">
        <v>0.22</v>
      </c>
      <c r="AA23">
        <v>4</v>
      </c>
      <c r="AB23">
        <f t="shared" si="6"/>
        <v>3000000</v>
      </c>
      <c r="AC23">
        <f t="shared" si="23"/>
        <v>102.16326527999999</v>
      </c>
      <c r="AE23">
        <f t="shared" si="24"/>
        <v>0.26091273549985949</v>
      </c>
      <c r="AF23">
        <f t="shared" si="25"/>
        <v>10.464359274767769</v>
      </c>
      <c r="AH23">
        <f t="shared" si="26"/>
        <v>4.5454545454545459</v>
      </c>
      <c r="AI23">
        <f t="shared" si="27"/>
        <v>9.5562468159063899E-2</v>
      </c>
      <c r="AJ23">
        <f t="shared" si="28"/>
        <v>47.565269430762598</v>
      </c>
    </row>
    <row r="24" spans="3:36">
      <c r="C24">
        <v>0.54749999999999999</v>
      </c>
      <c r="E24">
        <v>7.3494999999999999</v>
      </c>
      <c r="G24">
        <v>7.3442999999999996</v>
      </c>
      <c r="I24">
        <v>10.0831</v>
      </c>
      <c r="X24">
        <v>10</v>
      </c>
      <c r="Y24">
        <f t="shared" si="22"/>
        <v>11.509199999999998</v>
      </c>
      <c r="Z24">
        <v>0.22</v>
      </c>
      <c r="AA24">
        <v>4</v>
      </c>
      <c r="AB24">
        <f t="shared" si="6"/>
        <v>3000000</v>
      </c>
      <c r="AC24">
        <f t="shared" si="23"/>
        <v>102.16326527999999</v>
      </c>
      <c r="AE24">
        <f t="shared" si="24"/>
        <v>0.33501858391934553</v>
      </c>
      <c r="AF24">
        <f t="shared" si="25"/>
        <v>34.322557062133285</v>
      </c>
      <c r="AH24">
        <f t="shared" si="26"/>
        <v>4.5454545454545459</v>
      </c>
      <c r="AI24">
        <f t="shared" si="27"/>
        <v>2.9135358364754831E-2</v>
      </c>
      <c r="AJ24">
        <f t="shared" si="28"/>
        <v>156.01162300969676</v>
      </c>
    </row>
    <row r="26" spans="3:36">
      <c r="S26">
        <f>12600-8000</f>
        <v>4600</v>
      </c>
    </row>
    <row r="27" spans="3:36">
      <c r="C27" t="s">
        <v>26</v>
      </c>
      <c r="E27" t="s">
        <v>26</v>
      </c>
      <c r="G27" t="s">
        <v>26</v>
      </c>
      <c r="I27" t="s">
        <v>26</v>
      </c>
      <c r="S27">
        <f>S26/8000</f>
        <v>0.57499999999999996</v>
      </c>
    </row>
    <row r="29" spans="3:36">
      <c r="C29" s="3">
        <v>5.9711000000000003E-6</v>
      </c>
      <c r="E29" s="3">
        <v>3.101E-4</v>
      </c>
      <c r="G29" s="3">
        <v>6.2991000000000002E-4</v>
      </c>
      <c r="I29">
        <v>0.1454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F7:F10"/>
  <sheetViews>
    <sheetView workbookViewId="0">
      <selection activeCell="F11" sqref="F11"/>
    </sheetView>
  </sheetViews>
  <sheetFormatPr defaultRowHeight="15"/>
  <sheetData>
    <row r="7" spans="6:6">
      <c r="F7">
        <f>1/1.44</f>
        <v>0.69444444444444442</v>
      </c>
    </row>
    <row r="8" spans="6:6">
      <c r="F8">
        <f>1/144*100</f>
        <v>0.69444444444444442</v>
      </c>
    </row>
    <row r="9" spans="6:6">
      <c r="F9">
        <f>1/14.4</f>
        <v>6.9444444444444448E-2</v>
      </c>
    </row>
    <row r="10" spans="6:6">
      <c r="F10">
        <f>1/-30</f>
        <v>-3.3333333333333333E-2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line_tension</vt:lpstr>
      <vt:lpstr>outcome_predictions</vt:lpstr>
      <vt:lpstr>Sheet3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2012-01-12T17:55:27Z</dcterms:created>
  <dcterms:modified xsi:type="dcterms:W3CDTF">2014-08-13T13:42:15Z</dcterms:modified>
</cp:coreProperties>
</file>