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usion_matlab_rand_27may22\"/>
    </mc:Choice>
  </mc:AlternateContent>
  <xr:revisionPtr revIDLastSave="0" documentId="8_{B3F4FBCC-E103-4842-8064-8537123779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_tension" sheetId="1" r:id="rId1"/>
    <sheet name="outcome_predic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9" i="1" l="1"/>
  <c r="AM20" i="1"/>
  <c r="AM21" i="1"/>
  <c r="AM22" i="1"/>
  <c r="AM23" i="1"/>
  <c r="AM24" i="1"/>
  <c r="AM25" i="1"/>
  <c r="AM26" i="1"/>
  <c r="AM27" i="1"/>
  <c r="AM28" i="1"/>
  <c r="AL19" i="1"/>
  <c r="AL20" i="1"/>
  <c r="AL21" i="1"/>
  <c r="AL22" i="1"/>
  <c r="AL23" i="1"/>
  <c r="AL24" i="1"/>
  <c r="AL25" i="1"/>
  <c r="AL26" i="1"/>
  <c r="AL27" i="1"/>
  <c r="AL28" i="1"/>
  <c r="U19" i="1"/>
  <c r="U20" i="1"/>
  <c r="U21" i="1"/>
  <c r="U22" i="1"/>
  <c r="O19" i="1"/>
  <c r="O20" i="1"/>
  <c r="O21" i="1"/>
  <c r="O22" i="1"/>
  <c r="O23" i="1"/>
  <c r="O24" i="1"/>
  <c r="O25" i="1"/>
  <c r="O26" i="1"/>
  <c r="O27" i="1"/>
  <c r="O28" i="1"/>
  <c r="L28" i="1"/>
  <c r="J28" i="1"/>
  <c r="L19" i="1"/>
  <c r="L20" i="1"/>
  <c r="L21" i="1"/>
  <c r="L22" i="1"/>
  <c r="L23" i="1"/>
  <c r="L24" i="1"/>
  <c r="L25" i="1"/>
  <c r="L26" i="1"/>
  <c r="L27" i="1"/>
  <c r="H27" i="1"/>
  <c r="H28" i="1"/>
  <c r="G27" i="1"/>
  <c r="U27" i="1" s="1"/>
  <c r="G28" i="1"/>
  <c r="U28" i="1" s="1"/>
  <c r="F27" i="1"/>
  <c r="F28" i="1"/>
  <c r="E27" i="1"/>
  <c r="S27" i="1" s="1"/>
  <c r="E28" i="1"/>
  <c r="S28" i="1" s="1"/>
  <c r="J26" i="1"/>
  <c r="J27" i="1" s="1"/>
  <c r="J24" i="1"/>
  <c r="J25" i="1" s="1"/>
  <c r="J20" i="1"/>
  <c r="J21" i="1" s="1"/>
  <c r="J22" i="1" s="1"/>
  <c r="J23" i="1" s="1"/>
  <c r="J19" i="1"/>
  <c r="G26" i="1"/>
  <c r="U26" i="1" s="1"/>
  <c r="H19" i="1"/>
  <c r="H20" i="1"/>
  <c r="H21" i="1"/>
  <c r="H22" i="1"/>
  <c r="H23" i="1"/>
  <c r="H24" i="1"/>
  <c r="H25" i="1"/>
  <c r="H26" i="1"/>
  <c r="G19" i="1"/>
  <c r="G20" i="1"/>
  <c r="G21" i="1"/>
  <c r="G22" i="1"/>
  <c r="G23" i="1"/>
  <c r="U23" i="1" s="1"/>
  <c r="G24" i="1"/>
  <c r="U24" i="1" s="1"/>
  <c r="G25" i="1"/>
  <c r="U25" i="1" s="1"/>
  <c r="F19" i="1"/>
  <c r="F20" i="1"/>
  <c r="F21" i="1"/>
  <c r="F22" i="1"/>
  <c r="F23" i="1"/>
  <c r="F24" i="1"/>
  <c r="F25" i="1"/>
  <c r="F26" i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B4" i="1"/>
  <c r="S26" i="2"/>
  <c r="S27" i="2" s="1"/>
  <c r="AE15" i="2"/>
  <c r="AE14" i="2"/>
  <c r="AE18" i="2"/>
  <c r="AE19" i="2"/>
  <c r="AE20" i="2"/>
  <c r="AE21" i="2"/>
  <c r="AE22" i="2"/>
  <c r="AE23" i="2"/>
  <c r="AE24" i="2"/>
  <c r="AE17" i="2"/>
  <c r="AE5" i="2"/>
  <c r="X27" i="1" l="1"/>
  <c r="X22" i="1"/>
  <c r="X26" i="1"/>
  <c r="X25" i="1"/>
  <c r="X23" i="1"/>
  <c r="X24" i="1"/>
  <c r="X21" i="1"/>
  <c r="X28" i="1"/>
  <c r="X20" i="1"/>
  <c r="X19" i="1"/>
  <c r="AG23" i="1"/>
  <c r="AG28" i="1"/>
  <c r="AG25" i="1"/>
  <c r="AG22" i="1"/>
  <c r="P28" i="1"/>
  <c r="Q28" i="1" s="1"/>
  <c r="K28" i="1" s="1"/>
  <c r="T28" i="1" s="1"/>
  <c r="P20" i="1"/>
  <c r="Q20" i="1" s="1"/>
  <c r="K20" i="1" s="1"/>
  <c r="M20" i="1" s="1"/>
  <c r="V20" i="1" s="1"/>
  <c r="AE20" i="1" s="1"/>
  <c r="P24" i="1"/>
  <c r="Q24" i="1" s="1"/>
  <c r="K24" i="1" s="1"/>
  <c r="M24" i="1" s="1"/>
  <c r="V24" i="1" s="1"/>
  <c r="AE24" i="1" s="1"/>
  <c r="AG21" i="1"/>
  <c r="AG20" i="1"/>
  <c r="AG19" i="1"/>
  <c r="AG27" i="1"/>
  <c r="P25" i="1"/>
  <c r="Q25" i="1" s="1"/>
  <c r="K25" i="1" s="1"/>
  <c r="AG24" i="1"/>
  <c r="P23" i="1"/>
  <c r="Q23" i="1" s="1"/>
  <c r="K23" i="1" s="1"/>
  <c r="P26" i="1"/>
  <c r="Q26" i="1" s="1"/>
  <c r="K26" i="1" s="1"/>
  <c r="T26" i="1" s="1"/>
  <c r="AG26" i="1"/>
  <c r="P22" i="1"/>
  <c r="Q22" i="1" s="1"/>
  <c r="K22" i="1" s="1"/>
  <c r="P27" i="1"/>
  <c r="Q27" i="1" s="1"/>
  <c r="K27" i="1" s="1"/>
  <c r="P21" i="1"/>
  <c r="Q21" i="1" s="1"/>
  <c r="K21" i="1" s="1"/>
  <c r="P19" i="1"/>
  <c r="Q19" i="1" s="1"/>
  <c r="K19" i="1" s="1"/>
  <c r="Y18" i="2"/>
  <c r="AC18" i="2" s="1"/>
  <c r="AF18" i="2" s="1"/>
  <c r="AI18" i="2" s="1"/>
  <c r="AB18" i="2"/>
  <c r="AH18" i="2"/>
  <c r="Y19" i="2"/>
  <c r="AC19" i="2" s="1"/>
  <c r="AB19" i="2"/>
  <c r="AH19" i="2"/>
  <c r="Y20" i="2"/>
  <c r="AC20" i="2" s="1"/>
  <c r="AB20" i="2"/>
  <c r="AH20" i="2"/>
  <c r="Y21" i="2"/>
  <c r="AC21" i="2" s="1"/>
  <c r="AF21" i="2" s="1"/>
  <c r="AI21" i="2" s="1"/>
  <c r="AB21" i="2"/>
  <c r="AH21" i="2"/>
  <c r="Y22" i="2"/>
  <c r="AC22" i="2" s="1"/>
  <c r="AF22" i="2" s="1"/>
  <c r="AI22" i="2" s="1"/>
  <c r="AB22" i="2"/>
  <c r="AH22" i="2"/>
  <c r="Y23" i="2"/>
  <c r="AC23" i="2" s="1"/>
  <c r="AF23" i="2" s="1"/>
  <c r="AI23" i="2" s="1"/>
  <c r="AB23" i="2"/>
  <c r="AH23" i="2"/>
  <c r="Y24" i="2"/>
  <c r="AC24" i="2" s="1"/>
  <c r="AF24" i="2" s="1"/>
  <c r="AI24" i="2" s="1"/>
  <c r="AB24" i="2"/>
  <c r="AH24" i="2"/>
  <c r="Y17" i="2"/>
  <c r="AH17" i="2"/>
  <c r="AC17" i="2"/>
  <c r="AB17" i="2"/>
  <c r="AH15" i="2"/>
  <c r="AB15" i="2"/>
  <c r="Y15" i="2"/>
  <c r="AC15" i="2" s="1"/>
  <c r="Y14" i="2"/>
  <c r="AC14" i="2" s="1"/>
  <c r="AH14" i="2"/>
  <c r="AB14" i="2"/>
  <c r="T20" i="1" l="1"/>
  <c r="T24" i="1"/>
  <c r="M28" i="1"/>
  <c r="V28" i="1" s="1"/>
  <c r="AE28" i="1" s="1"/>
  <c r="Y24" i="1"/>
  <c r="AA20" i="1"/>
  <c r="AB20" i="1" s="1"/>
  <c r="AA24" i="1"/>
  <c r="AB24" i="1" s="1"/>
  <c r="AH28" i="1"/>
  <c r="AI28" i="1" s="1"/>
  <c r="AD28" i="1"/>
  <c r="M27" i="1"/>
  <c r="V27" i="1" s="1"/>
  <c r="AE27" i="1" s="1"/>
  <c r="AD24" i="1"/>
  <c r="AH24" i="1"/>
  <c r="AI24" i="1" s="1"/>
  <c r="AA28" i="1"/>
  <c r="AB28" i="1" s="1"/>
  <c r="M19" i="1"/>
  <c r="V19" i="1" s="1"/>
  <c r="AE19" i="1" s="1"/>
  <c r="T27" i="1"/>
  <c r="AD26" i="1"/>
  <c r="AH26" i="1"/>
  <c r="AI26" i="1" s="1"/>
  <c r="T19" i="1"/>
  <c r="M23" i="1"/>
  <c r="V23" i="1" s="1"/>
  <c r="AE23" i="1" s="1"/>
  <c r="T23" i="1"/>
  <c r="AH20" i="1"/>
  <c r="AI20" i="1" s="1"/>
  <c r="AD20" i="1"/>
  <c r="T21" i="1"/>
  <c r="M21" i="1"/>
  <c r="V21" i="1" s="1"/>
  <c r="AE21" i="1" s="1"/>
  <c r="M22" i="1"/>
  <c r="V22" i="1" s="1"/>
  <c r="AE22" i="1" s="1"/>
  <c r="T22" i="1"/>
  <c r="M26" i="1"/>
  <c r="V26" i="1" s="1"/>
  <c r="AE26" i="1" s="1"/>
  <c r="M25" i="1"/>
  <c r="V25" i="1" s="1"/>
  <c r="AE25" i="1" s="1"/>
  <c r="T25" i="1"/>
  <c r="Y20" i="1"/>
  <c r="AF14" i="2"/>
  <c r="AF19" i="2"/>
  <c r="AI19" i="2" s="1"/>
  <c r="AJ19" i="2" s="1"/>
  <c r="AF20" i="2"/>
  <c r="AI20" i="2" s="1"/>
  <c r="AJ24" i="2"/>
  <c r="AJ23" i="2"/>
  <c r="AJ22" i="2"/>
  <c r="AJ21" i="2"/>
  <c r="AJ20" i="2"/>
  <c r="AJ18" i="2"/>
  <c r="AF17" i="2"/>
  <c r="AI17" i="2" s="1"/>
  <c r="AJ17" i="2" s="1"/>
  <c r="AF15" i="2"/>
  <c r="AI15" i="2" s="1"/>
  <c r="AJ15" i="2" s="1"/>
  <c r="AI14" i="2"/>
  <c r="AJ14" i="2" s="1"/>
  <c r="AA25" i="1" l="1"/>
  <c r="AB25" i="1" s="1"/>
  <c r="Y28" i="1"/>
  <c r="AA27" i="1"/>
  <c r="AB27" i="1" s="1"/>
  <c r="AA21" i="1"/>
  <c r="AB21" i="1" s="1"/>
  <c r="Y21" i="1"/>
  <c r="AA26" i="1"/>
  <c r="AB26" i="1" s="1"/>
  <c r="Y22" i="1"/>
  <c r="AA23" i="1"/>
  <c r="AB23" i="1" s="1"/>
  <c r="Y26" i="1"/>
  <c r="AA22" i="1"/>
  <c r="AB22" i="1" s="1"/>
  <c r="AA19" i="1"/>
  <c r="AB19" i="1" s="1"/>
  <c r="AH27" i="1"/>
  <c r="AI27" i="1" s="1"/>
  <c r="AD27" i="1"/>
  <c r="Y27" i="1"/>
  <c r="AH25" i="1"/>
  <c r="AI25" i="1" s="1"/>
  <c r="AD25" i="1"/>
  <c r="AD21" i="1"/>
  <c r="AH21" i="1"/>
  <c r="AI21" i="1" s="1"/>
  <c r="Y25" i="1"/>
  <c r="AD19" i="1"/>
  <c r="AH19" i="1"/>
  <c r="AI19" i="1" s="1"/>
  <c r="Y19" i="1"/>
  <c r="AH23" i="1"/>
  <c r="AI23" i="1" s="1"/>
  <c r="AD23" i="1"/>
  <c r="Y23" i="1"/>
  <c r="AD22" i="1"/>
  <c r="AH22" i="1"/>
  <c r="AI22" i="1" s="1"/>
  <c r="AH6" i="2"/>
  <c r="AH7" i="2"/>
  <c r="AH9" i="2"/>
  <c r="AH10" i="2"/>
  <c r="AH11" i="2"/>
  <c r="AH5" i="2"/>
  <c r="AB11" i="2"/>
  <c r="Y11" i="2"/>
  <c r="AC11" i="2" s="1"/>
  <c r="AC10" i="2"/>
  <c r="AB10" i="2"/>
  <c r="Y10" i="2"/>
  <c r="X10" i="2"/>
  <c r="AE10" i="2" s="1"/>
  <c r="AE9" i="2"/>
  <c r="AC9" i="2"/>
  <c r="AB9" i="2"/>
  <c r="AF9" i="2" s="1"/>
  <c r="AI9" i="2" s="1"/>
  <c r="AB6" i="2"/>
  <c r="AC6" i="2"/>
  <c r="AF6" i="2" s="1"/>
  <c r="AI6" i="2" s="1"/>
  <c r="AE6" i="2"/>
  <c r="AB7" i="2"/>
  <c r="AC7" i="2"/>
  <c r="X7" i="2"/>
  <c r="AE7" i="2" s="1"/>
  <c r="X6" i="2"/>
  <c r="Y7" i="2"/>
  <c r="Y6" i="2"/>
  <c r="AC5" i="2"/>
  <c r="AB5" i="2"/>
  <c r="AF5" i="2" s="1"/>
  <c r="AI5" i="2" s="1"/>
  <c r="AJ5" i="2" s="1"/>
  <c r="AL8" i="1"/>
  <c r="AL9" i="1"/>
  <c r="AL10" i="1"/>
  <c r="AL11" i="1"/>
  <c r="AL12" i="1"/>
  <c r="AL13" i="1"/>
  <c r="AM13" i="1" s="1"/>
  <c r="AL14" i="1"/>
  <c r="AL15" i="1"/>
  <c r="AL16" i="1"/>
  <c r="AL17" i="1"/>
  <c r="AL18" i="1"/>
  <c r="AL30" i="1"/>
  <c r="AJ9" i="2" l="1"/>
  <c r="AJ6" i="2"/>
  <c r="AF7" i="2"/>
  <c r="AM17" i="1"/>
  <c r="AM12" i="1"/>
  <c r="AM9" i="1"/>
  <c r="AM18" i="1"/>
  <c r="AM8" i="1"/>
  <c r="AM14" i="1"/>
  <c r="AM11" i="1"/>
  <c r="AM15" i="1"/>
  <c r="AM10" i="1"/>
  <c r="AM30" i="1"/>
  <c r="AM16" i="1"/>
  <c r="AF10" i="2"/>
  <c r="AI10" i="2" s="1"/>
  <c r="AJ10" i="2" s="1"/>
  <c r="X11" i="2"/>
  <c r="AE11" i="2" s="1"/>
  <c r="F10" i="3"/>
  <c r="F9" i="3"/>
  <c r="F8" i="3"/>
  <c r="F7" i="3"/>
  <c r="AI7" i="2" l="1"/>
  <c r="AJ7" i="2" s="1"/>
  <c r="AG7" i="2"/>
  <c r="AF11" i="2"/>
  <c r="O30" i="1"/>
  <c r="E30" i="1"/>
  <c r="F30" i="1"/>
  <c r="G30" i="1"/>
  <c r="H30" i="1"/>
  <c r="E9" i="1"/>
  <c r="S9" i="1" s="1"/>
  <c r="F9" i="1"/>
  <c r="G9" i="1"/>
  <c r="U9" i="1" s="1"/>
  <c r="H9" i="1"/>
  <c r="E10" i="1"/>
  <c r="S10" i="1" s="1"/>
  <c r="F10" i="1"/>
  <c r="G10" i="1"/>
  <c r="H10" i="1"/>
  <c r="E11" i="1"/>
  <c r="S11" i="1" s="1"/>
  <c r="F11" i="1"/>
  <c r="G11" i="1"/>
  <c r="U11" i="1" s="1"/>
  <c r="H11" i="1"/>
  <c r="E12" i="1"/>
  <c r="S12" i="1" s="1"/>
  <c r="F12" i="1"/>
  <c r="G12" i="1"/>
  <c r="U12" i="1" s="1"/>
  <c r="H12" i="1"/>
  <c r="E13" i="1"/>
  <c r="S13" i="1" s="1"/>
  <c r="F13" i="1"/>
  <c r="G13" i="1"/>
  <c r="H13" i="1"/>
  <c r="E14" i="1"/>
  <c r="S14" i="1" s="1"/>
  <c r="F14" i="1"/>
  <c r="G14" i="1"/>
  <c r="H14" i="1"/>
  <c r="E15" i="1"/>
  <c r="S15" i="1" s="1"/>
  <c r="F15" i="1"/>
  <c r="G15" i="1"/>
  <c r="U15" i="1" s="1"/>
  <c r="H15" i="1"/>
  <c r="E16" i="1"/>
  <c r="S16" i="1" s="1"/>
  <c r="F16" i="1"/>
  <c r="G16" i="1"/>
  <c r="H16" i="1"/>
  <c r="E17" i="1"/>
  <c r="S17" i="1" s="1"/>
  <c r="F17" i="1"/>
  <c r="G17" i="1"/>
  <c r="H17" i="1"/>
  <c r="E18" i="1"/>
  <c r="S18" i="1" s="1"/>
  <c r="F18" i="1"/>
  <c r="G18" i="1"/>
  <c r="H18" i="1"/>
  <c r="H8" i="1"/>
  <c r="G8" i="1"/>
  <c r="F8" i="1"/>
  <c r="E8" i="1"/>
  <c r="S8" i="1" s="1"/>
  <c r="O9" i="1"/>
  <c r="O10" i="1"/>
  <c r="O11" i="1"/>
  <c r="O12" i="1"/>
  <c r="O13" i="1"/>
  <c r="O14" i="1"/>
  <c r="O15" i="1"/>
  <c r="L9" i="1"/>
  <c r="L10" i="1"/>
  <c r="L11" i="1"/>
  <c r="L12" i="1"/>
  <c r="L13" i="1"/>
  <c r="L14" i="1"/>
  <c r="L15" i="1"/>
  <c r="L16" i="1"/>
  <c r="O16" i="1" s="1"/>
  <c r="L17" i="1"/>
  <c r="O17" i="1" s="1"/>
  <c r="L18" i="1"/>
  <c r="O18" i="1" s="1"/>
  <c r="B23" i="1"/>
  <c r="B28" i="1" s="1"/>
  <c r="L8" i="1"/>
  <c r="U18" i="1" l="1"/>
  <c r="U14" i="1"/>
  <c r="U10" i="1"/>
  <c r="AI11" i="2"/>
  <c r="AJ11" i="2" s="1"/>
  <c r="AG11" i="2"/>
  <c r="U17" i="1"/>
  <c r="U16" i="1"/>
  <c r="X16" i="1" s="1"/>
  <c r="U13" i="1"/>
  <c r="X13" i="1" s="1"/>
  <c r="AG18" i="1"/>
  <c r="AG17" i="1"/>
  <c r="AG16" i="1"/>
  <c r="AG15" i="1"/>
  <c r="AG14" i="1"/>
  <c r="AG13" i="1"/>
  <c r="AG12" i="1"/>
  <c r="AG11" i="1"/>
  <c r="AG10" i="1"/>
  <c r="AG9" i="1"/>
  <c r="AG30" i="1"/>
  <c r="AG8" i="1"/>
  <c r="X15" i="1"/>
  <c r="X9" i="1"/>
  <c r="X17" i="1"/>
  <c r="X11" i="1"/>
  <c r="S30" i="1"/>
  <c r="U30" i="1"/>
  <c r="P13" i="1"/>
  <c r="Q13" i="1" s="1"/>
  <c r="K13" i="1" s="1"/>
  <c r="P10" i="1"/>
  <c r="Q10" i="1" s="1"/>
  <c r="K10" i="1" s="1"/>
  <c r="X18" i="1"/>
  <c r="X14" i="1"/>
  <c r="X12" i="1"/>
  <c r="X10" i="1"/>
  <c r="P30" i="1"/>
  <c r="Q30" i="1" s="1"/>
  <c r="K30" i="1" s="1"/>
  <c r="P9" i="1"/>
  <c r="Q9" i="1" s="1"/>
  <c r="K9" i="1" s="1"/>
  <c r="P17" i="1"/>
  <c r="Q17" i="1" s="1"/>
  <c r="K17" i="1" s="1"/>
  <c r="P11" i="1"/>
  <c r="Q11" i="1" s="1"/>
  <c r="K11" i="1" s="1"/>
  <c r="P15" i="1"/>
  <c r="Q15" i="1" s="1"/>
  <c r="K15" i="1" s="1"/>
  <c r="P16" i="1"/>
  <c r="Q16" i="1" s="1"/>
  <c r="K16" i="1" s="1"/>
  <c r="P14" i="1"/>
  <c r="Q14" i="1" s="1"/>
  <c r="K14" i="1" s="1"/>
  <c r="P18" i="1"/>
  <c r="Q18" i="1" s="1"/>
  <c r="K18" i="1" s="1"/>
  <c r="P12" i="1"/>
  <c r="Q12" i="1" s="1"/>
  <c r="K12" i="1" s="1"/>
  <c r="U8" i="1"/>
  <c r="X8" i="1" s="1"/>
  <c r="O8" i="1"/>
  <c r="P8" i="1" s="1"/>
  <c r="Q8" i="1" s="1"/>
  <c r="K8" i="1" s="1"/>
  <c r="T17" i="1" l="1"/>
  <c r="T11" i="1"/>
  <c r="T30" i="1"/>
  <c r="T14" i="1"/>
  <c r="M10" i="1"/>
  <c r="V10" i="1" s="1"/>
  <c r="AE10" i="1" s="1"/>
  <c r="T9" i="1"/>
  <c r="M13" i="1"/>
  <c r="V13" i="1" s="1"/>
  <c r="AE13" i="1" s="1"/>
  <c r="T13" i="1"/>
  <c r="X30" i="1"/>
  <c r="T10" i="1"/>
  <c r="M30" i="1"/>
  <c r="V30" i="1" s="1"/>
  <c r="AE30" i="1" s="1"/>
  <c r="M9" i="1"/>
  <c r="V9" i="1" s="1"/>
  <c r="AE9" i="1" s="1"/>
  <c r="M14" i="1"/>
  <c r="V14" i="1" s="1"/>
  <c r="AE14" i="1" s="1"/>
  <c r="M18" i="1"/>
  <c r="V18" i="1" s="1"/>
  <c r="AE18" i="1" s="1"/>
  <c r="M15" i="1"/>
  <c r="V15" i="1" s="1"/>
  <c r="AE15" i="1" s="1"/>
  <c r="M12" i="1"/>
  <c r="V12" i="1" s="1"/>
  <c r="AE12" i="1" s="1"/>
  <c r="M16" i="1"/>
  <c r="V16" i="1" s="1"/>
  <c r="AE16" i="1" s="1"/>
  <c r="M17" i="1"/>
  <c r="V17" i="1" s="1"/>
  <c r="AE17" i="1" s="1"/>
  <c r="M11" i="1"/>
  <c r="V11" i="1" s="1"/>
  <c r="AE11" i="1" s="1"/>
  <c r="T15" i="1"/>
  <c r="T16" i="1"/>
  <c r="AH16" i="1" s="1"/>
  <c r="AI16" i="1" s="1"/>
  <c r="T12" i="1"/>
  <c r="AH12" i="1" s="1"/>
  <c r="AI12" i="1" s="1"/>
  <c r="T18" i="1"/>
  <c r="T8" i="1"/>
  <c r="AH8" i="1" s="1"/>
  <c r="AI8" i="1" s="1"/>
  <c r="M8" i="1"/>
  <c r="V8" i="1" s="1"/>
  <c r="AE8" i="1" s="1"/>
  <c r="AD9" i="1" l="1"/>
  <c r="AH9" i="1"/>
  <c r="AI9" i="1" s="1"/>
  <c r="AD30" i="1"/>
  <c r="AH30" i="1"/>
  <c r="AI30" i="1" s="1"/>
  <c r="AD15" i="1"/>
  <c r="AH15" i="1"/>
  <c r="AI15" i="1" s="1"/>
  <c r="AD17" i="1"/>
  <c r="AH17" i="1"/>
  <c r="AI17" i="1" s="1"/>
  <c r="AD10" i="1"/>
  <c r="AH10" i="1"/>
  <c r="AI10" i="1" s="1"/>
  <c r="AD11" i="1"/>
  <c r="AH11" i="1"/>
  <c r="AI11" i="1" s="1"/>
  <c r="AD18" i="1"/>
  <c r="AH18" i="1"/>
  <c r="AI18" i="1" s="1"/>
  <c r="AD13" i="1"/>
  <c r="AH13" i="1"/>
  <c r="AI13" i="1" s="1"/>
  <c r="AD14" i="1"/>
  <c r="AH14" i="1"/>
  <c r="AI14" i="1" s="1"/>
  <c r="AA8" i="1"/>
  <c r="AB8" i="1" s="1"/>
  <c r="AD8" i="1"/>
  <c r="AA16" i="1"/>
  <c r="AB16" i="1" s="1"/>
  <c r="AD16" i="1"/>
  <c r="AA12" i="1"/>
  <c r="AB12" i="1" s="1"/>
  <c r="AD12" i="1"/>
  <c r="AA30" i="1"/>
  <c r="AA13" i="1"/>
  <c r="AB13" i="1" s="1"/>
  <c r="AA15" i="1"/>
  <c r="AB15" i="1" s="1"/>
  <c r="AA17" i="1"/>
  <c r="AB17" i="1" s="1"/>
  <c r="AA18" i="1"/>
  <c r="AB18" i="1" s="1"/>
  <c r="Y10" i="1"/>
  <c r="AA10" i="1"/>
  <c r="AB10" i="1" s="1"/>
  <c r="Y13" i="1"/>
  <c r="AA9" i="1"/>
  <c r="AB9" i="1" s="1"/>
  <c r="AA14" i="1"/>
  <c r="AB14" i="1" s="1"/>
  <c r="AA11" i="1"/>
  <c r="AB11" i="1" s="1"/>
  <c r="Y16" i="1"/>
  <c r="Y15" i="1"/>
  <c r="Y18" i="1"/>
  <c r="Y30" i="1"/>
  <c r="Y9" i="1"/>
  <c r="Y11" i="1"/>
  <c r="Y14" i="1"/>
  <c r="Y17" i="1"/>
  <c r="Y12" i="1"/>
  <c r="Y8" i="1"/>
  <c r="AD2" i="1" l="1"/>
  <c r="AB30" i="1"/>
</calcChain>
</file>

<file path=xl/sharedStrings.xml><?xml version="1.0" encoding="utf-8"?>
<sst xmlns="http://schemas.openxmlformats.org/spreadsheetml/2006/main" count="111" uniqueCount="64">
  <si>
    <t>monolayer bending modulus (kT)</t>
  </si>
  <si>
    <t>lipid density (nm^-2)</t>
  </si>
  <si>
    <t>l_pore</t>
  </si>
  <si>
    <t>Species 1</t>
  </si>
  <si>
    <t>Spontaneous curvature (nm^-1)</t>
  </si>
  <si>
    <t>Species 2</t>
  </si>
  <si>
    <t>Bulk</t>
  </si>
  <si>
    <t>Pore</t>
  </si>
  <si>
    <t>monolayer thickness</t>
  </si>
  <si>
    <t>Ratio (1:2)</t>
  </si>
  <si>
    <t>Pore fraction</t>
  </si>
  <si>
    <t>Free energy per lipid (kT)</t>
  </si>
  <si>
    <t>Fraction lipid</t>
  </si>
  <si>
    <t>Weighted average</t>
  </si>
  <si>
    <t>Line tension</t>
  </si>
  <si>
    <t>(kT/nm)</t>
  </si>
  <si>
    <t>Bending energy per lipid (kT)</t>
  </si>
  <si>
    <t>Pure DOPC line tension</t>
  </si>
  <si>
    <t>Pure DOPC gamma_crit</t>
  </si>
  <si>
    <t>Gamma_crit</t>
  </si>
  <si>
    <t>(mN/m)</t>
  </si>
  <si>
    <t>ulk</t>
  </si>
  <si>
    <t>deadendfraction =</t>
  </si>
  <si>
    <t>fusionfraction =</t>
  </si>
  <si>
    <t>lysisfraction =</t>
  </si>
  <si>
    <t>Tfusion =</t>
  </si>
  <si>
    <t>Tlysis =</t>
  </si>
  <si>
    <t>25% PS</t>
  </si>
  <si>
    <t>9% PS</t>
  </si>
  <si>
    <t>50% PS</t>
  </si>
  <si>
    <t>100% PS</t>
  </si>
  <si>
    <t>PS %</t>
  </si>
  <si>
    <t>D</t>
  </si>
  <si>
    <t>F</t>
  </si>
  <si>
    <t>L</t>
  </si>
  <si>
    <t>free energy per lipid</t>
  </si>
  <si>
    <t>deltaf1</t>
  </si>
  <si>
    <t>T_pore_ves</t>
  </si>
  <si>
    <t>T_pore_hd</t>
  </si>
  <si>
    <t>Tension</t>
  </si>
  <si>
    <t>v*</t>
  </si>
  <si>
    <t>gamma*</t>
  </si>
  <si>
    <t>v_rup</t>
  </si>
  <si>
    <t>gamma_rup</t>
  </si>
  <si>
    <t>k*</t>
  </si>
  <si>
    <t>krup</t>
  </si>
  <si>
    <t>tau_rup</t>
  </si>
  <si>
    <t>PS/PE</t>
  </si>
  <si>
    <t>PS</t>
  </si>
  <si>
    <t>PC</t>
  </si>
  <si>
    <t>tau_*</t>
  </si>
  <si>
    <t>prob_rup</t>
  </si>
  <si>
    <t>ves</t>
  </si>
  <si>
    <t>HD</t>
  </si>
  <si>
    <t>0% LPC</t>
  </si>
  <si>
    <t>LPC/lect</t>
  </si>
  <si>
    <t>*approximated by</t>
  </si>
  <si>
    <t>40%PS, 60% PE</t>
  </si>
  <si>
    <t>----&gt;</t>
  </si>
  <si>
    <t>tension where</t>
  </si>
  <si>
    <t>fusion occurs</t>
  </si>
  <si>
    <t>VES-BLM</t>
  </si>
  <si>
    <t>DOPE</t>
  </si>
  <si>
    <t>DOPS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</si>
</sst>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9" fontId="0" fillId="0" borderId="0" xfId="0" applyNumberFormat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0783522749336"/>
          <c:y val="5.7060002916302165E-2"/>
          <c:w val="0.76391347633270024"/>
          <c:h val="0.7115893846602505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line_tension!$K$8:$K$18</c:f>
              <c:numCache>
                <c:formatCode>General</c:formatCode>
                <c:ptCount val="11"/>
                <c:pt idx="0">
                  <c:v>4.2864993508774143E-6</c:v>
                </c:pt>
                <c:pt idx="1">
                  <c:v>0.18407708177667259</c:v>
                </c:pt>
                <c:pt idx="2">
                  <c:v>0.32262139035582721</c:v>
                </c:pt>
                <c:pt idx="3">
                  <c:v>0.43066772561299282</c:v>
                </c:pt>
                <c:pt idx="4">
                  <c:v>0.51728793663589812</c:v>
                </c:pt>
                <c:pt idx="5">
                  <c:v>0.58828045466264212</c:v>
                </c:pt>
                <c:pt idx="6">
                  <c:v>0.64752457062056834</c:v>
                </c:pt>
                <c:pt idx="7">
                  <c:v>0.69771374442685108</c:v>
                </c:pt>
                <c:pt idx="8">
                  <c:v>0.74077654602580323</c:v>
                </c:pt>
                <c:pt idx="9">
                  <c:v>0.77813017405547014</c:v>
                </c:pt>
                <c:pt idx="10">
                  <c:v>0.81083941020286565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D-446F-A662-F8FBD91D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9568"/>
        <c:axId val="98944896"/>
      </c:scatterChart>
      <c:valAx>
        <c:axId val="989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Bulk Fraction Lipid Species</a:t>
                </a:r>
                <a:r>
                  <a:rPr lang="en-US" sz="1050" baseline="0"/>
                  <a:t> 1</a:t>
                </a:r>
                <a:endParaRPr lang="en-US" sz="105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944896"/>
        <c:crosses val="autoZero"/>
        <c:crossBetween val="midCat"/>
      </c:valAx>
      <c:valAx>
        <c:axId val="98944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Pore Fraction Lipid Species 1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9095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0783522749358"/>
          <c:y val="5.7060002916302206E-2"/>
          <c:w val="0.76391347633270079"/>
          <c:h val="0.71158938466025057"/>
        </c:manualLayout>
      </c:layou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line_tension!$AA$8:$AA$18</c:f>
              <c:numCache>
                <c:formatCode>General</c:formatCode>
                <c:ptCount val="11"/>
                <c:pt idx="0">
                  <c:v>4.5083171432809781</c:v>
                </c:pt>
                <c:pt idx="1">
                  <c:v>4.1862899942920375</c:v>
                </c:pt>
                <c:pt idx="2">
                  <c:v>3.9068427851599461</c:v>
                </c:pt>
                <c:pt idx="3">
                  <c:v>3.6600231043851257</c:v>
                </c:pt>
                <c:pt idx="4">
                  <c:v>3.4390023160060523</c:v>
                </c:pt>
                <c:pt idx="5">
                  <c:v>3.238893897556375</c:v>
                </c:pt>
                <c:pt idx="6">
                  <c:v>3.0560803292763552</c:v>
                </c:pt>
                <c:pt idx="7">
                  <c:v>2.8878084847790007</c:v>
                </c:pt>
                <c:pt idx="8">
                  <c:v>2.7319344410538289</c:v>
                </c:pt>
                <c:pt idx="9">
                  <c:v>2.586756022717458</c:v>
                </c:pt>
                <c:pt idx="10">
                  <c:v>2.4508992020689968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FE-4756-9843-41655E0AD260}"/>
            </c:ext>
          </c:extLst>
        </c:ser>
        <c:ser>
          <c:idx val="0"/>
          <c:order val="0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line_tension!$AA$8:$AA$18</c:f>
              <c:numCache>
                <c:formatCode>General</c:formatCode>
                <c:ptCount val="11"/>
                <c:pt idx="0">
                  <c:v>4.5083171432809781</c:v>
                </c:pt>
                <c:pt idx="1">
                  <c:v>4.1862899942920375</c:v>
                </c:pt>
                <c:pt idx="2">
                  <c:v>3.9068427851599461</c:v>
                </c:pt>
                <c:pt idx="3">
                  <c:v>3.6600231043851257</c:v>
                </c:pt>
                <c:pt idx="4">
                  <c:v>3.4390023160060523</c:v>
                </c:pt>
                <c:pt idx="5">
                  <c:v>3.238893897556375</c:v>
                </c:pt>
                <c:pt idx="6">
                  <c:v>3.0560803292763552</c:v>
                </c:pt>
                <c:pt idx="7">
                  <c:v>2.8878084847790007</c:v>
                </c:pt>
                <c:pt idx="8">
                  <c:v>2.7319344410538289</c:v>
                </c:pt>
                <c:pt idx="9">
                  <c:v>2.586756022717458</c:v>
                </c:pt>
                <c:pt idx="10">
                  <c:v>2.4508992020689968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FE-4756-9843-41655E0A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49984"/>
        <c:axId val="98656256"/>
      </c:scatterChart>
      <c:valAx>
        <c:axId val="9864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Bulk Fraction Lipid Species</a:t>
                </a:r>
                <a:r>
                  <a:rPr lang="en-US" sz="1050" baseline="0"/>
                  <a:t> 1</a:t>
                </a:r>
                <a:endParaRPr lang="en-US" sz="105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656256"/>
        <c:crosses val="autoZero"/>
        <c:crossBetween val="midCat"/>
      </c:valAx>
      <c:valAx>
        <c:axId val="98656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Line Tension (kT/nm)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6499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00783522749369"/>
          <c:y val="5.7060002916302234E-2"/>
          <c:w val="0.76391347633270101"/>
          <c:h val="0.7115893846602505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line_tension!$J$8:$J$18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line_tension!$AB$8:$AB$18</c:f>
              <c:numCache>
                <c:formatCode>General</c:formatCode>
                <c:ptCount val="11"/>
                <c:pt idx="0">
                  <c:v>268.67922826061169</c:v>
                </c:pt>
                <c:pt idx="1">
                  <c:v>231.66679615448015</c:v>
                </c:pt>
                <c:pt idx="2">
                  <c:v>201.77020890754417</c:v>
                </c:pt>
                <c:pt idx="3">
                  <c:v>177.08135121234761</c:v>
                </c:pt>
                <c:pt idx="4">
                  <c:v>156.34000081838013</c:v>
                </c:pt>
                <c:pt idx="5">
                  <c:v>138.67514089773744</c:v>
                </c:pt>
                <c:pt idx="6">
                  <c:v>123.46239696066291</c:v>
                </c:pt>
                <c:pt idx="7">
                  <c:v>110.24069675747234</c:v>
                </c:pt>
                <c:pt idx="8">
                  <c:v>98.661046974024586</c:v>
                </c:pt>
                <c:pt idx="9">
                  <c:v>88.45372180710298</c:v>
                </c:pt>
                <c:pt idx="10">
                  <c:v>79.406503675327343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7-4577-B5EB-B75FF3B1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52320"/>
        <c:axId val="98686080"/>
      </c:scatterChart>
      <c:valAx>
        <c:axId val="989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Bulk Fraction Lipid Species</a:t>
                </a:r>
                <a:r>
                  <a:rPr lang="en-US" sz="1050" baseline="0"/>
                  <a:t> 1</a:t>
                </a:r>
                <a:endParaRPr lang="en-US" sz="105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686080"/>
        <c:crosses val="autoZero"/>
        <c:crossBetween val="midCat"/>
      </c:valAx>
      <c:valAx>
        <c:axId val="98686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Critical</a:t>
                </a:r>
                <a:r>
                  <a:rPr lang="en-US" sz="1050" baseline="0"/>
                  <a:t> Tension (mN/m)</a:t>
                </a:r>
                <a:endParaRPr lang="en-US" sz="105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89523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72961961844322"/>
          <c:y val="5.1400554097404488E-2"/>
          <c:w val="0.75704411015787298"/>
          <c:h val="0.7882207683282465"/>
        </c:manualLayout>
      </c:layout>
      <c:scatterChart>
        <c:scatterStyle val="smoothMarker"/>
        <c:varyColors val="0"/>
        <c:ser>
          <c:idx val="0"/>
          <c:order val="0"/>
          <c:tx>
            <c:v>Dead-end Hemifusion</c:v>
          </c:tx>
          <c:xVal>
            <c:numRef>
              <c:f>outcome_predictions!$N$3:$N$6</c:f>
              <c:numCache>
                <c:formatCode>General</c:formatCode>
                <c:ptCount val="4"/>
                <c:pt idx="0">
                  <c:v>0.09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outcome_predictions!$O$3:$O$6</c:f>
              <c:numCache>
                <c:formatCode>General</c:formatCode>
                <c:ptCount val="4"/>
                <c:pt idx="0">
                  <c:v>0.999</c:v>
                </c:pt>
                <c:pt idx="1">
                  <c:v>0.94</c:v>
                </c:pt>
                <c:pt idx="2">
                  <c:v>0.44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8-4376-B297-0A40C772DE78}"/>
            </c:ext>
          </c:extLst>
        </c:ser>
        <c:ser>
          <c:idx val="1"/>
          <c:order val="1"/>
          <c:tx>
            <c:v>Fusion</c:v>
          </c:tx>
          <c:xVal>
            <c:numRef>
              <c:f>outcome_predictions!$N$3:$N$6</c:f>
              <c:numCache>
                <c:formatCode>General</c:formatCode>
                <c:ptCount val="4"/>
                <c:pt idx="0">
                  <c:v>0.09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outcome_predictions!$P$3:$P$6</c:f>
              <c:numCache>
                <c:formatCode>General</c:formatCode>
                <c:ptCount val="4"/>
                <c:pt idx="0">
                  <c:v>1E-3</c:v>
                </c:pt>
                <c:pt idx="1">
                  <c:v>0.06</c:v>
                </c:pt>
                <c:pt idx="2">
                  <c:v>0.56000000000000005</c:v>
                </c:pt>
                <c:pt idx="3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8-4376-B297-0A40C772DE78}"/>
            </c:ext>
          </c:extLst>
        </c:ser>
        <c:ser>
          <c:idx val="2"/>
          <c:order val="2"/>
          <c:tx>
            <c:v>Lysis</c:v>
          </c:tx>
          <c:xVal>
            <c:numRef>
              <c:f>outcome_predictions!$N$3:$N$6</c:f>
              <c:numCache>
                <c:formatCode>General</c:formatCode>
                <c:ptCount val="4"/>
                <c:pt idx="0">
                  <c:v>0.09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outcome_predictions!$Q$3:$Q$6</c:f>
              <c:numCache>
                <c:formatCode>0.00E+00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1.4E-3</c:v>
                </c:pt>
                <c:pt idx="3" formatCode="General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8-4376-B297-0A40C772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51072"/>
        <c:axId val="98857344"/>
      </c:scatterChart>
      <c:valAx>
        <c:axId val="988510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DOPS</a:t>
                </a:r>
                <a:r>
                  <a:rPr lang="en-US" sz="1200" baseline="0"/>
                  <a:t> Fraction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7720327910553034"/>
              <c:y val="0.9307335392908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8857344"/>
        <c:crosses val="autoZero"/>
        <c:crossBetween val="midCat"/>
        <c:minorUnit val="0.1"/>
      </c:valAx>
      <c:valAx>
        <c:axId val="988573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US" sz="1400" b="1"/>
                  <a:t>Outcome Probability</a:t>
                </a:r>
              </a:p>
            </c:rich>
          </c:tx>
          <c:layout>
            <c:manualLayout>
              <c:xMode val="edge"/>
              <c:yMode val="edge"/>
              <c:x val="4.3110062784002215E-2"/>
              <c:y val="0.214784662913265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8851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963000219686197"/>
          <c:y val="3.6461067366579218E-2"/>
          <c:w val="0.49449489518656004"/>
          <c:h val="0.2384142607174105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184785</xdr:colOff>
      <xdr:row>32</xdr:row>
      <xdr:rowOff>83820</xdr:rowOff>
    </xdr:from>
    <xdr:to>
      <xdr:col>16</xdr:col>
      <xdr:colOff>499110</xdr:colOff>
      <xdr:row>44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419100</xdr:colOff>
      <xdr:row>32</xdr:row>
      <xdr:rowOff>129540</xdr:rowOff>
    </xdr:from>
    <xdr:to>
      <xdr:col>24</xdr:col>
      <xdr:colOff>323850</xdr:colOff>
      <xdr:row>44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205740</xdr:colOff>
      <xdr:row>32</xdr:row>
      <xdr:rowOff>0</xdr:rowOff>
    </xdr:from>
    <xdr:to>
      <xdr:col>33</xdr:col>
      <xdr:colOff>577215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10</xdr:row>
      <xdr:rowOff>171449</xdr:rowOff>
    </xdr:from>
    <xdr:to>
      <xdr:col>11</xdr:col>
      <xdr:colOff>85725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34"/>
  <sheetViews>
    <sheetView tabSelected="1" workbookViewId="0">
      <selection activeCell="B12" sqref="B12"/>
    </sheetView>
  </sheetViews>
  <sheetFormatPr defaultRowHeight="14.4" x14ac:dyDescent="0.3"/>
  <cols>
    <col min="2" max="2" width="31" bestFit="1" customWidth="1"/>
    <col min="3" max="3" width="3" customWidth="1"/>
    <col min="4" max="4" width="1.88671875" customWidth="1"/>
    <col min="6" max="6" width="6.44140625" customWidth="1"/>
    <col min="9" max="9" width="2.33203125" customWidth="1"/>
    <col min="10" max="10" width="8.88671875" customWidth="1"/>
    <col min="11" max="11" width="6.44140625" customWidth="1"/>
    <col min="12" max="12" width="10.6640625" bestFit="1" customWidth="1"/>
    <col min="13" max="13" width="6.44140625" customWidth="1"/>
    <col min="14" max="14" width="2.109375" customWidth="1"/>
    <col min="18" max="18" width="3.88671875" customWidth="1"/>
    <col min="23" max="23" width="2" customWidth="1"/>
    <col min="26" max="26" width="1.6640625" customWidth="1"/>
    <col min="27" max="27" width="13.5546875" customWidth="1"/>
  </cols>
  <sheetData>
    <row r="1" spans="2:39" x14ac:dyDescent="0.3">
      <c r="B1" t="s">
        <v>0</v>
      </c>
    </row>
    <row r="2" spans="2:39" x14ac:dyDescent="0.3">
      <c r="B2">
        <v>11</v>
      </c>
      <c r="AD2">
        <f>(AA30-AA13)/AA30</f>
        <v>-0.81969676003150416</v>
      </c>
    </row>
    <row r="3" spans="2:39" x14ac:dyDescent="0.3">
      <c r="B3" t="s">
        <v>1</v>
      </c>
    </row>
    <row r="4" spans="2:39" x14ac:dyDescent="0.3">
      <c r="B4">
        <f>1/0.6</f>
        <v>1.6666666666666667</v>
      </c>
    </row>
    <row r="5" spans="2:39" x14ac:dyDescent="0.3">
      <c r="B5" t="s">
        <v>8</v>
      </c>
      <c r="E5" s="1" t="s">
        <v>16</v>
      </c>
      <c r="J5" s="1" t="s">
        <v>12</v>
      </c>
      <c r="S5" s="1" t="s">
        <v>11</v>
      </c>
      <c r="X5" s="1" t="s">
        <v>13</v>
      </c>
      <c r="AA5" s="1" t="s">
        <v>14</v>
      </c>
      <c r="AB5" s="1" t="s">
        <v>19</v>
      </c>
    </row>
    <row r="6" spans="2:39" x14ac:dyDescent="0.3">
      <c r="B6">
        <v>1.9</v>
      </c>
      <c r="E6" t="s">
        <v>3</v>
      </c>
      <c r="G6" t="s">
        <v>5</v>
      </c>
      <c r="J6" t="s">
        <v>3</v>
      </c>
      <c r="L6" t="s">
        <v>5</v>
      </c>
      <c r="O6" t="s">
        <v>9</v>
      </c>
      <c r="Q6" t="s">
        <v>3</v>
      </c>
      <c r="S6" t="s">
        <v>3</v>
      </c>
      <c r="U6" t="s">
        <v>5</v>
      </c>
      <c r="X6" s="1" t="s">
        <v>35</v>
      </c>
      <c r="AA6" s="1" t="s">
        <v>15</v>
      </c>
      <c r="AB6" s="1" t="s">
        <v>20</v>
      </c>
    </row>
    <row r="7" spans="2:39" x14ac:dyDescent="0.3">
      <c r="B7" t="s">
        <v>2</v>
      </c>
      <c r="E7" t="s">
        <v>6</v>
      </c>
      <c r="F7" t="s">
        <v>7</v>
      </c>
      <c r="G7" t="s">
        <v>6</v>
      </c>
      <c r="H7" t="s">
        <v>7</v>
      </c>
      <c r="J7" t="s">
        <v>6</v>
      </c>
      <c r="K7" t="s">
        <v>7</v>
      </c>
      <c r="L7" t="s">
        <v>6</v>
      </c>
      <c r="M7" t="s">
        <v>7</v>
      </c>
      <c r="O7" t="s">
        <v>6</v>
      </c>
      <c r="P7" t="s">
        <v>7</v>
      </c>
      <c r="Q7" t="s">
        <v>10</v>
      </c>
      <c r="S7" t="s">
        <v>6</v>
      </c>
      <c r="T7" t="s">
        <v>7</v>
      </c>
      <c r="U7" t="s">
        <v>6</v>
      </c>
      <c r="V7" t="s">
        <v>7</v>
      </c>
      <c r="X7" t="s">
        <v>6</v>
      </c>
      <c r="Y7" t="s">
        <v>7</v>
      </c>
      <c r="AG7" t="s">
        <v>36</v>
      </c>
    </row>
    <row r="8" spans="2:39" x14ac:dyDescent="0.3">
      <c r="B8">
        <v>1.27</v>
      </c>
      <c r="E8">
        <f>1/$B$4*$B$2/2*$B$14^2</f>
        <v>1.5711300000000001E-2</v>
      </c>
      <c r="F8">
        <f>1/$B$4*$B$2/2*(1/$B$6^2-2*$B$14/$B$6+$B$14^2)</f>
        <v>0.69015451329639887</v>
      </c>
      <c r="G8">
        <f>1/$B$4*$B$2/2*$B$19^2</f>
        <v>0.40424999999999994</v>
      </c>
      <c r="H8">
        <f>1/$B$4*$B$2/2*(1/$B$6^2-2*$B$19/$B$6+$B$19^2)</f>
        <v>2.5341668975069251</v>
      </c>
      <c r="J8">
        <v>9.9999999999999995E-7</v>
      </c>
      <c r="K8">
        <f>Q8</f>
        <v>4.2864993508774143E-6</v>
      </c>
      <c r="L8">
        <f>1-J8</f>
        <v>0.99999899999999997</v>
      </c>
      <c r="M8">
        <f>1-K8</f>
        <v>0.99999571350064909</v>
      </c>
      <c r="O8">
        <f>J8/L8</f>
        <v>1.0000010000009999E-6</v>
      </c>
      <c r="P8">
        <f>O8*EXP(H8-G8-F8+E8)</f>
        <v>4.28651772503286E-6</v>
      </c>
      <c r="Q8">
        <f>(1/P8+1)^(-1)</f>
        <v>4.2864993508774143E-6</v>
      </c>
      <c r="S8">
        <f>E8+LN(J8)-1</f>
        <v>-14.799799257964274</v>
      </c>
      <c r="T8">
        <f>F8+LN(K8)-1</f>
        <v>-12.669885646965387</v>
      </c>
      <c r="U8">
        <f>G8+LN(L8)-1</f>
        <v>-0.59575100000050007</v>
      </c>
      <c r="V8">
        <f>H8+LN(M8)-1</f>
        <v>1.5341626109983872</v>
      </c>
      <c r="X8">
        <f>J8*S8+L8*U8</f>
        <v>-0.5957652040487581</v>
      </c>
      <c r="Y8">
        <f>K8*T8+M8*V8</f>
        <v>1.5341017253547495</v>
      </c>
      <c r="AA8">
        <f>(K8*(T8-S8)+M8*(V8-U8))*$B$8*$B$4</f>
        <v>4.5083171432809781</v>
      </c>
      <c r="AB8">
        <f>$B$25/$B$23^2*AA8^2</f>
        <v>268.67922826061169</v>
      </c>
      <c r="AD8">
        <f>$B$8*$B$4*(T8-S8)</f>
        <v>4.5083171432809781</v>
      </c>
      <c r="AE8">
        <f>$B$8*$B$4*(V8-U8)</f>
        <v>4.5083171432809781</v>
      </c>
      <c r="AG8">
        <f>F8-E8-LN(J8+(1-J8)*EXP(F8-E8-H8+G8))</f>
        <v>2.1299136109988872</v>
      </c>
      <c r="AH8">
        <f>T8-S8</f>
        <v>2.1299136109988872</v>
      </c>
      <c r="AI8">
        <f>AH8*$B$4*$B$8</f>
        <v>4.5083171432809781</v>
      </c>
      <c r="AL8">
        <f>2.1-LN(J8+(1-J8)*EXP(1.4))</f>
        <v>0.70000075340331991</v>
      </c>
      <c r="AM8">
        <f>AL8*$B$4*$B$8</f>
        <v>1.4816682613703605</v>
      </c>
    </row>
    <row r="9" spans="2:39" x14ac:dyDescent="0.3">
      <c r="E9">
        <f t="shared" ref="E9:E30" si="0">1/$B$4*$B$2/2*$B$14^2</f>
        <v>1.5711300000000001E-2</v>
      </c>
      <c r="F9">
        <f t="shared" ref="F9:F30" si="1">1/$B$4*$B$2/2*(1/$B$6^2-2*$B$14/$B$6+$B$14^2)</f>
        <v>0.69015451329639887</v>
      </c>
      <c r="G9">
        <f t="shared" ref="G9:G30" si="2">1/$B$4*$B$2/2*$B$19^2</f>
        <v>0.40424999999999994</v>
      </c>
      <c r="H9">
        <f t="shared" ref="H9:H30" si="3">1/$B$4*$B$2/2*(1/$B$6^2-2*$B$19/$B$6+$B$19^2)</f>
        <v>2.5341668975069251</v>
      </c>
      <c r="J9">
        <v>0.05</v>
      </c>
      <c r="K9">
        <f t="shared" ref="K9:K28" si="4">Q9</f>
        <v>0.18407708177667259</v>
      </c>
      <c r="L9">
        <f t="shared" ref="L9:L28" si="5">1-J9</f>
        <v>0.95</v>
      </c>
      <c r="M9">
        <f t="shared" ref="M9:M28" si="6">1-K9</f>
        <v>0.81592291822332741</v>
      </c>
      <c r="O9">
        <f t="shared" ref="O9:O28" si="7">J9/L9</f>
        <v>5.2631578947368425E-2</v>
      </c>
      <c r="P9">
        <f t="shared" ref="P9:P28" si="8">O9*EXP(H9-G9-F9+E9)</f>
        <v>0.22560597044816505</v>
      </c>
      <c r="Q9">
        <f t="shared" ref="Q9:Q28" si="9">(1/P9+1)^(-1)</f>
        <v>0.18407708177667259</v>
      </c>
      <c r="S9">
        <f t="shared" ref="S9:S28" si="10">E9+LN(J9)-1</f>
        <v>-3.9800209735539909</v>
      </c>
      <c r="T9">
        <f t="shared" ref="T9:T28" si="11">F9+LN(K9)-1</f>
        <v>-2.0022461731010601</v>
      </c>
      <c r="U9">
        <f t="shared" ref="U9:U28" si="12">G9+LN(L9)-1</f>
        <v>-0.64704329438755059</v>
      </c>
      <c r="V9">
        <f t="shared" ref="V9:V28" si="13">H9+LN(M9)-1</f>
        <v>1.3307315060653799</v>
      </c>
      <c r="X9">
        <f t="shared" ref="X9:X28" si="14">J9*S9+L9*U9</f>
        <v>-0.8136921783458726</v>
      </c>
      <c r="Y9">
        <f t="shared" ref="Y9:Y28" si="15">K9*T9+M9*V9</f>
        <v>0.71720670125763464</v>
      </c>
      <c r="AA9">
        <f t="shared" ref="AA9:AA28" si="16">(K9*(T9-S9)+M9*(V9-U9))*$B$8*$B$4</f>
        <v>4.1862899942920375</v>
      </c>
      <c r="AB9">
        <f t="shared" ref="AB9:AB28" si="17">$B$25/$B$23^2*AA9^2</f>
        <v>231.66679615448015</v>
      </c>
      <c r="AD9">
        <f t="shared" ref="AD9:AD28" si="18">$B$8*$B$4*(T9-S9)</f>
        <v>4.1862899942920366</v>
      </c>
      <c r="AE9">
        <f t="shared" ref="AE9:AE28" si="19">$B$8*$B$4*(V9-U9)</f>
        <v>4.1862899942920366</v>
      </c>
      <c r="AG9">
        <f t="shared" ref="AG9:AG28" si="20">F9-E9-LN(J9+(1-J9)*EXP(F9-E9-H9+G9))</f>
        <v>1.9777748004529307</v>
      </c>
      <c r="AH9">
        <f t="shared" ref="AH9:AH28" si="21">T9-S9</f>
        <v>1.9777748004529307</v>
      </c>
      <c r="AI9">
        <f t="shared" ref="AI9:AI28" si="22">AH9*$B$4*$B$8</f>
        <v>4.1862899942920366</v>
      </c>
      <c r="AL9">
        <f t="shared" ref="AL9:AL28" si="23">2.1-LN(J9+(1-J9)*EXP(1.4))</f>
        <v>0.73839800954175994</v>
      </c>
      <c r="AM9">
        <f t="shared" ref="AM9:AM28" si="24">AL9*$B$4*$B$8</f>
        <v>1.5629424535300587</v>
      </c>
    </row>
    <row r="10" spans="2:39" x14ac:dyDescent="0.3">
      <c r="E10">
        <f t="shared" si="0"/>
        <v>1.5711300000000001E-2</v>
      </c>
      <c r="F10">
        <f t="shared" si="1"/>
        <v>0.69015451329639887</v>
      </c>
      <c r="G10">
        <f t="shared" si="2"/>
        <v>0.40424999999999994</v>
      </c>
      <c r="H10">
        <f t="shared" si="3"/>
        <v>2.5341668975069251</v>
      </c>
      <c r="J10">
        <v>0.1</v>
      </c>
      <c r="K10">
        <f t="shared" si="4"/>
        <v>0.32262139035582721</v>
      </c>
      <c r="L10">
        <f t="shared" si="5"/>
        <v>0.9</v>
      </c>
      <c r="M10">
        <f t="shared" si="6"/>
        <v>0.67737860964417274</v>
      </c>
      <c r="O10">
        <f t="shared" si="7"/>
        <v>0.11111111111111112</v>
      </c>
      <c r="P10">
        <f t="shared" si="8"/>
        <v>0.47627927094612621</v>
      </c>
      <c r="Q10">
        <f t="shared" si="9"/>
        <v>0.32262139035582721</v>
      </c>
      <c r="S10">
        <f t="shared" si="10"/>
        <v>-3.2868737929940455</v>
      </c>
      <c r="T10">
        <f t="shared" si="11"/>
        <v>-1.4411212960680868</v>
      </c>
      <c r="U10">
        <f t="shared" si="12"/>
        <v>-0.70111051565782634</v>
      </c>
      <c r="V10">
        <f t="shared" si="13"/>
        <v>1.1446419812681325</v>
      </c>
      <c r="X10">
        <f t="shared" si="14"/>
        <v>-0.95968684339144827</v>
      </c>
      <c r="Y10">
        <f t="shared" si="15"/>
        <v>0.31041943760288093</v>
      </c>
      <c r="AA10">
        <f t="shared" si="16"/>
        <v>3.9068427851599461</v>
      </c>
      <c r="AB10">
        <f>$B$25/$B$23^2*AA10^2</f>
        <v>201.77020890754417</v>
      </c>
      <c r="AD10">
        <f t="shared" si="18"/>
        <v>3.9068427851599461</v>
      </c>
      <c r="AE10">
        <f t="shared" si="19"/>
        <v>3.9068427851599465</v>
      </c>
      <c r="AG10">
        <f t="shared" si="20"/>
        <v>1.8457524969259589</v>
      </c>
      <c r="AH10">
        <f t="shared" si="21"/>
        <v>1.8457524969259587</v>
      </c>
      <c r="AI10">
        <f t="shared" si="22"/>
        <v>3.9068427851599461</v>
      </c>
      <c r="AL10">
        <f t="shared" si="23"/>
        <v>0.77832950495006714</v>
      </c>
      <c r="AM10">
        <f t="shared" si="24"/>
        <v>1.6474641188109758</v>
      </c>
    </row>
    <row r="11" spans="2:39" x14ac:dyDescent="0.3">
      <c r="B11" t="s">
        <v>3</v>
      </c>
      <c r="E11">
        <f t="shared" si="0"/>
        <v>1.5711300000000001E-2</v>
      </c>
      <c r="F11">
        <f t="shared" si="1"/>
        <v>0.69015451329639887</v>
      </c>
      <c r="G11">
        <f t="shared" si="2"/>
        <v>0.40424999999999994</v>
      </c>
      <c r="H11">
        <f t="shared" si="3"/>
        <v>2.5341668975069251</v>
      </c>
      <c r="J11">
        <v>0.15</v>
      </c>
      <c r="K11">
        <f t="shared" si="4"/>
        <v>0.43066772561299282</v>
      </c>
      <c r="L11">
        <f t="shared" si="5"/>
        <v>0.85</v>
      </c>
      <c r="M11">
        <f t="shared" si="6"/>
        <v>0.56933227438700718</v>
      </c>
      <c r="O11">
        <f t="shared" si="7"/>
        <v>0.17647058823529413</v>
      </c>
      <c r="P11">
        <f t="shared" si="8"/>
        <v>0.7564435479732593</v>
      </c>
      <c r="Q11">
        <f t="shared" si="9"/>
        <v>0.43066772561299282</v>
      </c>
      <c r="S11">
        <f t="shared" si="10"/>
        <v>-2.8814086848858813</v>
      </c>
      <c r="T11">
        <f t="shared" si="11"/>
        <v>-1.1522639111606252</v>
      </c>
      <c r="U11">
        <f t="shared" si="12"/>
        <v>-0.75826892949777502</v>
      </c>
      <c r="V11">
        <f t="shared" si="13"/>
        <v>0.97087584422748119</v>
      </c>
      <c r="X11">
        <f t="shared" si="14"/>
        <v>-1.0767398928059908</v>
      </c>
      <c r="Y11">
        <f t="shared" si="15"/>
        <v>5.6508074615959525E-2</v>
      </c>
      <c r="AA11">
        <f t="shared" si="16"/>
        <v>3.6600231043851257</v>
      </c>
      <c r="AB11">
        <f t="shared" si="17"/>
        <v>177.08135121234761</v>
      </c>
      <c r="AD11">
        <f t="shared" si="18"/>
        <v>3.6600231043851257</v>
      </c>
      <c r="AE11">
        <f t="shared" si="19"/>
        <v>3.6600231043851257</v>
      </c>
      <c r="AG11">
        <f t="shared" si="20"/>
        <v>1.7291447737252561</v>
      </c>
      <c r="AH11">
        <f t="shared" si="21"/>
        <v>1.7291447737252561</v>
      </c>
      <c r="AI11">
        <f t="shared" si="22"/>
        <v>3.6600231043851257</v>
      </c>
      <c r="AL11">
        <f t="shared" si="23"/>
        <v>0.81992208412507228</v>
      </c>
      <c r="AM11">
        <f t="shared" si="24"/>
        <v>1.735501744731403</v>
      </c>
    </row>
    <row r="12" spans="2:39" x14ac:dyDescent="0.3">
      <c r="B12" t="s">
        <v>63</v>
      </c>
      <c r="E12">
        <f t="shared" si="0"/>
        <v>1.5711300000000001E-2</v>
      </c>
      <c r="F12">
        <f t="shared" si="1"/>
        <v>0.69015451329639887</v>
      </c>
      <c r="G12">
        <f t="shared" si="2"/>
        <v>0.40424999999999994</v>
      </c>
      <c r="H12">
        <f t="shared" si="3"/>
        <v>2.5341668975069251</v>
      </c>
      <c r="J12">
        <v>0.2</v>
      </c>
      <c r="K12">
        <f t="shared" si="4"/>
        <v>0.51728793663589812</v>
      </c>
      <c r="L12">
        <f t="shared" si="5"/>
        <v>0.8</v>
      </c>
      <c r="M12">
        <f t="shared" si="6"/>
        <v>0.48271206336410188</v>
      </c>
      <c r="O12">
        <f t="shared" si="7"/>
        <v>0.25</v>
      </c>
      <c r="P12">
        <f t="shared" si="8"/>
        <v>1.0716283596287839</v>
      </c>
      <c r="Q12">
        <f t="shared" si="9"/>
        <v>0.51728793663589812</v>
      </c>
      <c r="S12">
        <f t="shared" si="10"/>
        <v>-2.5937266124341001</v>
      </c>
      <c r="T12">
        <f t="shared" si="11"/>
        <v>-0.96900110880919366</v>
      </c>
      <c r="U12">
        <f t="shared" si="12"/>
        <v>-0.81889355131420971</v>
      </c>
      <c r="V12">
        <f t="shared" si="13"/>
        <v>0.80583195231069671</v>
      </c>
      <c r="X12">
        <f t="shared" si="14"/>
        <v>-1.1738601635381878</v>
      </c>
      <c r="Y12">
        <f t="shared" si="15"/>
        <v>-0.11226777974918617</v>
      </c>
      <c r="AA12">
        <f t="shared" si="16"/>
        <v>3.4390023160060523</v>
      </c>
      <c r="AB12">
        <f t="shared" si="17"/>
        <v>156.34000081838013</v>
      </c>
      <c r="AD12">
        <f t="shared" si="18"/>
        <v>3.4390023160060519</v>
      </c>
      <c r="AE12">
        <f t="shared" si="19"/>
        <v>3.4390023160060519</v>
      </c>
      <c r="AG12">
        <f t="shared" si="20"/>
        <v>1.6247255036249064</v>
      </c>
      <c r="AH12">
        <f t="shared" si="21"/>
        <v>1.6247255036249064</v>
      </c>
      <c r="AI12">
        <f t="shared" si="22"/>
        <v>3.4390023160060523</v>
      </c>
      <c r="AL12">
        <f t="shared" si="23"/>
        <v>0.86331996460743143</v>
      </c>
      <c r="AM12">
        <f t="shared" si="24"/>
        <v>1.8273605917523965</v>
      </c>
    </row>
    <row r="13" spans="2:39" x14ac:dyDescent="0.3">
      <c r="B13" t="s">
        <v>4</v>
      </c>
      <c r="E13">
        <f t="shared" si="0"/>
        <v>1.5711300000000001E-2</v>
      </c>
      <c r="F13">
        <f t="shared" si="1"/>
        <v>0.69015451329639887</v>
      </c>
      <c r="G13">
        <f t="shared" si="2"/>
        <v>0.40424999999999994</v>
      </c>
      <c r="H13">
        <f t="shared" si="3"/>
        <v>2.5341668975069251</v>
      </c>
      <c r="J13">
        <v>0.25</v>
      </c>
      <c r="K13">
        <f t="shared" si="4"/>
        <v>0.58828045466264212</v>
      </c>
      <c r="L13">
        <f t="shared" si="5"/>
        <v>0.75</v>
      </c>
      <c r="M13">
        <f t="shared" si="6"/>
        <v>0.41171954533735788</v>
      </c>
      <c r="O13">
        <f t="shared" si="7"/>
        <v>0.33333333333333331</v>
      </c>
      <c r="P13">
        <f t="shared" si="8"/>
        <v>1.4288378128383785</v>
      </c>
      <c r="Q13">
        <f t="shared" si="9"/>
        <v>0.58828045466264212</v>
      </c>
      <c r="S13">
        <f t="shared" si="10"/>
        <v>-2.3705830611198904</v>
      </c>
      <c r="T13">
        <f t="shared" si="11"/>
        <v>-0.84039696778617023</v>
      </c>
      <c r="U13">
        <f t="shared" si="12"/>
        <v>-0.88343207245178101</v>
      </c>
      <c r="V13">
        <f t="shared" si="13"/>
        <v>0.64675402088193934</v>
      </c>
      <c r="X13">
        <f t="shared" si="14"/>
        <v>-1.2552198196188082</v>
      </c>
      <c r="Y13">
        <f t="shared" si="15"/>
        <v>-0.22810783888373387</v>
      </c>
      <c r="AA13">
        <f t="shared" si="16"/>
        <v>3.238893897556375</v>
      </c>
      <c r="AB13">
        <f t="shared" si="17"/>
        <v>138.67514089773744</v>
      </c>
      <c r="AD13">
        <f t="shared" si="18"/>
        <v>3.2388938975563741</v>
      </c>
      <c r="AE13">
        <f t="shared" si="19"/>
        <v>3.2388938975563746</v>
      </c>
      <c r="AG13">
        <f t="shared" si="20"/>
        <v>1.5301860933337204</v>
      </c>
      <c r="AH13">
        <f t="shared" si="21"/>
        <v>1.5301860933337201</v>
      </c>
      <c r="AI13">
        <f t="shared" si="22"/>
        <v>3.2388938975563746</v>
      </c>
      <c r="AL13">
        <f t="shared" si="23"/>
        <v>0.90868700137584479</v>
      </c>
      <c r="AM13">
        <f t="shared" si="24"/>
        <v>1.9233874862455382</v>
      </c>
    </row>
    <row r="14" spans="2:39" x14ac:dyDescent="0.3">
      <c r="B14">
        <v>6.9000000000000006E-2</v>
      </c>
      <c r="E14">
        <f t="shared" si="0"/>
        <v>1.5711300000000001E-2</v>
      </c>
      <c r="F14">
        <f t="shared" si="1"/>
        <v>0.69015451329639887</v>
      </c>
      <c r="G14">
        <f t="shared" si="2"/>
        <v>0.40424999999999994</v>
      </c>
      <c r="H14">
        <f t="shared" si="3"/>
        <v>2.5341668975069251</v>
      </c>
      <c r="J14">
        <v>0.3</v>
      </c>
      <c r="K14">
        <f t="shared" si="4"/>
        <v>0.64752457062056834</v>
      </c>
      <c r="L14">
        <f t="shared" si="5"/>
        <v>0.7</v>
      </c>
      <c r="M14">
        <f t="shared" si="6"/>
        <v>0.35247542937943166</v>
      </c>
      <c r="O14">
        <f t="shared" si="7"/>
        <v>0.4285714285714286</v>
      </c>
      <c r="P14">
        <f t="shared" si="8"/>
        <v>1.8370771879350583</v>
      </c>
      <c r="Q14">
        <f t="shared" si="9"/>
        <v>0.64752457062056834</v>
      </c>
      <c r="S14">
        <f t="shared" si="10"/>
        <v>-2.1882615043259364</v>
      </c>
      <c r="T14">
        <f t="shared" si="11"/>
        <v>-0.74444402592765835</v>
      </c>
      <c r="U14">
        <f t="shared" si="12"/>
        <v>-0.95242494393873245</v>
      </c>
      <c r="V14">
        <f t="shared" si="13"/>
        <v>0.49139253445954534</v>
      </c>
      <c r="X14">
        <f t="shared" si="14"/>
        <v>-1.3231759120548936</v>
      </c>
      <c r="Y14">
        <f t="shared" si="15"/>
        <v>-0.30884200366237879</v>
      </c>
      <c r="AA14">
        <f t="shared" si="16"/>
        <v>3.0560803292763552</v>
      </c>
      <c r="AB14">
        <f t="shared" si="17"/>
        <v>123.46239696066291</v>
      </c>
      <c r="AD14">
        <f t="shared" si="18"/>
        <v>3.0560803292763552</v>
      </c>
      <c r="AE14">
        <f t="shared" si="19"/>
        <v>3.0560803292763548</v>
      </c>
      <c r="AG14">
        <f t="shared" si="20"/>
        <v>1.4438174783982778</v>
      </c>
      <c r="AH14">
        <f t="shared" si="21"/>
        <v>1.443817478398278</v>
      </c>
      <c r="AI14">
        <f t="shared" si="22"/>
        <v>3.0560803292763552</v>
      </c>
      <c r="AL14">
        <f t="shared" si="23"/>
        <v>0.95621042231746478</v>
      </c>
      <c r="AM14">
        <f t="shared" si="24"/>
        <v>2.0239787272386338</v>
      </c>
    </row>
    <row r="15" spans="2:39" x14ac:dyDescent="0.3">
      <c r="E15">
        <f t="shared" si="0"/>
        <v>1.5711300000000001E-2</v>
      </c>
      <c r="F15">
        <f t="shared" si="1"/>
        <v>0.69015451329639887</v>
      </c>
      <c r="G15">
        <f t="shared" si="2"/>
        <v>0.40424999999999994</v>
      </c>
      <c r="H15">
        <f t="shared" si="3"/>
        <v>2.5341668975069251</v>
      </c>
      <c r="J15">
        <v>0.35</v>
      </c>
      <c r="K15">
        <f t="shared" si="4"/>
        <v>0.69771374442685108</v>
      </c>
      <c r="L15">
        <f t="shared" si="5"/>
        <v>0.65</v>
      </c>
      <c r="M15">
        <f t="shared" si="6"/>
        <v>0.30228625557314892</v>
      </c>
      <c r="O15">
        <f t="shared" si="7"/>
        <v>0.53846153846153844</v>
      </c>
      <c r="P15">
        <f t="shared" si="8"/>
        <v>2.3081226207389189</v>
      </c>
      <c r="Q15">
        <f t="shared" si="9"/>
        <v>0.69771374442685108</v>
      </c>
      <c r="S15">
        <f t="shared" si="10"/>
        <v>-2.0341108244986779</v>
      </c>
      <c r="T15">
        <f t="shared" si="11"/>
        <v>-0.66979185531174856</v>
      </c>
      <c r="U15">
        <f t="shared" si="12"/>
        <v>-1.0265329160924543</v>
      </c>
      <c r="V15">
        <f t="shared" si="13"/>
        <v>0.33778605309447474</v>
      </c>
      <c r="X15">
        <f t="shared" si="14"/>
        <v>-1.3791851840346325</v>
      </c>
      <c r="Y15">
        <f t="shared" si="15"/>
        <v>-0.36521490218140606</v>
      </c>
      <c r="AA15">
        <f t="shared" si="16"/>
        <v>2.8878084847790007</v>
      </c>
      <c r="AB15">
        <f t="shared" si="17"/>
        <v>110.24069675747234</v>
      </c>
      <c r="AD15">
        <f t="shared" si="18"/>
        <v>2.8878084847790002</v>
      </c>
      <c r="AE15">
        <f t="shared" si="19"/>
        <v>2.8878084847789998</v>
      </c>
      <c r="AG15">
        <f t="shared" si="20"/>
        <v>1.3643189691869293</v>
      </c>
      <c r="AH15">
        <f t="shared" si="21"/>
        <v>1.3643189691869293</v>
      </c>
      <c r="AI15">
        <f t="shared" si="22"/>
        <v>2.8878084847790007</v>
      </c>
      <c r="AL15">
        <f t="shared" si="23"/>
        <v>1.0061054964500291</v>
      </c>
      <c r="AM15">
        <f t="shared" si="24"/>
        <v>2.1295899674858951</v>
      </c>
    </row>
    <row r="16" spans="2:39" x14ac:dyDescent="0.3">
      <c r="B16" t="s">
        <v>5</v>
      </c>
      <c r="E16">
        <f t="shared" si="0"/>
        <v>1.5711300000000001E-2</v>
      </c>
      <c r="F16">
        <f t="shared" si="1"/>
        <v>0.69015451329639887</v>
      </c>
      <c r="G16">
        <f t="shared" si="2"/>
        <v>0.40424999999999994</v>
      </c>
      <c r="H16">
        <f t="shared" si="3"/>
        <v>2.5341668975069251</v>
      </c>
      <c r="J16">
        <v>0.4</v>
      </c>
      <c r="K16">
        <f t="shared" si="4"/>
        <v>0.74077654602580323</v>
      </c>
      <c r="L16">
        <f t="shared" si="5"/>
        <v>0.6</v>
      </c>
      <c r="M16">
        <f t="shared" si="6"/>
        <v>0.25922345397419677</v>
      </c>
      <c r="O16">
        <f t="shared" si="7"/>
        <v>0.66666666666666674</v>
      </c>
      <c r="P16">
        <f t="shared" si="8"/>
        <v>2.8576756256767575</v>
      </c>
      <c r="Q16">
        <f t="shared" si="9"/>
        <v>0.74077654602580323</v>
      </c>
      <c r="S16">
        <f t="shared" si="10"/>
        <v>-1.9005794318741551</v>
      </c>
      <c r="T16">
        <f t="shared" si="11"/>
        <v>-0.6099017431873065</v>
      </c>
      <c r="U16">
        <f t="shared" si="12"/>
        <v>-1.1065756237659907</v>
      </c>
      <c r="V16">
        <f t="shared" si="13"/>
        <v>0.18410206492085712</v>
      </c>
      <c r="X16">
        <f t="shared" si="14"/>
        <v>-1.4241771470092566</v>
      </c>
      <c r="Y16">
        <f t="shared" si="15"/>
        <v>-0.40407733358084297</v>
      </c>
      <c r="AA16">
        <f t="shared" si="16"/>
        <v>2.7319344410538289</v>
      </c>
      <c r="AB16">
        <f t="shared" si="17"/>
        <v>98.661046974024586</v>
      </c>
      <c r="AD16">
        <f t="shared" si="18"/>
        <v>2.7319344410538293</v>
      </c>
      <c r="AE16">
        <f t="shared" si="19"/>
        <v>2.731934441053828</v>
      </c>
      <c r="AG16">
        <f t="shared" si="20"/>
        <v>1.2906776886868485</v>
      </c>
      <c r="AH16">
        <f t="shared" si="21"/>
        <v>1.2906776886868485</v>
      </c>
      <c r="AI16">
        <f t="shared" si="22"/>
        <v>2.7319344410538298</v>
      </c>
      <c r="AL16">
        <f t="shared" si="23"/>
        <v>1.0586214291458869</v>
      </c>
      <c r="AM16">
        <f t="shared" si="24"/>
        <v>2.2407486916921275</v>
      </c>
    </row>
    <row r="17" spans="2:39" x14ac:dyDescent="0.3">
      <c r="B17" t="s">
        <v>62</v>
      </c>
      <c r="E17">
        <f t="shared" si="0"/>
        <v>1.5711300000000001E-2</v>
      </c>
      <c r="F17">
        <f t="shared" si="1"/>
        <v>0.69015451329639887</v>
      </c>
      <c r="G17">
        <f t="shared" si="2"/>
        <v>0.40424999999999994</v>
      </c>
      <c r="H17">
        <f t="shared" si="3"/>
        <v>2.5341668975069251</v>
      </c>
      <c r="J17">
        <v>0.45</v>
      </c>
      <c r="K17">
        <f t="shared" si="4"/>
        <v>0.77813017405547014</v>
      </c>
      <c r="L17">
        <f t="shared" si="5"/>
        <v>0.55000000000000004</v>
      </c>
      <c r="M17">
        <f t="shared" si="6"/>
        <v>0.22186982594452986</v>
      </c>
      <c r="O17">
        <f t="shared" si="7"/>
        <v>0.81818181818181812</v>
      </c>
      <c r="P17">
        <f t="shared" si="8"/>
        <v>3.5071473587851107</v>
      </c>
      <c r="Q17">
        <f t="shared" si="9"/>
        <v>0.77813017405547014</v>
      </c>
      <c r="S17">
        <f t="shared" si="10"/>
        <v>-1.7827963962177718</v>
      </c>
      <c r="T17">
        <f t="shared" si="11"/>
        <v>-0.56070693666621685</v>
      </c>
      <c r="U17">
        <f t="shared" si="12"/>
        <v>-1.1935870007556204</v>
      </c>
      <c r="V17">
        <f t="shared" si="13"/>
        <v>2.850245879593416E-2</v>
      </c>
      <c r="X17">
        <f t="shared" si="14"/>
        <v>-1.4587312287135885</v>
      </c>
      <c r="Y17">
        <f t="shared" si="15"/>
        <v>-0.42997915065014775</v>
      </c>
      <c r="AA17">
        <f t="shared" si="16"/>
        <v>2.586756022717458</v>
      </c>
      <c r="AB17">
        <f t="shared" si="17"/>
        <v>88.45372180710298</v>
      </c>
      <c r="AD17">
        <f t="shared" si="18"/>
        <v>2.586756022717458</v>
      </c>
      <c r="AE17">
        <f t="shared" si="19"/>
        <v>2.5867560227174571</v>
      </c>
      <c r="AG17">
        <f t="shared" si="20"/>
        <v>1.2220894595515546</v>
      </c>
      <c r="AH17">
        <f t="shared" si="21"/>
        <v>1.222089459551555</v>
      </c>
      <c r="AI17">
        <f t="shared" si="22"/>
        <v>2.5867560227174584</v>
      </c>
      <c r="AL17">
        <f t="shared" si="23"/>
        <v>1.1140488929436223</v>
      </c>
      <c r="AM17">
        <f t="shared" si="24"/>
        <v>2.3580701567306672</v>
      </c>
    </row>
    <row r="18" spans="2:39" x14ac:dyDescent="0.3">
      <c r="B18" t="s">
        <v>4</v>
      </c>
      <c r="E18">
        <f t="shared" si="0"/>
        <v>1.5711300000000001E-2</v>
      </c>
      <c r="F18">
        <f t="shared" si="1"/>
        <v>0.69015451329639887</v>
      </c>
      <c r="G18">
        <f t="shared" si="2"/>
        <v>0.40424999999999994</v>
      </c>
      <c r="H18">
        <f t="shared" si="3"/>
        <v>2.5341668975069251</v>
      </c>
      <c r="J18">
        <v>0.5</v>
      </c>
      <c r="K18">
        <f t="shared" si="4"/>
        <v>0.81083941020286565</v>
      </c>
      <c r="L18">
        <f t="shared" si="5"/>
        <v>0.5</v>
      </c>
      <c r="M18">
        <f t="shared" si="6"/>
        <v>0.18916058979713435</v>
      </c>
      <c r="O18">
        <f t="shared" si="7"/>
        <v>1</v>
      </c>
      <c r="P18">
        <f t="shared" si="8"/>
        <v>4.2865134385151356</v>
      </c>
      <c r="Q18">
        <f t="shared" si="9"/>
        <v>0.81083941020286565</v>
      </c>
      <c r="S18">
        <f t="shared" si="10"/>
        <v>-1.6774358805599454</v>
      </c>
      <c r="T18">
        <f t="shared" si="11"/>
        <v>-0.51953074572419888</v>
      </c>
      <c r="U18">
        <f t="shared" si="12"/>
        <v>-1.2888971805599454</v>
      </c>
      <c r="V18">
        <f t="shared" si="13"/>
        <v>-0.13099204572419931</v>
      </c>
      <c r="X18">
        <f t="shared" si="14"/>
        <v>-1.4831665305599455</v>
      </c>
      <c r="Y18">
        <f t="shared" si="15"/>
        <v>-0.4460345360731871</v>
      </c>
      <c r="AA18">
        <f t="shared" si="16"/>
        <v>2.4508992020689968</v>
      </c>
      <c r="AB18">
        <f t="shared" si="17"/>
        <v>79.406503675327343</v>
      </c>
      <c r="AD18">
        <f t="shared" si="18"/>
        <v>2.4508992020689968</v>
      </c>
      <c r="AE18">
        <f t="shared" si="19"/>
        <v>2.4508992020689959</v>
      </c>
      <c r="AG18">
        <f t="shared" si="20"/>
        <v>1.1579051348357465</v>
      </c>
      <c r="AH18">
        <f t="shared" si="21"/>
        <v>1.1579051348357465</v>
      </c>
      <c r="AI18">
        <f t="shared" si="22"/>
        <v>2.4508992020689968</v>
      </c>
      <c r="AL18">
        <f t="shared" si="23"/>
        <v>1.1727297706414945</v>
      </c>
      <c r="AM18">
        <f t="shared" si="24"/>
        <v>2.4822780145244971</v>
      </c>
    </row>
    <row r="19" spans="2:39" x14ac:dyDescent="0.3">
      <c r="B19">
        <v>-0.35</v>
      </c>
      <c r="E19">
        <f t="shared" si="0"/>
        <v>1.5711300000000001E-2</v>
      </c>
      <c r="F19">
        <f t="shared" si="1"/>
        <v>0.69015451329639887</v>
      </c>
      <c r="G19">
        <f t="shared" si="2"/>
        <v>0.40424999999999994</v>
      </c>
      <c r="H19">
        <f t="shared" si="3"/>
        <v>2.5341668975069251</v>
      </c>
      <c r="J19">
        <f>J18+0.05</f>
        <v>0.55000000000000004</v>
      </c>
      <c r="K19">
        <f t="shared" si="4"/>
        <v>0.8397197526907354</v>
      </c>
      <c r="L19">
        <f t="shared" si="5"/>
        <v>0.44999999999999996</v>
      </c>
      <c r="M19">
        <f t="shared" si="6"/>
        <v>0.1602802473092646</v>
      </c>
      <c r="O19">
        <f t="shared" si="7"/>
        <v>1.2222222222222225</v>
      </c>
      <c r="P19">
        <f t="shared" si="8"/>
        <v>5.2390719804073891</v>
      </c>
      <c r="Q19">
        <f t="shared" si="9"/>
        <v>0.8397197526907354</v>
      </c>
      <c r="S19">
        <f t="shared" si="10"/>
        <v>-1.5821257007556204</v>
      </c>
      <c r="T19">
        <f t="shared" si="11"/>
        <v>-0.48453255726362243</v>
      </c>
      <c r="U19">
        <f t="shared" si="12"/>
        <v>-1.3942576962177717</v>
      </c>
      <c r="V19">
        <f t="shared" si="13"/>
        <v>-0.29666455272577452</v>
      </c>
      <c r="X19">
        <f t="shared" si="14"/>
        <v>-1.4975850987135884</v>
      </c>
      <c r="Y19">
        <f t="shared" si="15"/>
        <v>-0.45442102703479814</v>
      </c>
      <c r="AA19">
        <f t="shared" si="16"/>
        <v>2.3232388203913956</v>
      </c>
      <c r="AB19">
        <f t="shared" si="17"/>
        <v>71.34982056020975</v>
      </c>
      <c r="AD19">
        <f t="shared" si="18"/>
        <v>2.3232388203913961</v>
      </c>
      <c r="AE19">
        <f t="shared" si="19"/>
        <v>2.3232388203913943</v>
      </c>
      <c r="AG19">
        <f t="shared" si="20"/>
        <v>1.0975931434919979</v>
      </c>
      <c r="AH19">
        <f t="shared" si="21"/>
        <v>1.0975931434919981</v>
      </c>
      <c r="AI19">
        <f t="shared" si="22"/>
        <v>2.3232388203913961</v>
      </c>
      <c r="AL19">
        <f t="shared" si="23"/>
        <v>1.2350699394862872</v>
      </c>
      <c r="AM19">
        <f t="shared" si="24"/>
        <v>2.6142313719126418</v>
      </c>
    </row>
    <row r="20" spans="2:39" x14ac:dyDescent="0.3">
      <c r="E20">
        <f t="shared" si="0"/>
        <v>1.5711300000000001E-2</v>
      </c>
      <c r="F20">
        <f t="shared" si="1"/>
        <v>0.69015451329639887</v>
      </c>
      <c r="G20">
        <f t="shared" si="2"/>
        <v>0.40424999999999994</v>
      </c>
      <c r="H20">
        <f t="shared" si="3"/>
        <v>2.5341668975069251</v>
      </c>
      <c r="J20">
        <f t="shared" ref="J20:J27" si="25">J19+0.05</f>
        <v>0.60000000000000009</v>
      </c>
      <c r="K20">
        <f t="shared" si="4"/>
        <v>0.86540633441347536</v>
      </c>
      <c r="L20">
        <f t="shared" si="5"/>
        <v>0.39999999999999991</v>
      </c>
      <c r="M20">
        <f t="shared" si="6"/>
        <v>0.13459366558652464</v>
      </c>
      <c r="O20">
        <f t="shared" si="7"/>
        <v>1.5000000000000004</v>
      </c>
      <c r="P20">
        <f t="shared" si="8"/>
        <v>6.4297701577727056</v>
      </c>
      <c r="Q20">
        <f t="shared" si="9"/>
        <v>0.86540633441347536</v>
      </c>
      <c r="S20">
        <f t="shared" si="10"/>
        <v>-1.4951143237659905</v>
      </c>
      <c r="T20">
        <f t="shared" si="11"/>
        <v>-0.45440161828518644</v>
      </c>
      <c r="U20">
        <f t="shared" si="12"/>
        <v>-1.5120407318741553</v>
      </c>
      <c r="V20">
        <f t="shared" si="13"/>
        <v>-0.47132802639335125</v>
      </c>
      <c r="X20">
        <f t="shared" si="14"/>
        <v>-1.5018848870092563</v>
      </c>
      <c r="Y20">
        <f t="shared" si="15"/>
        <v>-0.45667980559767779</v>
      </c>
      <c r="AA20">
        <f t="shared" si="16"/>
        <v>2.2028418932677019</v>
      </c>
      <c r="AB20">
        <f t="shared" si="17"/>
        <v>64.146332007114367</v>
      </c>
      <c r="AD20">
        <f t="shared" si="18"/>
        <v>2.2028418932677019</v>
      </c>
      <c r="AE20">
        <f t="shared" si="19"/>
        <v>2.2028418932677019</v>
      </c>
      <c r="AG20">
        <f t="shared" si="20"/>
        <v>1.0407127054808041</v>
      </c>
      <c r="AH20">
        <f t="shared" si="21"/>
        <v>1.0407127054808041</v>
      </c>
      <c r="AI20">
        <f t="shared" si="22"/>
        <v>2.2028418932677019</v>
      </c>
      <c r="AL20">
        <f t="shared" si="23"/>
        <v>1.3015563117986566</v>
      </c>
      <c r="AM20">
        <f t="shared" si="24"/>
        <v>2.7549608599738233</v>
      </c>
    </row>
    <row r="21" spans="2:39" x14ac:dyDescent="0.3">
      <c r="E21">
        <f t="shared" si="0"/>
        <v>1.5711300000000001E-2</v>
      </c>
      <c r="F21">
        <f t="shared" si="1"/>
        <v>0.69015451329639887</v>
      </c>
      <c r="G21">
        <f t="shared" si="2"/>
        <v>0.40424999999999994</v>
      </c>
      <c r="H21">
        <f t="shared" si="3"/>
        <v>2.5341668975069251</v>
      </c>
      <c r="J21">
        <f t="shared" si="25"/>
        <v>0.65000000000000013</v>
      </c>
      <c r="K21">
        <f t="shared" si="4"/>
        <v>0.88840117492196047</v>
      </c>
      <c r="L21">
        <f t="shared" si="5"/>
        <v>0.34999999999999987</v>
      </c>
      <c r="M21">
        <f t="shared" si="6"/>
        <v>0.11159882507803953</v>
      </c>
      <c r="O21">
        <f t="shared" si="7"/>
        <v>1.8571428571428583</v>
      </c>
      <c r="P21">
        <f t="shared" si="8"/>
        <v>7.9606678143852569</v>
      </c>
      <c r="Q21">
        <f t="shared" si="9"/>
        <v>0.88840117492196047</v>
      </c>
      <c r="S21">
        <f t="shared" si="10"/>
        <v>-1.4150716160924541</v>
      </c>
      <c r="T21">
        <f t="shared" si="11"/>
        <v>-0.42817735115175182</v>
      </c>
      <c r="U21">
        <f t="shared" si="12"/>
        <v>-1.6455721244986781</v>
      </c>
      <c r="V21">
        <f t="shared" si="13"/>
        <v>-0.6586778595579772</v>
      </c>
      <c r="X21">
        <f t="shared" si="14"/>
        <v>-1.4957467940346323</v>
      </c>
      <c r="Y21">
        <f t="shared" si="15"/>
        <v>-0.45390093706977735</v>
      </c>
      <c r="AA21">
        <f t="shared" si="16"/>
        <v>2.0889261941244865</v>
      </c>
      <c r="AB21">
        <f t="shared" si="17"/>
        <v>57.683468270166607</v>
      </c>
      <c r="AD21">
        <f t="shared" si="18"/>
        <v>2.0889261941244865</v>
      </c>
      <c r="AE21">
        <f t="shared" si="19"/>
        <v>2.0889261941244834</v>
      </c>
      <c r="AG21">
        <f t="shared" si="20"/>
        <v>0.9868942649407022</v>
      </c>
      <c r="AH21">
        <f t="shared" si="21"/>
        <v>0.98689426494070231</v>
      </c>
      <c r="AI21">
        <f t="shared" si="22"/>
        <v>2.0889261941244865</v>
      </c>
      <c r="AL21">
        <f t="shared" si="23"/>
        <v>1.3727799547147348</v>
      </c>
      <c r="AM21">
        <f t="shared" si="24"/>
        <v>2.9057175708128558</v>
      </c>
    </row>
    <row r="22" spans="2:39" x14ac:dyDescent="0.3">
      <c r="B22" t="s">
        <v>17</v>
      </c>
      <c r="E22">
        <f t="shared" si="0"/>
        <v>1.5711300000000001E-2</v>
      </c>
      <c r="F22">
        <f t="shared" si="1"/>
        <v>0.69015451329639887</v>
      </c>
      <c r="G22">
        <f t="shared" si="2"/>
        <v>0.40424999999999994</v>
      </c>
      <c r="H22">
        <f t="shared" si="3"/>
        <v>2.5341668975069251</v>
      </c>
      <c r="J22">
        <f t="shared" si="25"/>
        <v>0.70000000000000018</v>
      </c>
      <c r="K22">
        <f t="shared" si="4"/>
        <v>0.90910631713905055</v>
      </c>
      <c r="L22">
        <f t="shared" si="5"/>
        <v>0.29999999999999982</v>
      </c>
      <c r="M22">
        <f t="shared" si="6"/>
        <v>9.0893682860949454E-2</v>
      </c>
      <c r="O22">
        <f t="shared" si="7"/>
        <v>2.3333333333333353</v>
      </c>
      <c r="P22">
        <f t="shared" si="8"/>
        <v>10.001864689868658</v>
      </c>
      <c r="Q22">
        <f t="shared" si="9"/>
        <v>0.90910631713905055</v>
      </c>
      <c r="S22">
        <f t="shared" si="10"/>
        <v>-1.340963643938732</v>
      </c>
      <c r="T22">
        <f t="shared" si="11"/>
        <v>-0.40513871779860056</v>
      </c>
      <c r="U22">
        <f t="shared" si="12"/>
        <v>-1.7997228043259366</v>
      </c>
      <c r="V22">
        <f t="shared" si="13"/>
        <v>-0.86389787818580555</v>
      </c>
      <c r="X22">
        <f t="shared" si="14"/>
        <v>-1.4785913920548932</v>
      </c>
      <c r="Y22">
        <f t="shared" si="15"/>
        <v>-0.44683702743239062</v>
      </c>
      <c r="AA22">
        <f t="shared" si="16"/>
        <v>1.9808294269966114</v>
      </c>
      <c r="AB22">
        <f t="shared" si="17"/>
        <v>51.867979645097563</v>
      </c>
      <c r="AD22">
        <f t="shared" si="18"/>
        <v>1.9808294269966116</v>
      </c>
      <c r="AE22">
        <f t="shared" si="19"/>
        <v>1.9808294269966107</v>
      </c>
      <c r="AG22">
        <f t="shared" si="20"/>
        <v>0.93582492614013157</v>
      </c>
      <c r="AH22">
        <f t="shared" si="21"/>
        <v>0.93582492614013146</v>
      </c>
      <c r="AI22">
        <f t="shared" si="22"/>
        <v>1.9808294269966116</v>
      </c>
      <c r="AL22">
        <f t="shared" si="23"/>
        <v>1.4494680927712218</v>
      </c>
      <c r="AM22">
        <f t="shared" si="24"/>
        <v>3.0680407963657528</v>
      </c>
    </row>
    <row r="23" spans="2:39" x14ac:dyDescent="0.3">
      <c r="B23">
        <f>11.5/4.14</f>
        <v>2.7777777777777781</v>
      </c>
      <c r="E23">
        <f t="shared" si="0"/>
        <v>1.5711300000000001E-2</v>
      </c>
      <c r="F23">
        <f t="shared" si="1"/>
        <v>0.69015451329639887</v>
      </c>
      <c r="G23">
        <f t="shared" si="2"/>
        <v>0.40424999999999994</v>
      </c>
      <c r="H23">
        <f t="shared" si="3"/>
        <v>2.5341668975069251</v>
      </c>
      <c r="J23">
        <f t="shared" si="25"/>
        <v>0.75000000000000022</v>
      </c>
      <c r="K23">
        <f t="shared" si="4"/>
        <v>0.92784753482203453</v>
      </c>
      <c r="L23">
        <f t="shared" si="5"/>
        <v>0.24999999999999978</v>
      </c>
      <c r="M23">
        <f t="shared" si="6"/>
        <v>7.2152465177965475E-2</v>
      </c>
      <c r="O23">
        <f t="shared" si="7"/>
        <v>3.0000000000000036</v>
      </c>
      <c r="P23">
        <f t="shared" si="8"/>
        <v>12.859540315545422</v>
      </c>
      <c r="Q23">
        <f t="shared" si="9"/>
        <v>0.92784753482203453</v>
      </c>
      <c r="S23">
        <f t="shared" si="10"/>
        <v>-1.2719707724517806</v>
      </c>
      <c r="T23">
        <f t="shared" si="11"/>
        <v>-0.38473334077014409</v>
      </c>
      <c r="U23">
        <f t="shared" si="12"/>
        <v>-1.9820443611198915</v>
      </c>
      <c r="V23">
        <f t="shared" si="13"/>
        <v>-1.0948069294382554</v>
      </c>
      <c r="X23">
        <f t="shared" si="14"/>
        <v>-1.4494891696188081</v>
      </c>
      <c r="Y23">
        <f t="shared" si="15"/>
        <v>-0.43596690065031296</v>
      </c>
      <c r="AA23">
        <f t="shared" si="16"/>
        <v>1.8779858970594641</v>
      </c>
      <c r="AB23">
        <f t="shared" si="17"/>
        <v>46.621884745883392</v>
      </c>
      <c r="AD23">
        <f t="shared" si="18"/>
        <v>1.8779858970594638</v>
      </c>
      <c r="AE23">
        <f t="shared" si="19"/>
        <v>1.8779858970594629</v>
      </c>
      <c r="AG23">
        <f t="shared" si="20"/>
        <v>0.88723743168163649</v>
      </c>
      <c r="AH23">
        <f t="shared" si="21"/>
        <v>0.88723743168163649</v>
      </c>
      <c r="AI23">
        <f t="shared" si="22"/>
        <v>1.8779858970594638</v>
      </c>
      <c r="AL23">
        <f t="shared" si="23"/>
        <v>1.5325294322274741</v>
      </c>
      <c r="AM23">
        <f t="shared" si="24"/>
        <v>3.2438539648814868</v>
      </c>
    </row>
    <row r="24" spans="2:39" x14ac:dyDescent="0.3">
      <c r="B24" t="s">
        <v>18</v>
      </c>
      <c r="E24">
        <f t="shared" si="0"/>
        <v>1.5711300000000001E-2</v>
      </c>
      <c r="F24">
        <f t="shared" si="1"/>
        <v>0.69015451329639887</v>
      </c>
      <c r="G24">
        <f t="shared" si="2"/>
        <v>0.40424999999999994</v>
      </c>
      <c r="H24">
        <f t="shared" si="3"/>
        <v>2.5341668975069251</v>
      </c>
      <c r="J24">
        <f>J23+0.05</f>
        <v>0.80000000000000027</v>
      </c>
      <c r="K24">
        <f t="shared" si="4"/>
        <v>0.94489159937728995</v>
      </c>
      <c r="L24">
        <f t="shared" si="5"/>
        <v>0.19999999999999973</v>
      </c>
      <c r="M24">
        <f t="shared" si="6"/>
        <v>5.5108400622710052E-2</v>
      </c>
      <c r="O24">
        <f t="shared" si="7"/>
        <v>4.0000000000000071</v>
      </c>
      <c r="P24">
        <f t="shared" si="8"/>
        <v>17.146053754060574</v>
      </c>
      <c r="Q24">
        <f t="shared" si="9"/>
        <v>0.94489159937728995</v>
      </c>
      <c r="S24">
        <f t="shared" si="10"/>
        <v>-1.2074322513142095</v>
      </c>
      <c r="T24">
        <f t="shared" si="11"/>
        <v>-0.36653055442531235</v>
      </c>
      <c r="U24">
        <f t="shared" si="12"/>
        <v>-2.2051879124341016</v>
      </c>
      <c r="V24">
        <f t="shared" si="13"/>
        <v>-1.3642862155452029</v>
      </c>
      <c r="X24">
        <f t="shared" si="14"/>
        <v>-1.4069833835381877</v>
      </c>
      <c r="Y24">
        <f t="shared" si="15"/>
        <v>-0.42151527312188419</v>
      </c>
      <c r="AA24">
        <f t="shared" si="16"/>
        <v>1.7799085917481661</v>
      </c>
      <c r="AB24">
        <f t="shared" si="17"/>
        <v>41.879411685945584</v>
      </c>
      <c r="AD24">
        <f t="shared" si="18"/>
        <v>1.7799085917481656</v>
      </c>
      <c r="AE24">
        <f t="shared" si="19"/>
        <v>1.779908591748169</v>
      </c>
      <c r="AG24">
        <f t="shared" si="20"/>
        <v>0.84090169688889715</v>
      </c>
      <c r="AH24">
        <f t="shared" si="21"/>
        <v>0.84090169688889715</v>
      </c>
      <c r="AI24">
        <f t="shared" si="22"/>
        <v>1.7799085917481658</v>
      </c>
      <c r="AL24">
        <f t="shared" si="23"/>
        <v>1.623120070930848</v>
      </c>
      <c r="AM24">
        <f t="shared" si="24"/>
        <v>3.4356041501369621</v>
      </c>
    </row>
    <row r="25" spans="2:39" x14ac:dyDescent="0.3">
      <c r="B25">
        <v>102</v>
      </c>
      <c r="E25">
        <f t="shared" si="0"/>
        <v>1.5711300000000001E-2</v>
      </c>
      <c r="F25">
        <f t="shared" si="1"/>
        <v>0.69015451329639887</v>
      </c>
      <c r="G25">
        <f t="shared" si="2"/>
        <v>0.40424999999999994</v>
      </c>
      <c r="H25">
        <f t="shared" si="3"/>
        <v>2.5341668975069251</v>
      </c>
      <c r="J25">
        <f t="shared" si="25"/>
        <v>0.85000000000000031</v>
      </c>
      <c r="K25">
        <f t="shared" si="4"/>
        <v>0.9604590589664771</v>
      </c>
      <c r="L25">
        <f t="shared" si="5"/>
        <v>0.14999999999999969</v>
      </c>
      <c r="M25">
        <f t="shared" si="6"/>
        <v>3.9540941033522903E-2</v>
      </c>
      <c r="O25">
        <f t="shared" si="7"/>
        <v>5.6666666666666803</v>
      </c>
      <c r="P25">
        <f t="shared" si="8"/>
        <v>24.290242818252494</v>
      </c>
      <c r="Q25">
        <f t="shared" si="9"/>
        <v>0.9604590589664771</v>
      </c>
      <c r="S25">
        <f t="shared" si="10"/>
        <v>-1.1468076294977745</v>
      </c>
      <c r="T25">
        <f t="shared" si="11"/>
        <v>-0.35018940909513574</v>
      </c>
      <c r="U25">
        <f t="shared" si="12"/>
        <v>-2.4928699848858833</v>
      </c>
      <c r="V25">
        <f t="shared" si="13"/>
        <v>-1.6962517644832467</v>
      </c>
      <c r="X25">
        <f t="shared" si="14"/>
        <v>-1.3487169828059904</v>
      </c>
      <c r="Y25">
        <f t="shared" si="15"/>
        <v>-0.40341398131698197</v>
      </c>
      <c r="AA25">
        <f t="shared" si="16"/>
        <v>1.6861752331855855</v>
      </c>
      <c r="AB25">
        <f t="shared" si="17"/>
        <v>37.584656493318271</v>
      </c>
      <c r="AD25">
        <f t="shared" si="18"/>
        <v>1.6861752331855853</v>
      </c>
      <c r="AE25">
        <f t="shared" si="19"/>
        <v>1.6861752331855808</v>
      </c>
      <c r="AG25">
        <f t="shared" si="20"/>
        <v>0.79661822040263874</v>
      </c>
      <c r="AH25">
        <f t="shared" si="21"/>
        <v>0.79661822040263874</v>
      </c>
      <c r="AI25">
        <f t="shared" si="22"/>
        <v>1.6861752331855853</v>
      </c>
      <c r="AL25">
        <f t="shared" si="23"/>
        <v>1.722742344366242</v>
      </c>
      <c r="AM25">
        <f t="shared" si="24"/>
        <v>3.6464712955752123</v>
      </c>
    </row>
    <row r="26" spans="2:39" x14ac:dyDescent="0.3">
      <c r="E26">
        <f t="shared" si="0"/>
        <v>1.5711300000000001E-2</v>
      </c>
      <c r="F26">
        <f t="shared" si="1"/>
        <v>0.69015451329639887</v>
      </c>
      <c r="G26">
        <f t="shared" si="2"/>
        <v>0.40424999999999994</v>
      </c>
      <c r="H26">
        <f t="shared" si="3"/>
        <v>2.5341668975069251</v>
      </c>
      <c r="J26">
        <f>J25+0.05</f>
        <v>0.90000000000000036</v>
      </c>
      <c r="K26">
        <f t="shared" si="4"/>
        <v>0.97473383417405346</v>
      </c>
      <c r="L26">
        <f t="shared" si="5"/>
        <v>9.9999999999999645E-2</v>
      </c>
      <c r="M26">
        <f t="shared" si="6"/>
        <v>2.526616582594654E-2</v>
      </c>
      <c r="O26">
        <f t="shared" si="7"/>
        <v>9.0000000000000355</v>
      </c>
      <c r="P26">
        <f t="shared" si="8"/>
        <v>38.57862094663637</v>
      </c>
      <c r="Q26">
        <f t="shared" si="9"/>
        <v>0.97473383417405346</v>
      </c>
      <c r="S26">
        <f t="shared" si="10"/>
        <v>-1.0896492156578259</v>
      </c>
      <c r="T26">
        <f t="shared" si="11"/>
        <v>-0.33543632254731959</v>
      </c>
      <c r="U26">
        <f t="shared" si="12"/>
        <v>-2.8983350929940492</v>
      </c>
      <c r="V26">
        <f t="shared" si="13"/>
        <v>-2.1441221998835474</v>
      </c>
      <c r="X26">
        <f t="shared" si="14"/>
        <v>-1.2705178033914475</v>
      </c>
      <c r="Y26">
        <f t="shared" si="15"/>
        <v>-0.3811348798511443</v>
      </c>
      <c r="AA26">
        <f t="shared" si="16"/>
        <v>1.5964172904172382</v>
      </c>
      <c r="AB26">
        <f t="shared" si="17"/>
        <v>33.689767904659881</v>
      </c>
      <c r="AD26">
        <f t="shared" si="18"/>
        <v>1.5964172904172385</v>
      </c>
      <c r="AE26">
        <f t="shared" si="19"/>
        <v>1.5964172904172289</v>
      </c>
      <c r="AG26">
        <f t="shared" si="20"/>
        <v>0.75421289311050632</v>
      </c>
      <c r="AH26">
        <f t="shared" si="21"/>
        <v>0.75421289311050632</v>
      </c>
      <c r="AI26">
        <f t="shared" si="22"/>
        <v>1.5964172904172385</v>
      </c>
      <c r="AL26">
        <f t="shared" si="23"/>
        <v>1.8333985736990848</v>
      </c>
      <c r="AM26">
        <f t="shared" si="24"/>
        <v>3.8806936476630627</v>
      </c>
    </row>
    <row r="27" spans="2:39" x14ac:dyDescent="0.3">
      <c r="E27">
        <f t="shared" si="0"/>
        <v>1.5711300000000001E-2</v>
      </c>
      <c r="F27">
        <f t="shared" si="1"/>
        <v>0.69015451329639887</v>
      </c>
      <c r="G27">
        <f t="shared" si="2"/>
        <v>0.40424999999999994</v>
      </c>
      <c r="H27">
        <f t="shared" si="3"/>
        <v>2.5341668975069251</v>
      </c>
      <c r="J27">
        <f t="shared" si="25"/>
        <v>0.9500000000000004</v>
      </c>
      <c r="K27">
        <f t="shared" si="4"/>
        <v>0.98787051856170827</v>
      </c>
      <c r="L27">
        <f t="shared" si="5"/>
        <v>4.99999999999996E-2</v>
      </c>
      <c r="M27">
        <f t="shared" si="6"/>
        <v>1.2129481438291734E-2</v>
      </c>
      <c r="O27">
        <f t="shared" si="7"/>
        <v>19.00000000000016</v>
      </c>
      <c r="P27">
        <f t="shared" si="8"/>
        <v>81.443755331788267</v>
      </c>
      <c r="Q27">
        <f t="shared" si="9"/>
        <v>0.98787051856170827</v>
      </c>
      <c r="S27">
        <f t="shared" si="10"/>
        <v>-1.0355819943875502</v>
      </c>
      <c r="T27">
        <f t="shared" si="11"/>
        <v>-0.32204913061354745</v>
      </c>
      <c r="U27">
        <f t="shared" si="12"/>
        <v>-3.5914822735539991</v>
      </c>
      <c r="V27">
        <f t="shared" si="13"/>
        <v>-2.877949409780006</v>
      </c>
      <c r="X27">
        <f t="shared" si="14"/>
        <v>-1.1633770083458717</v>
      </c>
      <c r="Y27">
        <f t="shared" si="15"/>
        <v>-0.35305087560782167</v>
      </c>
      <c r="AA27">
        <f t="shared" si="16"/>
        <v>1.5103112283216389</v>
      </c>
      <c r="AB27">
        <f t="shared" si="17"/>
        <v>30.153524052529079</v>
      </c>
      <c r="AD27">
        <f t="shared" si="18"/>
        <v>1.5103112283216391</v>
      </c>
      <c r="AE27">
        <f t="shared" si="19"/>
        <v>1.5103112283216187</v>
      </c>
      <c r="AG27">
        <f t="shared" si="20"/>
        <v>0.7135328637740026</v>
      </c>
      <c r="AH27">
        <f t="shared" si="21"/>
        <v>0.71353286377400271</v>
      </c>
      <c r="AI27">
        <f t="shared" si="22"/>
        <v>1.5103112283216391</v>
      </c>
      <c r="AL27">
        <f t="shared" si="23"/>
        <v>1.9578409344632055</v>
      </c>
      <c r="AM27">
        <f t="shared" si="24"/>
        <v>4.1440966446137857</v>
      </c>
    </row>
    <row r="28" spans="2:39" x14ac:dyDescent="0.3">
      <c r="B28">
        <f>B23*4.14</f>
        <v>11.5</v>
      </c>
      <c r="E28">
        <f t="shared" si="0"/>
        <v>1.5711300000000001E-2</v>
      </c>
      <c r="F28">
        <f t="shared" si="1"/>
        <v>0.69015451329639887</v>
      </c>
      <c r="G28">
        <f t="shared" si="2"/>
        <v>0.40424999999999994</v>
      </c>
      <c r="H28">
        <f t="shared" si="3"/>
        <v>2.5341668975069251</v>
      </c>
      <c r="J28">
        <f>1-0.000001</f>
        <v>0.99999899999999997</v>
      </c>
      <c r="K28">
        <f t="shared" si="4"/>
        <v>0.99999976670998914</v>
      </c>
      <c r="L28">
        <f t="shared" si="5"/>
        <v>1.0000000000287557E-6</v>
      </c>
      <c r="M28">
        <f t="shared" si="6"/>
        <v>2.3329001086480616E-7</v>
      </c>
      <c r="O28">
        <f t="shared" si="7"/>
        <v>999998.99997124437</v>
      </c>
      <c r="P28">
        <f t="shared" si="8"/>
        <v>4286509.1518784361</v>
      </c>
      <c r="Q28">
        <f t="shared" si="9"/>
        <v>0.99999976670998914</v>
      </c>
      <c r="S28">
        <f t="shared" si="10"/>
        <v>-0.98428970000049998</v>
      </c>
      <c r="T28">
        <f t="shared" si="11"/>
        <v>-0.30984571999363919</v>
      </c>
      <c r="U28">
        <f t="shared" si="12"/>
        <v>-14.411260557935519</v>
      </c>
      <c r="V28">
        <f t="shared" si="13"/>
        <v>-13.736816578024836</v>
      </c>
      <c r="X28">
        <f t="shared" si="14"/>
        <v>-0.98430312697135824</v>
      </c>
      <c r="Y28">
        <f t="shared" si="15"/>
        <v>-0.30984885237181659</v>
      </c>
      <c r="AA28">
        <f t="shared" si="16"/>
        <v>1.4275730910145221</v>
      </c>
      <c r="AB28">
        <f t="shared" si="17"/>
        <v>26.940266005151209</v>
      </c>
      <c r="AD28">
        <f t="shared" si="18"/>
        <v>1.4275730910145221</v>
      </c>
      <c r="AE28">
        <f t="shared" si="19"/>
        <v>1.4275730908109447</v>
      </c>
      <c r="AG28">
        <f t="shared" si="20"/>
        <v>0.67444398000686079</v>
      </c>
      <c r="AH28">
        <f t="shared" si="21"/>
        <v>0.67444398000686079</v>
      </c>
      <c r="AI28">
        <f t="shared" si="22"/>
        <v>1.4275730910145221</v>
      </c>
      <c r="AL28">
        <f t="shared" si="23"/>
        <v>2.0999969448047002</v>
      </c>
      <c r="AM28">
        <f t="shared" si="24"/>
        <v>4.4449935331699493</v>
      </c>
    </row>
    <row r="30" spans="2:39" x14ac:dyDescent="0.3">
      <c r="E30" s="2">
        <f t="shared" si="0"/>
        <v>1.5711300000000001E-2</v>
      </c>
      <c r="F30" s="2">
        <f t="shared" si="1"/>
        <v>0.69015451329639887</v>
      </c>
      <c r="G30" s="2">
        <f t="shared" si="2"/>
        <v>0.40424999999999994</v>
      </c>
      <c r="H30" s="2">
        <f t="shared" si="3"/>
        <v>2.5341668975069251</v>
      </c>
      <c r="I30" s="2"/>
      <c r="J30" s="2">
        <v>0.8</v>
      </c>
      <c r="K30" s="2">
        <f>Q30</f>
        <v>0.94489159937728995</v>
      </c>
      <c r="L30" s="2">
        <v>0.2</v>
      </c>
      <c r="M30" s="2">
        <f>1-K30</f>
        <v>5.5108400622710052E-2</v>
      </c>
      <c r="N30" s="2"/>
      <c r="O30" s="2">
        <f>J30/L30</f>
        <v>4</v>
      </c>
      <c r="P30" s="2">
        <f>O30*EXP(H30-G30-F30+E30)</f>
        <v>17.146053754060542</v>
      </c>
      <c r="Q30" s="2">
        <f>(1/P30+1)^(-1)</f>
        <v>0.94489159937728995</v>
      </c>
      <c r="R30" s="2"/>
      <c r="S30" s="2">
        <f>E30+LN(J30)-1</f>
        <v>-1.2074322513142097</v>
      </c>
      <c r="T30" s="2">
        <f>F30+LN(K30)-1</f>
        <v>-0.36653055442531235</v>
      </c>
      <c r="U30" s="2">
        <f>G30+LN(L30)-1</f>
        <v>-2.2051879124341003</v>
      </c>
      <c r="V30" s="2">
        <f>H30+LN(M30)-1</f>
        <v>-1.3642862155452029</v>
      </c>
      <c r="W30" s="2"/>
      <c r="X30" s="2">
        <f>J30*S30+L30*U30</f>
        <v>-1.406983383538188</v>
      </c>
      <c r="Y30" s="2">
        <f>K30*T30+M30*V30</f>
        <v>-0.42151527312188419</v>
      </c>
      <c r="Z30" s="2"/>
      <c r="AA30">
        <f>(K30*(T30-S30)+M30*(V30-U30))*$B$8*$B$4</f>
        <v>1.7799085917481661</v>
      </c>
      <c r="AB30" s="6">
        <f>$B$25/$B$23^2*AA30^2</f>
        <v>41.879411685945584</v>
      </c>
      <c r="AD30">
        <f>$B$8*$B$4*(T30-S30)</f>
        <v>1.7799085917481661</v>
      </c>
      <c r="AE30">
        <f>$B$8*$B$4*(V30-U30)</f>
        <v>1.7799085917481661</v>
      </c>
      <c r="AG30">
        <f>F30-E30-LN(J30+(1-J30)*EXP(F30-E30-H30+G30))</f>
        <v>0.84090169688889738</v>
      </c>
      <c r="AH30">
        <f>T30-S30</f>
        <v>0.84090169688889738</v>
      </c>
      <c r="AI30">
        <f>AH30*$B$4*$B$8</f>
        <v>1.7799085917481661</v>
      </c>
      <c r="AL30">
        <f>2.1-LN(J30+(1-J30)*EXP(1.4))</f>
        <v>1.6231200709308475</v>
      </c>
      <c r="AM30">
        <f>AL30*$B$4*$B$8</f>
        <v>3.4356041501369607</v>
      </c>
    </row>
    <row r="34" spans="17:17" x14ac:dyDescent="0.3">
      <c r="Q34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J29"/>
  <sheetViews>
    <sheetView topLeftCell="Q1" workbookViewId="0">
      <selection activeCell="S28" sqref="S28"/>
    </sheetView>
  </sheetViews>
  <sheetFormatPr defaultRowHeight="14.4" x14ac:dyDescent="0.3"/>
  <cols>
    <col min="19" max="19" width="10.88671875" customWidth="1"/>
    <col min="25" max="25" width="11.88671875" bestFit="1" customWidth="1"/>
  </cols>
  <sheetData>
    <row r="2" spans="3:36" x14ac:dyDescent="0.3">
      <c r="N2" t="s">
        <v>31</v>
      </c>
      <c r="O2" t="s">
        <v>32</v>
      </c>
      <c r="P2" t="s">
        <v>33</v>
      </c>
      <c r="Q2" t="s">
        <v>34</v>
      </c>
      <c r="S2" t="s">
        <v>37</v>
      </c>
      <c r="T2" t="s">
        <v>38</v>
      </c>
    </row>
    <row r="3" spans="3:36" x14ac:dyDescent="0.3">
      <c r="C3">
        <v>0.09</v>
      </c>
      <c r="E3">
        <v>0.25</v>
      </c>
      <c r="G3">
        <v>0.5</v>
      </c>
      <c r="I3">
        <v>1</v>
      </c>
      <c r="N3">
        <v>0.09</v>
      </c>
      <c r="O3">
        <v>0.999</v>
      </c>
      <c r="P3">
        <v>1E-3</v>
      </c>
      <c r="Q3" s="3">
        <v>0</v>
      </c>
    </row>
    <row r="4" spans="3:36" x14ac:dyDescent="0.3">
      <c r="C4" t="s">
        <v>28</v>
      </c>
      <c r="E4" t="s">
        <v>27</v>
      </c>
      <c r="G4" t="s">
        <v>29</v>
      </c>
      <c r="I4" t="s">
        <v>30</v>
      </c>
      <c r="N4">
        <v>0.25</v>
      </c>
      <c r="O4">
        <v>0.94</v>
      </c>
      <c r="P4">
        <v>0.06</v>
      </c>
      <c r="Q4" s="3">
        <v>0</v>
      </c>
      <c r="S4">
        <v>4</v>
      </c>
      <c r="T4">
        <v>3.3</v>
      </c>
      <c r="X4" t="s">
        <v>39</v>
      </c>
      <c r="Y4" t="s">
        <v>14</v>
      </c>
      <c r="Z4" t="s">
        <v>40</v>
      </c>
      <c r="AA4" t="s">
        <v>41</v>
      </c>
      <c r="AB4" t="s">
        <v>42</v>
      </c>
      <c r="AC4" t="s">
        <v>43</v>
      </c>
      <c r="AE4" t="s">
        <v>44</v>
      </c>
      <c r="AF4" t="s">
        <v>45</v>
      </c>
      <c r="AH4" t="s">
        <v>50</v>
      </c>
      <c r="AI4" t="s">
        <v>46</v>
      </c>
      <c r="AJ4" t="s">
        <v>51</v>
      </c>
    </row>
    <row r="5" spans="3:36" x14ac:dyDescent="0.3">
      <c r="N5">
        <v>0.5</v>
      </c>
      <c r="O5">
        <v>0.44</v>
      </c>
      <c r="P5">
        <v>0.56000000000000005</v>
      </c>
      <c r="Q5">
        <v>1.4E-3</v>
      </c>
      <c r="S5">
        <v>3.7</v>
      </c>
      <c r="T5">
        <v>2.5</v>
      </c>
      <c r="V5" t="s">
        <v>52</v>
      </c>
      <c r="W5" t="s">
        <v>49</v>
      </c>
      <c r="X5">
        <v>9.6</v>
      </c>
      <c r="Y5">
        <v>11.5</v>
      </c>
      <c r="Z5">
        <v>0.22</v>
      </c>
      <c r="AA5">
        <v>4</v>
      </c>
      <c r="AB5">
        <f>3000000</f>
        <v>3000000</v>
      </c>
      <c r="AC5">
        <f>102*(Y5/11.5)^2</f>
        <v>102</v>
      </c>
      <c r="AE5">
        <f>Z5*EXP(X5/AA5)</f>
        <v>2.4250988037411525</v>
      </c>
      <c r="AF5">
        <f>AB5*(X5/AC5)^0.5*EXP(-AC5/X5)</f>
        <v>22.365464130952141</v>
      </c>
      <c r="AH5">
        <f>1/Z5</f>
        <v>4.5454545454545459</v>
      </c>
      <c r="AI5">
        <f>1/AF5</f>
        <v>4.471179288499872E-2</v>
      </c>
      <c r="AJ5">
        <f>AH5/AI5</f>
        <v>101.66120059523701</v>
      </c>
    </row>
    <row r="6" spans="3:36" x14ac:dyDescent="0.3">
      <c r="N6">
        <v>1</v>
      </c>
      <c r="O6">
        <v>0.17</v>
      </c>
      <c r="P6">
        <v>0.55000000000000004</v>
      </c>
      <c r="Q6">
        <v>0.28000000000000003</v>
      </c>
      <c r="S6">
        <v>3.1</v>
      </c>
      <c r="T6">
        <v>1.5</v>
      </c>
      <c r="W6" t="s">
        <v>47</v>
      </c>
      <c r="X6">
        <f>X5</f>
        <v>9.6</v>
      </c>
      <c r="Y6">
        <f>3.7*4.14</f>
        <v>15.318</v>
      </c>
      <c r="Z6">
        <v>0.22</v>
      </c>
      <c r="AA6">
        <v>4</v>
      </c>
      <c r="AB6">
        <f t="shared" ref="AB6:AB7" si="0">3000000</f>
        <v>3000000</v>
      </c>
      <c r="AC6">
        <f t="shared" ref="AC6:AC7" si="1">102*(Y6/11.5)^2</f>
        <v>180.97084800000002</v>
      </c>
      <c r="AE6">
        <f t="shared" ref="AE6:AE7" si="2">Z6*EXP(X6/AA6)</f>
        <v>2.4250988037411525</v>
      </c>
      <c r="AF6">
        <f t="shared" ref="AF6:AF7" si="3">AB6*(X6/AC6)^0.5*EXP(-AC6/X6)</f>
        <v>4.4927352173541697E-3</v>
      </c>
      <c r="AH6">
        <f t="shared" ref="AH6:AH11" si="4">1/Z6</f>
        <v>4.5454545454545459</v>
      </c>
      <c r="AI6">
        <f>1/AF6</f>
        <v>222.58155702950887</v>
      </c>
      <c r="AJ6">
        <f t="shared" ref="AJ6:AJ11" si="5">AH6/AI6</f>
        <v>2.0421523715246227E-2</v>
      </c>
    </row>
    <row r="7" spans="3:36" x14ac:dyDescent="0.3">
      <c r="C7" t="s">
        <v>22</v>
      </c>
      <c r="E7" t="s">
        <v>22</v>
      </c>
      <c r="G7" t="s">
        <v>22</v>
      </c>
      <c r="I7" t="s">
        <v>22</v>
      </c>
      <c r="W7" t="s">
        <v>48</v>
      </c>
      <c r="X7">
        <f>X6</f>
        <v>9.6</v>
      </c>
      <c r="Y7">
        <f>3.1*4.14</f>
        <v>12.834</v>
      </c>
      <c r="Z7">
        <v>0.22</v>
      </c>
      <c r="AA7">
        <v>4</v>
      </c>
      <c r="AB7">
        <f t="shared" si="0"/>
        <v>3000000</v>
      </c>
      <c r="AC7">
        <f t="shared" si="1"/>
        <v>127.03651199999997</v>
      </c>
      <c r="AE7">
        <f t="shared" si="2"/>
        <v>2.4250988037411525</v>
      </c>
      <c r="AF7">
        <f t="shared" si="3"/>
        <v>1.4766811821928016</v>
      </c>
      <c r="AG7">
        <f>AF7/AF6</f>
        <v>328.68199676864964</v>
      </c>
      <c r="AH7">
        <f t="shared" si="4"/>
        <v>4.5454545454545459</v>
      </c>
      <c r="AI7">
        <f>1/AF7</f>
        <v>0.67719424616425827</v>
      </c>
      <c r="AJ7">
        <f t="shared" si="5"/>
        <v>6.7121871917854623</v>
      </c>
    </row>
    <row r="9" spans="3:36" x14ac:dyDescent="0.3">
      <c r="C9">
        <v>0.83960000000000001</v>
      </c>
      <c r="E9">
        <v>0.41389999999999999</v>
      </c>
      <c r="G9">
        <v>0.41360000000000002</v>
      </c>
      <c r="I9">
        <v>0.21049999999999999</v>
      </c>
      <c r="V9" t="s">
        <v>53</v>
      </c>
      <c r="W9" t="s">
        <v>49</v>
      </c>
      <c r="X9">
        <v>12</v>
      </c>
      <c r="Y9">
        <v>11.5</v>
      </c>
      <c r="Z9">
        <v>0.22</v>
      </c>
      <c r="AA9">
        <v>4</v>
      </c>
      <c r="AB9">
        <f>3000000</f>
        <v>3000000</v>
      </c>
      <c r="AC9">
        <f>102*(Y9/11.5)^2</f>
        <v>102</v>
      </c>
      <c r="AE9">
        <f>Z9*EXP(X9/AA9)</f>
        <v>4.4188181231012873</v>
      </c>
      <c r="AF9">
        <f>AB9*(X9/AC9)^0.5*EXP(-AC9/X9)</f>
        <v>209.36722443947622</v>
      </c>
      <c r="AH9">
        <f t="shared" si="4"/>
        <v>4.5454545454545459</v>
      </c>
      <c r="AI9">
        <f>1/AF9</f>
        <v>4.7762967803448124E-3</v>
      </c>
      <c r="AJ9">
        <f t="shared" si="5"/>
        <v>951.66920199761933</v>
      </c>
    </row>
    <row r="10" spans="3:36" x14ac:dyDescent="0.3">
      <c r="W10" t="s">
        <v>47</v>
      </c>
      <c r="X10">
        <f>X9</f>
        <v>12</v>
      </c>
      <c r="Y10">
        <f>3.7*4.14</f>
        <v>15.318</v>
      </c>
      <c r="Z10">
        <v>0.22</v>
      </c>
      <c r="AA10">
        <v>4</v>
      </c>
      <c r="AB10">
        <f t="shared" ref="AB10:AB24" si="6">3000000</f>
        <v>3000000</v>
      </c>
      <c r="AC10">
        <f t="shared" ref="AC10:AC11" si="7">102*(Y10/11.5)^2</f>
        <v>180.97084800000002</v>
      </c>
      <c r="AE10">
        <f t="shared" ref="AE10:AE11" si="8">Z10*EXP(X10/AA10)</f>
        <v>4.4188181231012873</v>
      </c>
      <c r="AF10">
        <f t="shared" ref="AF10:AF11" si="9">AB10*(X10/AC10)^0.5*EXP(-AC10/X10)</f>
        <v>0.21794864720245016</v>
      </c>
      <c r="AH10">
        <f t="shared" si="4"/>
        <v>4.5454545454545459</v>
      </c>
      <c r="AI10">
        <f>1/AF10</f>
        <v>4.5882367834617055</v>
      </c>
      <c r="AJ10">
        <f t="shared" si="5"/>
        <v>0.9906756691020463</v>
      </c>
    </row>
    <row r="11" spans="3:36" x14ac:dyDescent="0.3">
      <c r="W11" t="s">
        <v>48</v>
      </c>
      <c r="X11">
        <f>X10</f>
        <v>12</v>
      </c>
      <c r="Y11">
        <f>3.1*4.14</f>
        <v>12.834</v>
      </c>
      <c r="Z11">
        <v>0.22</v>
      </c>
      <c r="AA11">
        <v>4</v>
      </c>
      <c r="AB11">
        <f t="shared" si="6"/>
        <v>3000000</v>
      </c>
      <c r="AC11">
        <f t="shared" si="7"/>
        <v>127.03651199999997</v>
      </c>
      <c r="AE11">
        <f t="shared" si="8"/>
        <v>4.4188181231012873</v>
      </c>
      <c r="AF11">
        <f t="shared" si="9"/>
        <v>23.288575092193152</v>
      </c>
      <c r="AG11">
        <f>AF11/AF10</f>
        <v>106.8534968724107</v>
      </c>
      <c r="AH11">
        <f t="shared" si="4"/>
        <v>4.5454545454545459</v>
      </c>
      <c r="AI11">
        <f>1/AF11</f>
        <v>4.2939509868734828E-2</v>
      </c>
      <c r="AJ11">
        <f t="shared" si="5"/>
        <v>105.85715950996888</v>
      </c>
    </row>
    <row r="12" spans="3:36" x14ac:dyDescent="0.3">
      <c r="C12" t="s">
        <v>23</v>
      </c>
      <c r="E12" t="s">
        <v>23</v>
      </c>
      <c r="G12" t="s">
        <v>23</v>
      </c>
      <c r="I12" t="s">
        <v>23</v>
      </c>
      <c r="N12" t="s">
        <v>31</v>
      </c>
      <c r="O12" t="s">
        <v>32</v>
      </c>
      <c r="P12" t="s">
        <v>33</v>
      </c>
      <c r="Q12" t="s">
        <v>34</v>
      </c>
    </row>
    <row r="13" spans="3:36" x14ac:dyDescent="0.3">
      <c r="N13">
        <v>0.09</v>
      </c>
      <c r="O13">
        <v>0.83960000000000001</v>
      </c>
      <c r="P13">
        <v>0.16039999999999999</v>
      </c>
      <c r="Q13">
        <v>1.698E-5</v>
      </c>
      <c r="V13" t="s">
        <v>61</v>
      </c>
    </row>
    <row r="14" spans="3:36" x14ac:dyDescent="0.3">
      <c r="C14">
        <v>0.16039999999999999</v>
      </c>
      <c r="E14">
        <v>0.58540000000000003</v>
      </c>
      <c r="G14">
        <v>0.58499999999999996</v>
      </c>
      <c r="I14">
        <v>0.55730000000000002</v>
      </c>
      <c r="N14">
        <v>0.25</v>
      </c>
      <c r="O14">
        <v>0.41389999999999999</v>
      </c>
      <c r="P14">
        <v>0.58540000000000003</v>
      </c>
      <c r="Q14">
        <v>7.2968000000000002E-4</v>
      </c>
      <c r="V14" s="4">
        <v>0.15</v>
      </c>
      <c r="W14" t="s">
        <v>55</v>
      </c>
      <c r="X14">
        <v>3.3</v>
      </c>
      <c r="Y14">
        <f>2.4*4.14</f>
        <v>9.9359999999999982</v>
      </c>
      <c r="Z14">
        <v>0.22</v>
      </c>
      <c r="AA14">
        <v>4</v>
      </c>
      <c r="AB14">
        <f t="shared" si="6"/>
        <v>3000000</v>
      </c>
      <c r="AC14">
        <f t="shared" ref="AC14" si="10">102*(Y14/11.5)^2</f>
        <v>76.142591999999979</v>
      </c>
      <c r="AE14">
        <f>Z14*EXP(X14/AA14)/8</f>
        <v>6.2751721046555853E-2</v>
      </c>
      <c r="AF14">
        <f t="shared" ref="AF14" si="11">AB14*(X14/AC14)^0.5*EXP(-AC14/X14)</f>
        <v>5.954772042763689E-5</v>
      </c>
      <c r="AH14">
        <f t="shared" ref="AH14" si="12">1/Z14</f>
        <v>4.5454545454545459</v>
      </c>
      <c r="AI14">
        <f>1/AF14</f>
        <v>16793.25409635474</v>
      </c>
      <c r="AJ14">
        <f t="shared" ref="AJ14" si="13">AH14/AI14</f>
        <v>2.7067145648925861E-4</v>
      </c>
    </row>
    <row r="15" spans="3:36" x14ac:dyDescent="0.3">
      <c r="N15">
        <v>0.5</v>
      </c>
      <c r="O15">
        <v>0.41360000000000002</v>
      </c>
      <c r="P15">
        <v>0.58499999999999996</v>
      </c>
      <c r="Q15">
        <v>1.4E-3</v>
      </c>
      <c r="V15" s="4">
        <v>0.3</v>
      </c>
      <c r="W15" t="s">
        <v>55</v>
      </c>
      <c r="X15">
        <v>3.3</v>
      </c>
      <c r="Y15">
        <f>1.77*4.14</f>
        <v>7.3277999999999999</v>
      </c>
      <c r="Z15">
        <v>0.22</v>
      </c>
      <c r="AA15">
        <v>4</v>
      </c>
      <c r="AB15">
        <f t="shared" si="6"/>
        <v>3000000</v>
      </c>
      <c r="AC15">
        <f t="shared" ref="AC15" si="14">102*(Y15/11.5)^2</f>
        <v>41.41443168</v>
      </c>
      <c r="AE15">
        <f>Z15*EXP(X15/AA15)/8</f>
        <v>6.2751721046555853E-2</v>
      </c>
      <c r="AF15">
        <f t="shared" ref="AF15" si="15">AB15*(X15/AC15)^0.5*EXP(-AC15/X15)</f>
        <v>3.0024889459638806</v>
      </c>
      <c r="AH15">
        <f t="shared" ref="AH15" si="16">1/Z15</f>
        <v>4.5454545454545459</v>
      </c>
      <c r="AI15">
        <f>1/AF15</f>
        <v>0.33305701303055851</v>
      </c>
      <c r="AJ15">
        <f t="shared" ref="AJ15" si="17">AH15/AI15</f>
        <v>13.647677027108548</v>
      </c>
    </row>
    <row r="16" spans="3:36" x14ac:dyDescent="0.3">
      <c r="N16">
        <v>1</v>
      </c>
      <c r="O16">
        <v>0.21049999999999999</v>
      </c>
      <c r="P16">
        <v>0.55730000000000002</v>
      </c>
      <c r="Q16">
        <v>0.23219999999999999</v>
      </c>
    </row>
    <row r="17" spans="3:36" x14ac:dyDescent="0.3">
      <c r="C17" t="s">
        <v>24</v>
      </c>
      <c r="E17" t="s">
        <v>24</v>
      </c>
      <c r="G17" t="s">
        <v>24</v>
      </c>
      <c r="I17" t="s">
        <v>24</v>
      </c>
      <c r="T17" t="s">
        <v>56</v>
      </c>
      <c r="V17" t="s">
        <v>54</v>
      </c>
      <c r="W17" t="s">
        <v>55</v>
      </c>
      <c r="X17">
        <v>3.3</v>
      </c>
      <c r="Y17">
        <f>2.78*4.14</f>
        <v>11.509199999999998</v>
      </c>
      <c r="Z17">
        <v>0.22</v>
      </c>
      <c r="AA17">
        <v>4</v>
      </c>
      <c r="AB17">
        <f t="shared" si="6"/>
        <v>3000000</v>
      </c>
      <c r="AC17">
        <f t="shared" ref="AC17" si="18">102*(Y17/11.5)^2</f>
        <v>102.16326527999999</v>
      </c>
      <c r="AE17">
        <f>Z17*EXP(X17/AA17)/8</f>
        <v>6.2751721046555853E-2</v>
      </c>
      <c r="AF17">
        <f t="shared" ref="AF17" si="19">AB17*(X17/AC17)^0.5*EXP(-AC17/X17)</f>
        <v>1.9346249852849397E-8</v>
      </c>
      <c r="AH17">
        <f t="shared" ref="AH17" si="20">1/Z17</f>
        <v>4.5454545454545459</v>
      </c>
      <c r="AI17">
        <f>1/AF17</f>
        <v>51689604.321569115</v>
      </c>
      <c r="AJ17">
        <f t="shared" ref="AJ17" si="21">AH17/AI17</f>
        <v>8.7937499331133633E-8</v>
      </c>
    </row>
    <row r="18" spans="3:36" x14ac:dyDescent="0.3">
      <c r="T18" t="s">
        <v>57</v>
      </c>
      <c r="X18">
        <v>4</v>
      </c>
      <c r="Y18">
        <f t="shared" ref="Y18:Y24" si="22">2.78*4.14</f>
        <v>11.509199999999998</v>
      </c>
      <c r="Z18">
        <v>0.22</v>
      </c>
      <c r="AA18">
        <v>4</v>
      </c>
      <c r="AB18">
        <f t="shared" si="6"/>
        <v>3000000</v>
      </c>
      <c r="AC18">
        <f t="shared" ref="AC18:AC24" si="23">102*(Y18/11.5)^2</f>
        <v>102.16326527999999</v>
      </c>
      <c r="AE18">
        <f t="shared" ref="AE18:AE24" si="24">Z18*EXP(X18/AA18)/8</f>
        <v>7.4752750282623737E-2</v>
      </c>
      <c r="AF18">
        <f t="shared" ref="AF18:AF24" si="25">AB18*(X18/AC18)^0.5*EXP(-AC18/X18)</f>
        <v>4.8002988593677502E-6</v>
      </c>
      <c r="AH18">
        <f t="shared" ref="AH18:AH24" si="26">1/Z18</f>
        <v>4.5454545454545459</v>
      </c>
      <c r="AI18">
        <f t="shared" ref="AI18:AI24" si="27">1/AF18</f>
        <v>208320.36281418332</v>
      </c>
      <c r="AJ18">
        <f t="shared" ref="AJ18:AJ24" si="28">AH18/AI18</f>
        <v>2.1819540269853411E-5</v>
      </c>
    </row>
    <row r="19" spans="3:36" x14ac:dyDescent="0.3">
      <c r="C19" s="3">
        <v>1.698E-5</v>
      </c>
      <c r="E19" s="3">
        <v>7.2968000000000002E-4</v>
      </c>
      <c r="G19">
        <v>1.4E-3</v>
      </c>
      <c r="I19">
        <v>0.23219999999999999</v>
      </c>
      <c r="X19">
        <v>5</v>
      </c>
      <c r="Y19">
        <f t="shared" si="22"/>
        <v>11.509199999999998</v>
      </c>
      <c r="Z19">
        <v>0.22</v>
      </c>
      <c r="AA19">
        <v>4</v>
      </c>
      <c r="AB19">
        <f t="shared" si="6"/>
        <v>3000000</v>
      </c>
      <c r="AC19">
        <f t="shared" si="23"/>
        <v>102.16326527999999</v>
      </c>
      <c r="AE19">
        <f t="shared" si="24"/>
        <v>9.598443133020064E-2</v>
      </c>
      <c r="AF19">
        <f t="shared" si="25"/>
        <v>8.875041682879398E-4</v>
      </c>
      <c r="AH19">
        <f t="shared" si="26"/>
        <v>4.5454545454545459</v>
      </c>
      <c r="AI19">
        <f t="shared" si="27"/>
        <v>1126.7552713910886</v>
      </c>
      <c r="AJ19">
        <f t="shared" si="28"/>
        <v>4.0341098558542721E-3</v>
      </c>
    </row>
    <row r="20" spans="3:36" x14ac:dyDescent="0.3">
      <c r="V20" t="s">
        <v>59</v>
      </c>
      <c r="W20" s="5" t="s">
        <v>58</v>
      </c>
      <c r="X20" s="2">
        <v>6</v>
      </c>
      <c r="Y20" s="2">
        <f t="shared" si="22"/>
        <v>11.509199999999998</v>
      </c>
      <c r="Z20" s="2">
        <v>0.22</v>
      </c>
      <c r="AA20" s="2">
        <v>4</v>
      </c>
      <c r="AB20" s="2">
        <f t="shared" si="6"/>
        <v>3000000</v>
      </c>
      <c r="AC20" s="2">
        <f t="shared" si="23"/>
        <v>102.16326527999999</v>
      </c>
      <c r="AD20" s="2"/>
      <c r="AE20">
        <f t="shared" si="24"/>
        <v>0.12324644943429677</v>
      </c>
      <c r="AF20" s="2">
        <f t="shared" si="25"/>
        <v>2.9290431520335829E-2</v>
      </c>
      <c r="AG20" s="2"/>
      <c r="AH20" s="2">
        <f t="shared" si="26"/>
        <v>4.5454545454545459</v>
      </c>
      <c r="AI20" s="2">
        <f t="shared" si="27"/>
        <v>34.140842182735263</v>
      </c>
      <c r="AJ20" s="2">
        <f t="shared" si="28"/>
        <v>0.13313832509243559</v>
      </c>
    </row>
    <row r="21" spans="3:36" x14ac:dyDescent="0.3">
      <c r="V21" t="s">
        <v>60</v>
      </c>
      <c r="X21">
        <v>7</v>
      </c>
      <c r="Y21">
        <f t="shared" si="22"/>
        <v>11.509199999999998</v>
      </c>
      <c r="Z21">
        <v>0.22</v>
      </c>
      <c r="AA21">
        <v>4</v>
      </c>
      <c r="AB21">
        <f t="shared" si="6"/>
        <v>3000000</v>
      </c>
      <c r="AC21">
        <f t="shared" si="23"/>
        <v>102.16326527999999</v>
      </c>
      <c r="AE21">
        <f t="shared" si="24"/>
        <v>0.1582515735901576</v>
      </c>
      <c r="AF21">
        <f t="shared" si="25"/>
        <v>0.36024880958923888</v>
      </c>
      <c r="AH21">
        <f t="shared" si="26"/>
        <v>4.5454545454545459</v>
      </c>
      <c r="AI21">
        <f t="shared" si="27"/>
        <v>2.775859276648867</v>
      </c>
      <c r="AJ21">
        <f t="shared" si="28"/>
        <v>1.637494589041995</v>
      </c>
    </row>
    <row r="22" spans="3:36" x14ac:dyDescent="0.3">
      <c r="C22" t="s">
        <v>25</v>
      </c>
      <c r="E22" t="s">
        <v>25</v>
      </c>
      <c r="G22" t="s">
        <v>25</v>
      </c>
      <c r="I22" t="s">
        <v>25</v>
      </c>
      <c r="X22">
        <v>8</v>
      </c>
      <c r="Y22">
        <f t="shared" si="22"/>
        <v>11.509199999999998</v>
      </c>
      <c r="Z22">
        <v>0.22</v>
      </c>
      <c r="AA22">
        <v>4</v>
      </c>
      <c r="AB22">
        <f t="shared" si="6"/>
        <v>3000000</v>
      </c>
      <c r="AC22">
        <f t="shared" si="23"/>
        <v>102.16326527999999</v>
      </c>
      <c r="AE22">
        <f t="shared" si="24"/>
        <v>0.20319904272059289</v>
      </c>
      <c r="AF22">
        <f t="shared" si="25"/>
        <v>2.3872674146021007</v>
      </c>
      <c r="AH22">
        <f t="shared" si="26"/>
        <v>4.5454545454545459</v>
      </c>
      <c r="AI22">
        <f t="shared" si="27"/>
        <v>0.41888897485189175</v>
      </c>
      <c r="AJ22">
        <f t="shared" si="28"/>
        <v>10.851215520918641</v>
      </c>
    </row>
    <row r="23" spans="3:36" x14ac:dyDescent="0.3">
      <c r="X23">
        <v>9</v>
      </c>
      <c r="Y23">
        <f t="shared" si="22"/>
        <v>11.509199999999998</v>
      </c>
      <c r="Z23">
        <v>0.22</v>
      </c>
      <c r="AA23">
        <v>4</v>
      </c>
      <c r="AB23">
        <f t="shared" si="6"/>
        <v>3000000</v>
      </c>
      <c r="AC23">
        <f t="shared" si="23"/>
        <v>102.16326527999999</v>
      </c>
      <c r="AE23">
        <f t="shared" si="24"/>
        <v>0.26091273549985949</v>
      </c>
      <c r="AF23">
        <f t="shared" si="25"/>
        <v>10.464359274767769</v>
      </c>
      <c r="AH23">
        <f t="shared" si="26"/>
        <v>4.5454545454545459</v>
      </c>
      <c r="AI23">
        <f t="shared" si="27"/>
        <v>9.5562468159063899E-2</v>
      </c>
      <c r="AJ23">
        <f t="shared" si="28"/>
        <v>47.565269430762598</v>
      </c>
    </row>
    <row r="24" spans="3:36" x14ac:dyDescent="0.3">
      <c r="C24">
        <v>0.54749999999999999</v>
      </c>
      <c r="E24">
        <v>7.3494999999999999</v>
      </c>
      <c r="G24">
        <v>7.3442999999999996</v>
      </c>
      <c r="I24">
        <v>10.0831</v>
      </c>
      <c r="X24">
        <v>10</v>
      </c>
      <c r="Y24">
        <f t="shared" si="22"/>
        <v>11.509199999999998</v>
      </c>
      <c r="Z24">
        <v>0.22</v>
      </c>
      <c r="AA24">
        <v>4</v>
      </c>
      <c r="AB24">
        <f t="shared" si="6"/>
        <v>3000000</v>
      </c>
      <c r="AC24">
        <f t="shared" si="23"/>
        <v>102.16326527999999</v>
      </c>
      <c r="AE24">
        <f t="shared" si="24"/>
        <v>0.33501858391934553</v>
      </c>
      <c r="AF24">
        <f t="shared" si="25"/>
        <v>34.322557062133285</v>
      </c>
      <c r="AH24">
        <f t="shared" si="26"/>
        <v>4.5454545454545459</v>
      </c>
      <c r="AI24">
        <f t="shared" si="27"/>
        <v>2.9135358364754831E-2</v>
      </c>
      <c r="AJ24">
        <f t="shared" si="28"/>
        <v>156.01162300969676</v>
      </c>
    </row>
    <row r="26" spans="3:36" x14ac:dyDescent="0.3">
      <c r="S26">
        <f>12600-8000</f>
        <v>4600</v>
      </c>
    </row>
    <row r="27" spans="3:36" x14ac:dyDescent="0.3">
      <c r="C27" t="s">
        <v>26</v>
      </c>
      <c r="E27" t="s">
        <v>26</v>
      </c>
      <c r="G27" t="s">
        <v>26</v>
      </c>
      <c r="I27" t="s">
        <v>26</v>
      </c>
      <c r="S27">
        <f>S26/8000</f>
        <v>0.57499999999999996</v>
      </c>
    </row>
    <row r="29" spans="3:36" x14ac:dyDescent="0.3">
      <c r="C29" s="3">
        <v>5.9711000000000003E-6</v>
      </c>
      <c r="E29" s="3">
        <v>3.101E-4</v>
      </c>
      <c r="G29" s="3">
        <v>6.2991000000000002E-4</v>
      </c>
      <c r="I29">
        <v>0.1454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7:F10"/>
  <sheetViews>
    <sheetView workbookViewId="0">
      <selection activeCell="N9" sqref="N9:N19"/>
    </sheetView>
  </sheetViews>
  <sheetFormatPr defaultRowHeight="14.4" x14ac:dyDescent="0.3"/>
  <sheetData>
    <row r="7" spans="6:6" x14ac:dyDescent="0.3">
      <c r="F7">
        <f>1/1.44</f>
        <v>0.69444444444444442</v>
      </c>
    </row>
    <row r="8" spans="6:6" x14ac:dyDescent="0.3">
      <c r="F8">
        <f>1/144*100</f>
        <v>0.69444444444444442</v>
      </c>
    </row>
    <row r="9" spans="6:6" x14ac:dyDescent="0.3">
      <c r="F9">
        <f>1/14.4</f>
        <v>6.9444444444444448E-2</v>
      </c>
    </row>
    <row r="10" spans="6:6" x14ac:dyDescent="0.3">
      <c r="F10">
        <f>1/-30</f>
        <v>-3.3333333333333333E-2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line_tension</vt:lpstr>
      <vt:lpstr>outcome_predictions</vt:lpstr>
      <vt:lpstr>Sheet3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An Dong</cp:lastModifiedBy>
  <dcterms:created xsi:type="dcterms:W3CDTF">2012-01-12T17:55:27Z</dcterms:created>
  <dcterms:modified xsi:type="dcterms:W3CDTF">2022-06-25T16:40:11Z</dcterms:modified>
</cp:coreProperties>
</file>