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grammering\solar-analysis-faroe-island\additional_documentation\"/>
    </mc:Choice>
  </mc:AlternateContent>
  <xr:revisionPtr revIDLastSave="0" documentId="13_ncr:1_{35F4C7A8-6690-4681-B8B1-D7EEC2EE1B6F}" xr6:coauthVersionLast="47" xr6:coauthVersionMax="47" xr10:uidLastSave="{00000000-0000-0000-0000-000000000000}"/>
  <bookViews>
    <workbookView xWindow="-105" yWindow="0" windowWidth="14610" windowHeight="15585" tabRatio="830" activeTab="3" xr2:uid="{B87D8C75-6BF2-4C16-A9D6-8E220EFF7557}"/>
  </bookViews>
  <sheets>
    <sheet name="REST Data" sheetId="4" r:id="rId1"/>
    <sheet name="REST Export" sheetId="1" r:id="rId2"/>
    <sheet name="REST Export Multiple" sheetId="3" r:id="rId3"/>
    <sheet name="Resolution safety" sheetId="2" r:id="rId4"/>
  </sheets>
  <definedNames>
    <definedName name="h">'REST Data'!$C$9</definedName>
    <definedName name="w">'REST Data'!$C$10</definedName>
    <definedName name="xh">'REST Data'!$C$9</definedName>
    <definedName name="xmax">'REST Data'!$C$6</definedName>
    <definedName name="xmin">'REST Data'!$C$4</definedName>
    <definedName name="ymax">'REST Data'!$C$7</definedName>
    <definedName name="ymin">'REST Data'!$C$5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1" i="2" l="1"/>
  <c r="D40" i="2"/>
  <c r="D39" i="2"/>
  <c r="D42" i="2"/>
  <c r="K6" i="3"/>
  <c r="L6" i="3"/>
  <c r="M6" i="3"/>
  <c r="N6" i="3"/>
  <c r="K7" i="3"/>
  <c r="M7" i="3" s="1"/>
  <c r="L7" i="3"/>
  <c r="N7" i="3"/>
  <c r="K8" i="3"/>
  <c r="L8" i="3"/>
  <c r="N8" i="3" s="1"/>
  <c r="M8" i="3"/>
  <c r="K9" i="3"/>
  <c r="L9" i="3"/>
  <c r="M9" i="3"/>
  <c r="N9" i="3"/>
  <c r="K10" i="3"/>
  <c r="M10" i="3" s="1"/>
  <c r="L10" i="3"/>
  <c r="N10" i="3"/>
  <c r="K11" i="3"/>
  <c r="L11" i="3"/>
  <c r="N11" i="3" s="1"/>
  <c r="M11" i="3"/>
  <c r="K12" i="3"/>
  <c r="L12" i="3"/>
  <c r="M12" i="3"/>
  <c r="N12" i="3"/>
  <c r="K13" i="3"/>
  <c r="M13" i="3" s="1"/>
  <c r="L13" i="3"/>
  <c r="N13" i="3"/>
  <c r="K14" i="3"/>
  <c r="L14" i="3"/>
  <c r="N14" i="3" s="1"/>
  <c r="M14" i="3"/>
  <c r="K15" i="3"/>
  <c r="L15" i="3"/>
  <c r="M15" i="3"/>
  <c r="N15" i="3"/>
  <c r="K16" i="3"/>
  <c r="M16" i="3" s="1"/>
  <c r="L16" i="3"/>
  <c r="N16" i="3"/>
  <c r="K17" i="3"/>
  <c r="L17" i="3"/>
  <c r="N17" i="3" s="1"/>
  <c r="M17" i="3"/>
  <c r="K18" i="3"/>
  <c r="L18" i="3"/>
  <c r="M18" i="3"/>
  <c r="N18" i="3"/>
  <c r="K19" i="3"/>
  <c r="M19" i="3" s="1"/>
  <c r="L19" i="3"/>
  <c r="N19" i="3"/>
  <c r="K20" i="3"/>
  <c r="L20" i="3"/>
  <c r="N20" i="3" s="1"/>
  <c r="M20" i="3"/>
  <c r="K21" i="3"/>
  <c r="L21" i="3"/>
  <c r="M21" i="3"/>
  <c r="N21" i="3"/>
  <c r="K22" i="3"/>
  <c r="M22" i="3" s="1"/>
  <c r="L22" i="3"/>
  <c r="N22" i="3"/>
  <c r="K23" i="3"/>
  <c r="L23" i="3"/>
  <c r="N23" i="3" s="1"/>
  <c r="M23" i="3"/>
  <c r="K24" i="3"/>
  <c r="L24" i="3"/>
  <c r="M24" i="3"/>
  <c r="N24" i="3"/>
  <c r="K25" i="3"/>
  <c r="M25" i="3" s="1"/>
  <c r="L25" i="3"/>
  <c r="N25" i="3"/>
  <c r="K26" i="3"/>
  <c r="L26" i="3"/>
  <c r="N26" i="3" s="1"/>
  <c r="M26" i="3"/>
  <c r="K27" i="3"/>
  <c r="L27" i="3"/>
  <c r="M27" i="3"/>
  <c r="N27" i="3"/>
  <c r="K28" i="3"/>
  <c r="M28" i="3" s="1"/>
  <c r="L28" i="3"/>
  <c r="N28" i="3"/>
  <c r="K29" i="3"/>
  <c r="L29" i="3"/>
  <c r="N29" i="3" s="1"/>
  <c r="M29" i="3"/>
  <c r="K30" i="3"/>
  <c r="L30" i="3"/>
  <c r="M30" i="3"/>
  <c r="N30" i="3"/>
  <c r="K31" i="3"/>
  <c r="M31" i="3" s="1"/>
  <c r="L31" i="3"/>
  <c r="N31" i="3"/>
  <c r="K32" i="3"/>
  <c r="L32" i="3"/>
  <c r="N32" i="3" s="1"/>
  <c r="M32" i="3"/>
  <c r="K33" i="3"/>
  <c r="L33" i="3"/>
  <c r="P33" i="3" s="1"/>
  <c r="M33" i="3"/>
  <c r="N33" i="3"/>
  <c r="K34" i="3"/>
  <c r="M34" i="3" s="1"/>
  <c r="L34" i="3"/>
  <c r="N34" i="3"/>
  <c r="K35" i="3"/>
  <c r="L35" i="3"/>
  <c r="N35" i="3" s="1"/>
  <c r="M35" i="3"/>
  <c r="K36" i="3"/>
  <c r="L36" i="3"/>
  <c r="M36" i="3"/>
  <c r="N36" i="3"/>
  <c r="K37" i="3"/>
  <c r="M37" i="3" s="1"/>
  <c r="L37" i="3"/>
  <c r="N37" i="3" s="1"/>
  <c r="K38" i="3"/>
  <c r="L38" i="3"/>
  <c r="N38" i="3" s="1"/>
  <c r="M38" i="3"/>
  <c r="K39" i="3"/>
  <c r="L39" i="3"/>
  <c r="M39" i="3"/>
  <c r="N39" i="3"/>
  <c r="K40" i="3"/>
  <c r="M40" i="3" s="1"/>
  <c r="L40" i="3"/>
  <c r="N40" i="3" s="1"/>
  <c r="N5" i="3"/>
  <c r="M5" i="3"/>
  <c r="L5" i="3"/>
  <c r="K5" i="3"/>
  <c r="I35" i="3"/>
  <c r="J35" i="3"/>
  <c r="I36" i="3"/>
  <c r="J36" i="3"/>
  <c r="I37" i="3"/>
  <c r="J37" i="3"/>
  <c r="P37" i="3" s="1"/>
  <c r="I38" i="3"/>
  <c r="J38" i="3"/>
  <c r="I39" i="3"/>
  <c r="O39" i="3" s="1"/>
  <c r="J39" i="3"/>
  <c r="I40" i="3"/>
  <c r="J40" i="3"/>
  <c r="I13" i="3"/>
  <c r="J13" i="3"/>
  <c r="I14" i="3"/>
  <c r="J14" i="3"/>
  <c r="I15" i="3"/>
  <c r="J15" i="3"/>
  <c r="I16" i="3"/>
  <c r="J16" i="3"/>
  <c r="I17" i="3"/>
  <c r="J17" i="3"/>
  <c r="I18" i="3"/>
  <c r="O18" i="3" s="1"/>
  <c r="J18" i="3"/>
  <c r="I19" i="3"/>
  <c r="O19" i="3" s="1"/>
  <c r="J19" i="3"/>
  <c r="I20" i="3"/>
  <c r="O20" i="3" s="1"/>
  <c r="J20" i="3"/>
  <c r="I21" i="3"/>
  <c r="J21" i="3"/>
  <c r="I22" i="3"/>
  <c r="J22" i="3"/>
  <c r="I23" i="3"/>
  <c r="J23" i="3"/>
  <c r="I24" i="3"/>
  <c r="J24" i="3"/>
  <c r="I25" i="3"/>
  <c r="J25" i="3"/>
  <c r="I26" i="3"/>
  <c r="J26" i="3"/>
  <c r="I27" i="3"/>
  <c r="J27" i="3"/>
  <c r="I28" i="3"/>
  <c r="J28" i="3"/>
  <c r="I29" i="3"/>
  <c r="O29" i="3" s="1"/>
  <c r="J29" i="3"/>
  <c r="I30" i="3"/>
  <c r="O30" i="3" s="1"/>
  <c r="J30" i="3"/>
  <c r="I31" i="3"/>
  <c r="J31" i="3"/>
  <c r="P31" i="3" s="1"/>
  <c r="I32" i="3"/>
  <c r="J32" i="3"/>
  <c r="P32" i="3" s="1"/>
  <c r="I33" i="3"/>
  <c r="J33" i="3"/>
  <c r="I34" i="3"/>
  <c r="J34" i="3"/>
  <c r="J12" i="3"/>
  <c r="I12" i="3"/>
  <c r="J11" i="3"/>
  <c r="I11" i="3"/>
  <c r="J10" i="3"/>
  <c r="I10" i="3"/>
  <c r="J9" i="3"/>
  <c r="I9" i="3"/>
  <c r="J8" i="3"/>
  <c r="I8" i="3"/>
  <c r="J7" i="3"/>
  <c r="I7" i="3"/>
  <c r="J6" i="3"/>
  <c r="I6" i="3"/>
  <c r="J5" i="3"/>
  <c r="I5" i="3"/>
  <c r="C12" i="1"/>
  <c r="C11" i="1"/>
  <c r="C10" i="4"/>
  <c r="C9" i="4"/>
  <c r="C9" i="1"/>
  <c r="C8" i="1"/>
  <c r="G16" i="1" s="1"/>
  <c r="C7" i="1"/>
  <c r="C6" i="1"/>
  <c r="B7" i="3"/>
  <c r="B9" i="3" s="1"/>
  <c r="B15" i="3" s="1"/>
  <c r="B21" i="3" s="1"/>
  <c r="B6" i="3"/>
  <c r="B8" i="3" s="1"/>
  <c r="B14" i="3" s="1"/>
  <c r="B20" i="3" s="1"/>
  <c r="G8" i="1"/>
  <c r="L7" i="1"/>
  <c r="L6" i="1"/>
  <c r="M20" i="2"/>
  <c r="M19" i="2"/>
  <c r="L19" i="2"/>
  <c r="M18" i="2"/>
  <c r="L18" i="2"/>
  <c r="D4" i="2"/>
  <c r="H6" i="2"/>
  <c r="G9" i="2"/>
  <c r="D15" i="2"/>
  <c r="G8" i="2"/>
  <c r="G7" i="2"/>
  <c r="G6" i="2"/>
  <c r="D3" i="2"/>
  <c r="D43" i="2" l="1"/>
  <c r="R15" i="3"/>
  <c r="R27" i="3"/>
  <c r="R14" i="3"/>
  <c r="R30" i="3"/>
  <c r="R19" i="3"/>
  <c r="R18" i="3"/>
  <c r="R36" i="3"/>
  <c r="Q35" i="3"/>
  <c r="O36" i="3"/>
  <c r="Q36" i="3"/>
  <c r="R40" i="3"/>
  <c r="P40" i="3"/>
  <c r="Q40" i="3"/>
  <c r="O40" i="3"/>
  <c r="Q17" i="3"/>
  <c r="Q25" i="3"/>
  <c r="Q39" i="3"/>
  <c r="Q14" i="3"/>
  <c r="R35" i="3"/>
  <c r="Q34" i="3"/>
  <c r="Q13" i="3"/>
  <c r="R37" i="3"/>
  <c r="Q26" i="3"/>
  <c r="Q37" i="3"/>
  <c r="O37" i="3"/>
  <c r="P39" i="3"/>
  <c r="R39" i="3"/>
  <c r="O38" i="3"/>
  <c r="Q38" i="3"/>
  <c r="P38" i="3"/>
  <c r="R38" i="3"/>
  <c r="P35" i="3"/>
  <c r="P36" i="3"/>
  <c r="O35" i="3"/>
  <c r="R33" i="3"/>
  <c r="R32" i="3"/>
  <c r="O31" i="3"/>
  <c r="Q31" i="3"/>
  <c r="R26" i="3"/>
  <c r="R23" i="3"/>
  <c r="P23" i="3"/>
  <c r="P20" i="3"/>
  <c r="R20" i="3"/>
  <c r="P21" i="3"/>
  <c r="R21" i="3"/>
  <c r="O32" i="3"/>
  <c r="Q32" i="3"/>
  <c r="Q22" i="3"/>
  <c r="O22" i="3"/>
  <c r="O34" i="3"/>
  <c r="Q19" i="3"/>
  <c r="Q20" i="3"/>
  <c r="P17" i="3"/>
  <c r="R17" i="3"/>
  <c r="R13" i="3"/>
  <c r="P13" i="3"/>
  <c r="R29" i="3"/>
  <c r="P29" i="3"/>
  <c r="P25" i="3"/>
  <c r="R25" i="3"/>
  <c r="P22" i="3"/>
  <c r="R22" i="3"/>
  <c r="P16" i="3"/>
  <c r="R16" i="3"/>
  <c r="Q16" i="3"/>
  <c r="O16" i="3"/>
  <c r="P28" i="3"/>
  <c r="R28" i="3"/>
  <c r="Q24" i="3"/>
  <c r="O24" i="3"/>
  <c r="Q21" i="3"/>
  <c r="O21" i="3"/>
  <c r="O27" i="3"/>
  <c r="Q27" i="3"/>
  <c r="Q33" i="3"/>
  <c r="O33" i="3"/>
  <c r="R34" i="3"/>
  <c r="P34" i="3"/>
  <c r="P24" i="3"/>
  <c r="R24" i="3"/>
  <c r="Q28" i="3"/>
  <c r="O28" i="3"/>
  <c r="O15" i="3"/>
  <c r="Q15" i="3"/>
  <c r="O23" i="3"/>
  <c r="Q23" i="3"/>
  <c r="P30" i="3"/>
  <c r="P18" i="3"/>
  <c r="O17" i="3"/>
  <c r="P19" i="3"/>
  <c r="Q29" i="3"/>
  <c r="R31" i="3"/>
  <c r="Q30" i="3"/>
  <c r="Q18" i="3"/>
  <c r="O25" i="3"/>
  <c r="P14" i="3"/>
  <c r="O13" i="3"/>
  <c r="P27" i="3"/>
  <c r="O26" i="3"/>
  <c r="P15" i="3"/>
  <c r="O14" i="3"/>
  <c r="Q6" i="3"/>
  <c r="R7" i="3"/>
  <c r="R8" i="3"/>
  <c r="Q7" i="3"/>
  <c r="O9" i="3"/>
  <c r="Q9" i="3"/>
  <c r="R5" i="3"/>
  <c r="P5" i="3"/>
  <c r="O10" i="3"/>
  <c r="Q10" i="3"/>
  <c r="O8" i="3"/>
  <c r="Q8" i="3"/>
  <c r="O5" i="3"/>
  <c r="Q5" i="3"/>
  <c r="P9" i="3"/>
  <c r="R9" i="3"/>
  <c r="P6" i="3"/>
  <c r="R6" i="3"/>
  <c r="P10" i="3"/>
  <c r="R10" i="3"/>
  <c r="Q11" i="3"/>
  <c r="O11" i="3"/>
  <c r="P11" i="3"/>
  <c r="R11" i="3"/>
  <c r="O12" i="3"/>
  <c r="Q12" i="3"/>
  <c r="R12" i="3"/>
  <c r="P12" i="3"/>
  <c r="O7" i="3"/>
  <c r="P8" i="3"/>
  <c r="O6" i="3"/>
  <c r="P7" i="3"/>
  <c r="B17" i="3"/>
  <c r="G25" i="1"/>
  <c r="G31" i="1" s="1"/>
  <c r="G11" i="1"/>
  <c r="G13" i="1" s="1"/>
  <c r="L8" i="1"/>
  <c r="L10" i="1" s="1"/>
  <c r="H7" i="2"/>
  <c r="D22" i="2"/>
  <c r="D17" i="2"/>
  <c r="D10" i="2"/>
  <c r="C17" i="1"/>
  <c r="S40" i="3" l="1"/>
  <c r="P26" i="3"/>
  <c r="S26" i="3" s="1"/>
  <c r="S14" i="3"/>
  <c r="S13" i="3"/>
  <c r="S39" i="3"/>
  <c r="S32" i="3"/>
  <c r="S36" i="3"/>
  <c r="S38" i="3"/>
  <c r="S37" i="3"/>
  <c r="S35" i="3"/>
  <c r="S31" i="3"/>
  <c r="S19" i="3"/>
  <c r="S34" i="3"/>
  <c r="S27" i="3"/>
  <c r="S15" i="3"/>
  <c r="S29" i="3"/>
  <c r="S20" i="3"/>
  <c r="S18" i="3"/>
  <c r="S30" i="3"/>
  <c r="S22" i="3"/>
  <c r="S21" i="3"/>
  <c r="S33" i="3"/>
  <c r="S16" i="3"/>
  <c r="S28" i="3"/>
  <c r="S23" i="3"/>
  <c r="S17" i="3"/>
  <c r="S25" i="3"/>
  <c r="S24" i="3"/>
  <c r="S6" i="3"/>
  <c r="S12" i="3"/>
  <c r="S5" i="3"/>
  <c r="S8" i="3"/>
  <c r="S11" i="3"/>
  <c r="S10" i="3"/>
  <c r="S7" i="3"/>
  <c r="S9" i="3"/>
  <c r="I11" i="1"/>
  <c r="C18" i="1"/>
  <c r="G17" i="1"/>
  <c r="G12" i="1"/>
  <c r="I12" i="1" s="1"/>
  <c r="D23" i="2"/>
  <c r="H8" i="2"/>
  <c r="D12" i="2"/>
  <c r="D13" i="2" s="1"/>
  <c r="L6" i="2" s="1"/>
  <c r="M6" i="2" s="1"/>
  <c r="D11" i="2"/>
  <c r="K6" i="2" s="1"/>
  <c r="D19" i="2"/>
  <c r="D20" i="2" s="1"/>
  <c r="L7" i="2" s="1"/>
  <c r="D18" i="2"/>
  <c r="K7" i="2" s="1"/>
  <c r="I13" i="1"/>
  <c r="G14" i="1" l="1"/>
  <c r="I14" i="1" s="1"/>
  <c r="G19" i="1" s="1"/>
  <c r="G26" i="1"/>
  <c r="G32" i="1" s="1"/>
  <c r="D24" i="2"/>
  <c r="D25" i="2" s="1"/>
  <c r="K8" i="2" s="1"/>
  <c r="D29" i="2"/>
  <c r="D30" i="2"/>
  <c r="D31" i="2" s="1"/>
  <c r="H9" i="2"/>
  <c r="M7" i="2"/>
  <c r="G28" i="1" l="1"/>
  <c r="D26" i="2"/>
  <c r="D27" i="2" s="1"/>
  <c r="L8" i="2" s="1"/>
  <c r="M8" i="2" s="1"/>
  <c r="D32" i="2"/>
  <c r="K9" i="2" s="1"/>
  <c r="D33" i="2"/>
  <c r="D34" i="2" s="1"/>
  <c r="L9" i="2" s="1"/>
  <c r="M9" i="2" l="1"/>
</calcChain>
</file>

<file path=xl/sharedStrings.xml><?xml version="1.0" encoding="utf-8"?>
<sst xmlns="http://schemas.openxmlformats.org/spreadsheetml/2006/main" count="325" uniqueCount="125">
  <si>
    <t>xmin</t>
  </si>
  <si>
    <t>xmax</t>
  </si>
  <si>
    <t>ymin</t>
  </si>
  <si>
    <t>ymax</t>
  </si>
  <si>
    <t>ypx</t>
  </si>
  <si>
    <t>xpx</t>
  </si>
  <si>
    <t>x_h</t>
  </si>
  <si>
    <t>y_h</t>
  </si>
  <si>
    <t>m</t>
  </si>
  <si>
    <t>#</t>
  </si>
  <si>
    <t>m/#</t>
  </si>
  <si>
    <t>Export settings:</t>
  </si>
  <si>
    <t>x offset</t>
  </si>
  <si>
    <t>%</t>
  </si>
  <si>
    <t>y offset</t>
  </si>
  <si>
    <t>width</t>
  </si>
  <si>
    <t>height</t>
  </si>
  <si>
    <t>text</t>
  </si>
  <si>
    <t>xpx size</t>
  </si>
  <si>
    <t>ypx size</t>
  </si>
  <si>
    <t>resu. xpx size</t>
  </si>
  <si>
    <t>resu. ypx size</t>
  </si>
  <si>
    <t>Image data:</t>
  </si>
  <si>
    <t>function:</t>
  </si>
  <si>
    <t>Bounding Box text</t>
  </si>
  <si>
    <t>Limit is around 3000#</t>
  </si>
  <si>
    <t>Limit is around 4000#</t>
  </si>
  <si>
    <t>Map resolution</t>
  </si>
  <si>
    <t>Angle resolution on result</t>
  </si>
  <si>
    <t>°</t>
  </si>
  <si>
    <t>radians</t>
  </si>
  <si>
    <t>tan(v) = d / L</t>
  </si>
  <si>
    <t>L = d / tan(v)</t>
  </si>
  <si>
    <t>Layer 1</t>
  </si>
  <si>
    <t>N. of points</t>
  </si>
  <si>
    <t>Safety factor</t>
  </si>
  <si>
    <t>-</t>
  </si>
  <si>
    <r>
      <t>#</t>
    </r>
    <r>
      <rPr>
        <sz val="11"/>
        <color theme="1"/>
        <rFont val="Calibri"/>
        <family val="2"/>
      </rPr>
      <t>²</t>
    </r>
  </si>
  <si>
    <t>Layer 2</t>
  </si>
  <si>
    <t>Error radius</t>
  </si>
  <si>
    <t>Method</t>
  </si>
  <si>
    <t>Interpolation</t>
  </si>
  <si>
    <t>Dataset</t>
  </si>
  <si>
    <t>Layer 3</t>
  </si>
  <si>
    <t>Layer 4</t>
  </si>
  <si>
    <t>Raw</t>
  </si>
  <si>
    <t>Radius</t>
  </si>
  <si>
    <t>N. pixels</t>
  </si>
  <si>
    <t>Next map resolution</t>
  </si>
  <si>
    <t>Used radius</t>
  </si>
  <si>
    <t>SUM</t>
  </si>
  <si>
    <t>Scale factor</t>
  </si>
  <si>
    <t>To fill image</t>
  </si>
  <si>
    <t>N. w</t>
  </si>
  <si>
    <t>N. h</t>
  </si>
  <si>
    <t>N. A</t>
  </si>
  <si>
    <t>File size</t>
  </si>
  <si>
    <t>MB</t>
  </si>
  <si>
    <t>GB</t>
  </si>
  <si>
    <t>Total size</t>
  </si>
  <si>
    <t>Planurin er nú:</t>
  </si>
  <si>
    <t>350'ish</t>
  </si>
  <si>
    <t>Loada</t>
  </si>
  <si>
    <t>Alt</t>
  </si>
  <si>
    <t>10x10%</t>
  </si>
  <si>
    <t>1600'ish</t>
  </si>
  <si>
    <t>Restina</t>
  </si>
  <si>
    <t>This collection:</t>
  </si>
  <si>
    <t>N. of width</t>
  </si>
  <si>
    <t>N. of height</t>
  </si>
  <si>
    <t>x</t>
  </si>
  <si>
    <t>y</t>
  </si>
  <si>
    <t>N.</t>
  </si>
  <si>
    <t>str</t>
  </si>
  <si>
    <t>function</t>
  </si>
  <si>
    <t>161178.159694961,807963.459969979,174256.561732661,827176.791198085</t>
  </si>
  <si>
    <t>174256.561732661,807963.459969979,187334.963770361,827176.791198085</t>
  </si>
  <si>
    <t>187334.963770361,807963.459969979,200413.365808061,827176.791198085</t>
  </si>
  <si>
    <t>200413.365808061,807963.459969979,213491.767845762,827176.791198085</t>
  </si>
  <si>
    <t>213491.767845762,807963.459969979,226570.169883462,827176.791198085</t>
  </si>
  <si>
    <t>226570.169883462,807963.459969979,239648.571921162,827176.791198085</t>
  </si>
  <si>
    <t>161178.159694961,827176.791198085,174256.561732661,846390.122426192</t>
  </si>
  <si>
    <t>174256.561732661,827176.791198085,187334.963770361,846390.122426192</t>
  </si>
  <si>
    <t>actual xpx size</t>
  </si>
  <si>
    <t>actual ypx size</t>
  </si>
  <si>
    <t>N</t>
  </si>
  <si>
    <t>187334.963770361,827176.791198085,200413.365808061,846390.122426192</t>
  </si>
  <si>
    <t>200413.365808061,827176.791198085,213491.767845762,846390.122426192</t>
  </si>
  <si>
    <t>213491.767845762,827176.791198085,226570.169883462,846390.122426192</t>
  </si>
  <si>
    <t>226570.169883462,827176.791198085,239648.571921162,846390.122426192</t>
  </si>
  <si>
    <t>161178.159694961,846390.122426192,174256.561732661,865603.453654298</t>
  </si>
  <si>
    <t>174256.561732661,846390.122426192,187334.963770361,865603.453654298</t>
  </si>
  <si>
    <t>187334.963770361,846390.122426192,200413.365808061,865603.453654298</t>
  </si>
  <si>
    <t>200413.365808061,846390.122426192,213491.767845762,865603.453654298</t>
  </si>
  <si>
    <t>213491.767845762,846390.122426192,226570.169883462,865603.453654298</t>
  </si>
  <si>
    <t>226570.169883462,846390.122426192,239648.571921162,865603.453654298</t>
  </si>
  <si>
    <t>161178.159694961,865603.453654298,174256.561732661,884816.784882404</t>
  </si>
  <si>
    <t>174256.561732661,865603.453654298,187334.963770361,884816.784882404</t>
  </si>
  <si>
    <t>187334.963770361,865603.453654298,200413.365808061,884816.784882404</t>
  </si>
  <si>
    <t>200413.365808061,865603.453654298,213491.767845762,884816.784882404</t>
  </si>
  <si>
    <t>213491.767845762,865603.453654298,226570.169883462,884816.784882404</t>
  </si>
  <si>
    <t>226570.169883462,865603.453654298,239648.571921162,884816.784882404</t>
  </si>
  <si>
    <t>161178.159694961,884816.784882404,174256.561732661,904030.116110511</t>
  </si>
  <si>
    <t>174256.561732661,884816.784882404,187334.963770361,904030.116110511</t>
  </si>
  <si>
    <t>187334.963770361,884816.784882404,200413.365808061,904030.116110511</t>
  </si>
  <si>
    <t>200413.365808061,884816.784882404,213491.767845762,904030.116110511</t>
  </si>
  <si>
    <t>213491.767845762,884816.784882404,226570.169883462,904030.116110511</t>
  </si>
  <si>
    <t>226570.169883462,884816.784882404,239648.571921162,904030.116110511</t>
  </si>
  <si>
    <t>161178.159694961,904030.116110511,174256.561732661,923243.447338617</t>
  </si>
  <si>
    <t>174256.561732661,904030.116110511,187334.963770361,923243.447338617</t>
  </si>
  <si>
    <t>187334.963770361,904030.116110511,200413.365808061,923243.447338617</t>
  </si>
  <si>
    <t>200413.365808061,904030.116110511,213491.767845762,923243.447338617</t>
  </si>
  <si>
    <t>213491.767845762,904030.116110511,226570.169883462,923243.447338617</t>
  </si>
  <si>
    <t>226570.169883462,904030.116110511,239648.571921162,923243.447338617</t>
  </si>
  <si>
    <t>2616,3843</t>
  </si>
  <si>
    <t>Check</t>
  </si>
  <si>
    <t>X / -</t>
  </si>
  <si>
    <t>X</t>
  </si>
  <si>
    <t>3138,2305</t>
  </si>
  <si>
    <t>161178.159694961,865603.453654298,239648.571921162,923243.447338617</t>
  </si>
  <si>
    <t>Factor</t>
  </si>
  <si>
    <t>rad</t>
  </si>
  <si>
    <t>d/L</t>
  </si>
  <si>
    <t>d_abs</t>
  </si>
  <si>
    <t>atan(mr/d_abs)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</si>
</sst>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0.000"/>
    <numFmt numFmtId="165" formatCode="0.000000"/>
    <numFmt numFmtId="166" formatCode="0.00000"/>
    <numFmt numFmtId="167" formatCode="0.0000000"/>
    <numFmt numFmtId="168" formatCode="0.0"/>
    <numFmt numFmtId="169" formatCode="0&quot;M&quot;"/>
    <numFmt numFmtId="170" formatCode="#,##0\ &quot;m&quot;"/>
    <numFmt numFmtId="171" formatCode="0.0000"/>
  </numFmts>
  <fonts count="6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1"/>
      <name val="Calibri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0" fontId="3" fillId="0" borderId="0" applyNumberFormat="0" applyFill="0" applyBorder="0" applyAlignment="0" applyProtection="0"/>
  </cellStyleXfs>
  <cellXfs count="24">
    <xf numFmtId="0" fontId="0" fillId="0" borderId="0" xfId="0"/>
    <xf numFmtId="3" fontId="0" fillId="0" borderId="0" xfId="0" applyNumberFormat="1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0" fontId="1" fillId="2" borderId="1" xfId="1" applyNumberFormat="1"/>
    <xf numFmtId="0" fontId="1" fillId="2" borderId="1" xfId="1"/>
    <xf numFmtId="0" fontId="2" fillId="3" borderId="1" xfId="2"/>
    <xf numFmtId="0" fontId="3" fillId="0" borderId="0" xfId="3"/>
    <xf numFmtId="0" fontId="4" fillId="0" borderId="0" xfId="0" applyFont="1"/>
    <xf numFmtId="0" fontId="0" fillId="0" borderId="0" xfId="0" quotePrefix="1"/>
    <xf numFmtId="166" fontId="0" fillId="0" borderId="0" xfId="0" applyNumberFormat="1"/>
    <xf numFmtId="168" fontId="0" fillId="0" borderId="0" xfId="0" applyNumberFormat="1"/>
    <xf numFmtId="0" fontId="0" fillId="0" borderId="2" xfId="0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167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3" fontId="2" fillId="3" borderId="1" xfId="2" applyNumberFormat="1"/>
    <xf numFmtId="2" fontId="0" fillId="0" borderId="0" xfId="0" applyNumberFormat="1" applyAlignment="1">
      <alignment horizontal="center"/>
    </xf>
    <xf numFmtId="168" fontId="2" fillId="3" borderId="1" xfId="2" applyNumberFormat="1"/>
    <xf numFmtId="1" fontId="0" fillId="0" borderId="0" xfId="0" applyNumberFormat="1" applyAlignment="1">
      <alignment horizontal="center"/>
    </xf>
    <xf numFmtId="171" fontId="2" fillId="3" borderId="1" xfId="2" applyNumberFormat="1"/>
  </cellXfs>
  <cellStyles count="4">
    <cellStyle name="Calculation" xfId="2" builtinId="22"/>
    <cellStyle name="Explanatory Text" xfId="3" builtinId="53"/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9058F0-5F03-490F-A0FA-632FCACC562C}">
  <dimension ref="B2:D10"/>
  <sheetViews>
    <sheetView workbookViewId="0">
      <selection activeCell="C10" sqref="C10"/>
    </sheetView>
  </sheetViews>
  <sheetFormatPr defaultRowHeight="15" x14ac:dyDescent="0.25"/>
  <sheetData>
    <row r="2" spans="2:4" x14ac:dyDescent="0.25">
      <c r="B2" t="s">
        <v>22</v>
      </c>
    </row>
    <row r="4" spans="2:4" x14ac:dyDescent="0.25">
      <c r="B4" t="s">
        <v>0</v>
      </c>
      <c r="C4" s="1">
        <v>161178.15969496101</v>
      </c>
      <c r="D4" t="s">
        <v>8</v>
      </c>
    </row>
    <row r="5" spans="2:4" x14ac:dyDescent="0.25">
      <c r="B5" t="s">
        <v>2</v>
      </c>
      <c r="C5" s="1">
        <v>807963.45996997901</v>
      </c>
      <c r="D5" t="s">
        <v>8</v>
      </c>
    </row>
    <row r="6" spans="2:4" x14ac:dyDescent="0.25">
      <c r="B6" t="s">
        <v>1</v>
      </c>
      <c r="C6" s="1">
        <v>239648.57192116199</v>
      </c>
      <c r="D6" t="s">
        <v>8</v>
      </c>
    </row>
    <row r="7" spans="2:4" x14ac:dyDescent="0.25">
      <c r="B7" t="s">
        <v>3</v>
      </c>
      <c r="C7" s="1">
        <v>923243.44733861706</v>
      </c>
      <c r="D7" t="s">
        <v>8</v>
      </c>
    </row>
    <row r="9" spans="2:4" x14ac:dyDescent="0.25">
      <c r="B9" t="s">
        <v>6</v>
      </c>
      <c r="C9" s="1">
        <f>C6-C4</f>
        <v>78470.412226200977</v>
      </c>
      <c r="D9" t="s">
        <v>8</v>
      </c>
    </row>
    <row r="10" spans="2:4" x14ac:dyDescent="0.25">
      <c r="B10" t="s">
        <v>7</v>
      </c>
      <c r="C10" s="1">
        <f>C7-C5</f>
        <v>115279.98736863805</v>
      </c>
      <c r="D10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AA0AA-7517-4F94-A540-6C818467F456}">
  <dimension ref="B4:M32"/>
  <sheetViews>
    <sheetView workbookViewId="0">
      <selection activeCell="G19" sqref="G19"/>
    </sheetView>
  </sheetViews>
  <sheetFormatPr defaultRowHeight="15" x14ac:dyDescent="0.25"/>
  <cols>
    <col min="3" max="3" width="9.5703125" bestFit="1" customWidth="1"/>
    <col min="4" max="4" width="4.5703125" bestFit="1" customWidth="1"/>
    <col min="5" max="5" width="10" bestFit="1" customWidth="1"/>
    <col min="6" max="6" width="17.42578125" bestFit="1" customWidth="1"/>
    <col min="7" max="7" width="8.5703125" customWidth="1"/>
    <col min="8" max="8" width="4.5703125" bestFit="1" customWidth="1"/>
    <col min="10" max="10" width="11.85546875" bestFit="1" customWidth="1"/>
  </cols>
  <sheetData>
    <row r="4" spans="2:13" x14ac:dyDescent="0.25">
      <c r="B4" t="s">
        <v>22</v>
      </c>
      <c r="E4" s="3"/>
      <c r="F4" t="s">
        <v>11</v>
      </c>
    </row>
    <row r="5" spans="2:13" x14ac:dyDescent="0.25">
      <c r="E5" s="3"/>
      <c r="K5" t="s">
        <v>52</v>
      </c>
    </row>
    <row r="6" spans="2:13" x14ac:dyDescent="0.25">
      <c r="B6" t="s">
        <v>0</v>
      </c>
      <c r="C6" s="1">
        <f>xmin</f>
        <v>161178.15969496101</v>
      </c>
      <c r="D6" t="s">
        <v>8</v>
      </c>
      <c r="F6" t="s">
        <v>15</v>
      </c>
      <c r="G6" s="6">
        <v>100</v>
      </c>
      <c r="H6" t="s">
        <v>13</v>
      </c>
      <c r="K6" t="s">
        <v>53</v>
      </c>
      <c r="L6">
        <f>100/G6</f>
        <v>1</v>
      </c>
      <c r="M6" t="s">
        <v>9</v>
      </c>
    </row>
    <row r="7" spans="2:13" x14ac:dyDescent="0.25">
      <c r="B7" t="s">
        <v>2</v>
      </c>
      <c r="C7" s="1">
        <f>ymin</f>
        <v>807963.45996997901</v>
      </c>
      <c r="D7" t="s">
        <v>8</v>
      </c>
      <c r="E7" s="3"/>
      <c r="F7" t="s">
        <v>16</v>
      </c>
      <c r="G7" s="6">
        <v>50</v>
      </c>
      <c r="H7" t="s">
        <v>13</v>
      </c>
      <c r="K7" t="s">
        <v>54</v>
      </c>
      <c r="L7">
        <f>100/G7</f>
        <v>2</v>
      </c>
      <c r="M7" t="s">
        <v>9</v>
      </c>
    </row>
    <row r="8" spans="2:13" x14ac:dyDescent="0.25">
      <c r="B8" t="s">
        <v>1</v>
      </c>
      <c r="C8" s="1">
        <f>xmax</f>
        <v>239648.57192116199</v>
      </c>
      <c r="D8" t="s">
        <v>8</v>
      </c>
      <c r="F8" t="s">
        <v>12</v>
      </c>
      <c r="G8" s="5">
        <f>0 * 100 / 6</f>
        <v>0</v>
      </c>
      <c r="H8" t="s">
        <v>13</v>
      </c>
      <c r="K8" t="s">
        <v>55</v>
      </c>
      <c r="L8">
        <f>L6*L7</f>
        <v>2</v>
      </c>
      <c r="M8" t="s">
        <v>9</v>
      </c>
    </row>
    <row r="9" spans="2:13" x14ac:dyDescent="0.25">
      <c r="B9" t="s">
        <v>3</v>
      </c>
      <c r="C9" s="1">
        <f>ymax</f>
        <v>923243.44733861706</v>
      </c>
      <c r="D9" t="s">
        <v>8</v>
      </c>
      <c r="F9" t="s">
        <v>14</v>
      </c>
      <c r="G9" s="5">
        <v>50</v>
      </c>
      <c r="H9" t="s">
        <v>13</v>
      </c>
      <c r="K9" t="s">
        <v>56</v>
      </c>
      <c r="L9">
        <v>40</v>
      </c>
      <c r="M9" t="s">
        <v>57</v>
      </c>
    </row>
    <row r="10" spans="2:13" x14ac:dyDescent="0.25">
      <c r="K10" t="s">
        <v>59</v>
      </c>
      <c r="L10" s="3">
        <f>L9*L8/1000</f>
        <v>0.08</v>
      </c>
      <c r="M10" t="s">
        <v>58</v>
      </c>
    </row>
    <row r="11" spans="2:13" x14ac:dyDescent="0.25">
      <c r="B11" t="s">
        <v>6</v>
      </c>
      <c r="C11" s="1">
        <f>h</f>
        <v>78470.412226200977</v>
      </c>
      <c r="D11" t="s">
        <v>8</v>
      </c>
      <c r="F11" t="s">
        <v>0</v>
      </c>
      <c r="G11" s="19">
        <f>C6 + C11 * (G8/100)</f>
        <v>161178.15969496101</v>
      </c>
      <c r="H11" t="s">
        <v>8</v>
      </c>
      <c r="I11" t="str">
        <f>SUBSTITUTE(G11,",",".")</f>
        <v>161178.159694961</v>
      </c>
    </row>
    <row r="12" spans="2:13" x14ac:dyDescent="0.25">
      <c r="B12" t="s">
        <v>7</v>
      </c>
      <c r="C12" s="1">
        <f>w</f>
        <v>115279.98736863805</v>
      </c>
      <c r="D12" t="s">
        <v>8</v>
      </c>
      <c r="F12" t="s">
        <v>2</v>
      </c>
      <c r="G12" s="19">
        <f>C7 + C12 * (G9/100)</f>
        <v>865603.45365429809</v>
      </c>
      <c r="H12" t="s">
        <v>8</v>
      </c>
      <c r="I12" t="str">
        <f>SUBSTITUTE(G12,",",".")</f>
        <v>865603.453654298</v>
      </c>
    </row>
    <row r="13" spans="2:13" x14ac:dyDescent="0.25">
      <c r="F13" t="s">
        <v>1</v>
      </c>
      <c r="G13" s="19">
        <f>G11+G16</f>
        <v>239648.57192116199</v>
      </c>
      <c r="H13" t="s">
        <v>8</v>
      </c>
      <c r="I13" t="str">
        <f>SUBSTITUTE(G13,",",".")</f>
        <v>239648.571921162</v>
      </c>
    </row>
    <row r="14" spans="2:13" x14ac:dyDescent="0.25">
      <c r="B14" t="s">
        <v>18</v>
      </c>
      <c r="C14" s="4">
        <v>25.006504852199001</v>
      </c>
      <c r="D14" t="s">
        <v>10</v>
      </c>
      <c r="F14" t="s">
        <v>3</v>
      </c>
      <c r="G14" s="19">
        <f>G12+G17</f>
        <v>923243.44733861717</v>
      </c>
      <c r="H14" t="s">
        <v>8</v>
      </c>
      <c r="I14" t="str">
        <f>SUBSTITUTE(G14,",",".")</f>
        <v>923243.447338617</v>
      </c>
    </row>
    <row r="15" spans="2:13" x14ac:dyDescent="0.25">
      <c r="B15" t="s">
        <v>19</v>
      </c>
      <c r="C15" s="4">
        <v>25.006504852199001</v>
      </c>
      <c r="D15" t="s">
        <v>10</v>
      </c>
    </row>
    <row r="16" spans="2:13" x14ac:dyDescent="0.25">
      <c r="D16" s="2"/>
      <c r="F16" t="s">
        <v>6</v>
      </c>
      <c r="G16" s="19">
        <f>C11 * (G6/100)</f>
        <v>78470.412226200977</v>
      </c>
      <c r="H16" t="s">
        <v>8</v>
      </c>
    </row>
    <row r="17" spans="2:9" x14ac:dyDescent="0.25">
      <c r="B17" t="s">
        <v>5</v>
      </c>
      <c r="C17" s="1">
        <f>C11/C14</f>
        <v>3138.0000000000205</v>
      </c>
      <c r="D17" t="s">
        <v>9</v>
      </c>
      <c r="F17" t="s">
        <v>7</v>
      </c>
      <c r="G17" s="19">
        <f>C12 * (G7/100)</f>
        <v>57639.993684319023</v>
      </c>
      <c r="H17" t="s">
        <v>8</v>
      </c>
    </row>
    <row r="18" spans="2:9" x14ac:dyDescent="0.25">
      <c r="B18" t="s">
        <v>4</v>
      </c>
      <c r="C18" s="1">
        <f>C12/C15</f>
        <v>4610.0000000000264</v>
      </c>
      <c r="D18" t="s">
        <v>9</v>
      </c>
    </row>
    <row r="19" spans="2:9" x14ac:dyDescent="0.25">
      <c r="F19" t="s">
        <v>23</v>
      </c>
      <c r="G19" t="str">
        <f>$I$11&amp;","&amp;$I$12&amp;","&amp;$I$13&amp;","&amp;$I$14</f>
        <v>161178.159694961,865603.453654298,239648.571921162,923243.447338617</v>
      </c>
    </row>
    <row r="20" spans="2:9" x14ac:dyDescent="0.25">
      <c r="F20" t="s">
        <v>24</v>
      </c>
      <c r="G20" t="s">
        <v>119</v>
      </c>
    </row>
    <row r="22" spans="2:9" x14ac:dyDescent="0.25">
      <c r="C22" s="1"/>
      <c r="F22" t="s">
        <v>18</v>
      </c>
      <c r="G22" s="6">
        <v>25</v>
      </c>
      <c r="H22" t="s">
        <v>10</v>
      </c>
    </row>
    <row r="23" spans="2:9" x14ac:dyDescent="0.25">
      <c r="C23" s="1"/>
      <c r="F23" t="s">
        <v>19</v>
      </c>
      <c r="G23" s="6">
        <v>25</v>
      </c>
      <c r="H23" t="s">
        <v>10</v>
      </c>
    </row>
    <row r="25" spans="2:9" x14ac:dyDescent="0.25">
      <c r="F25" t="s">
        <v>5</v>
      </c>
      <c r="G25" s="7">
        <f>ROUNDDOWN(G16/G22, 0)</f>
        <v>3138</v>
      </c>
      <c r="H25" t="s">
        <v>9</v>
      </c>
      <c r="I25" s="8" t="s">
        <v>25</v>
      </c>
    </row>
    <row r="26" spans="2:9" x14ac:dyDescent="0.25">
      <c r="F26" t="s">
        <v>4</v>
      </c>
      <c r="G26" s="7">
        <f>ROUNDDOWN(G17/G23, 0)</f>
        <v>2305</v>
      </c>
      <c r="H26" t="s">
        <v>9</v>
      </c>
      <c r="I26" s="8" t="s">
        <v>26</v>
      </c>
    </row>
    <row r="28" spans="2:9" x14ac:dyDescent="0.25">
      <c r="C28" s="1"/>
      <c r="F28" t="s">
        <v>23</v>
      </c>
      <c r="G28" t="str">
        <f>G25&amp;","&amp;G26</f>
        <v>3138,2305</v>
      </c>
    </row>
    <row r="29" spans="2:9" x14ac:dyDescent="0.25">
      <c r="C29" s="1"/>
      <c r="F29" t="s">
        <v>17</v>
      </c>
      <c r="G29" t="s">
        <v>118</v>
      </c>
    </row>
    <row r="31" spans="2:9" x14ac:dyDescent="0.25">
      <c r="F31" t="s">
        <v>20</v>
      </c>
      <c r="G31" s="7">
        <f>G16/G25</f>
        <v>25.006504852199164</v>
      </c>
      <c r="H31" t="s">
        <v>10</v>
      </c>
    </row>
    <row r="32" spans="2:9" x14ac:dyDescent="0.25">
      <c r="F32" t="s">
        <v>21</v>
      </c>
      <c r="G32" s="7">
        <f>G17/G26</f>
        <v>25.006504852199143</v>
      </c>
      <c r="H32" t="s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59929-52A7-4261-8494-A1EBDE3B1323}">
  <dimension ref="A2:AC40"/>
  <sheetViews>
    <sheetView zoomScale="90" zoomScaleNormal="90" workbookViewId="0">
      <selection activeCell="T40" sqref="T40"/>
    </sheetView>
  </sheetViews>
  <sheetFormatPr defaultRowHeight="15" x14ac:dyDescent="0.25"/>
  <cols>
    <col min="1" max="1" width="14.5703125" bestFit="1" customWidth="1"/>
    <col min="2" max="2" width="12.140625" bestFit="1" customWidth="1"/>
    <col min="3" max="3" width="4.5703125" bestFit="1" customWidth="1"/>
    <col min="4" max="4" width="20.28515625" bestFit="1" customWidth="1"/>
    <col min="5" max="5" width="7.7109375" customWidth="1"/>
    <col min="6" max="6" width="3.28515625" bestFit="1" customWidth="1"/>
    <col min="7" max="8" width="2.140625" bestFit="1" customWidth="1"/>
    <col min="9" max="14" width="7.7109375" bestFit="1" customWidth="1"/>
    <col min="15" max="18" width="18.42578125" bestFit="1" customWidth="1"/>
    <col min="19" max="20" width="73.140625" bestFit="1" customWidth="1"/>
    <col min="21" max="24" width="8.28515625" customWidth="1"/>
  </cols>
  <sheetData>
    <row r="2" spans="1:29" x14ac:dyDescent="0.25">
      <c r="B2" s="1"/>
    </row>
    <row r="3" spans="1:29" x14ac:dyDescent="0.25">
      <c r="A3" t="s">
        <v>67</v>
      </c>
      <c r="F3" s="14" t="s">
        <v>85</v>
      </c>
      <c r="G3" s="14" t="s">
        <v>70</v>
      </c>
      <c r="H3" s="14" t="s">
        <v>71</v>
      </c>
      <c r="I3" s="14" t="s">
        <v>12</v>
      </c>
      <c r="J3" s="14" t="s">
        <v>14</v>
      </c>
      <c r="K3" s="14" t="s">
        <v>0</v>
      </c>
      <c r="L3" s="14" t="s">
        <v>2</v>
      </c>
      <c r="M3" s="14" t="s">
        <v>1</v>
      </c>
      <c r="N3" s="14" t="s">
        <v>3</v>
      </c>
      <c r="O3" s="14" t="s">
        <v>0</v>
      </c>
      <c r="P3" s="14" t="s">
        <v>2</v>
      </c>
      <c r="Q3" s="14" t="s">
        <v>1</v>
      </c>
      <c r="R3" s="14" t="s">
        <v>3</v>
      </c>
      <c r="S3" s="14" t="s">
        <v>74</v>
      </c>
      <c r="T3" s="14" t="s">
        <v>17</v>
      </c>
      <c r="U3" s="14" t="s">
        <v>115</v>
      </c>
    </row>
    <row r="4" spans="1:29" x14ac:dyDescent="0.25">
      <c r="A4" t="s">
        <v>68</v>
      </c>
      <c r="B4" s="6">
        <v>6</v>
      </c>
      <c r="C4" t="s">
        <v>72</v>
      </c>
      <c r="F4" s="14" t="s">
        <v>9</v>
      </c>
      <c r="G4" s="14" t="s">
        <v>9</v>
      </c>
      <c r="H4" s="14" t="s">
        <v>9</v>
      </c>
      <c r="I4" s="14" t="s">
        <v>13</v>
      </c>
      <c r="J4" s="14" t="s">
        <v>13</v>
      </c>
      <c r="K4" s="14" t="s">
        <v>8</v>
      </c>
      <c r="L4" s="14" t="s">
        <v>8</v>
      </c>
      <c r="M4" s="14" t="s">
        <v>8</v>
      </c>
      <c r="N4" s="14" t="s">
        <v>8</v>
      </c>
      <c r="O4" s="14" t="s">
        <v>73</v>
      </c>
      <c r="P4" s="14" t="s">
        <v>73</v>
      </c>
      <c r="Q4" s="14" t="s">
        <v>73</v>
      </c>
      <c r="R4" s="14" t="s">
        <v>73</v>
      </c>
      <c r="S4" s="14" t="s">
        <v>73</v>
      </c>
      <c r="T4" s="14" t="s">
        <v>73</v>
      </c>
      <c r="U4" s="14" t="s">
        <v>116</v>
      </c>
    </row>
    <row r="5" spans="1:29" x14ac:dyDescent="0.25">
      <c r="A5" t="s">
        <v>69</v>
      </c>
      <c r="B5" s="6">
        <v>6</v>
      </c>
      <c r="C5" t="s">
        <v>72</v>
      </c>
      <c r="D5" s="3"/>
      <c r="E5" s="3"/>
      <c r="F5" s="14">
        <v>1</v>
      </c>
      <c r="G5" s="14">
        <v>1</v>
      </c>
      <c r="H5" s="14">
        <v>1</v>
      </c>
      <c r="I5" s="20">
        <f t="shared" ref="I5:I40" si="0">(G5 - 1) / $B$4 * 100</f>
        <v>0</v>
      </c>
      <c r="J5" s="20">
        <f t="shared" ref="J5:J40" si="1">(H5 - 1) / $B$5 * 100</f>
        <v>0</v>
      </c>
      <c r="K5" s="22">
        <f t="shared" ref="K5:K40" si="2">xmin + h * (I5/100)</f>
        <v>161178.15969496101</v>
      </c>
      <c r="L5" s="22">
        <f t="shared" ref="L5:L40" si="3">ymin + w * (J5/100)</f>
        <v>807963.45996997901</v>
      </c>
      <c r="M5" s="22">
        <f>K5+$B$8</f>
        <v>174256.56173266118</v>
      </c>
      <c r="N5" s="22">
        <f>L5+$B$9</f>
        <v>827176.79119808541</v>
      </c>
      <c r="O5" s="14" t="str">
        <f t="shared" ref="O5:R12" si="4">SUBSTITUTE(K5,",",".")</f>
        <v>161178.159694961</v>
      </c>
      <c r="P5" s="14" t="str">
        <f t="shared" si="4"/>
        <v>807963.459969979</v>
      </c>
      <c r="Q5" s="14" t="str">
        <f t="shared" si="4"/>
        <v>174256.561732661</v>
      </c>
      <c r="R5" s="14" t="str">
        <f t="shared" si="4"/>
        <v>827176.791198085</v>
      </c>
      <c r="S5" s="14" t="str">
        <f t="shared" ref="S5:S12" si="5">O5&amp;","&amp;P5&amp;","&amp;Q5&amp;","&amp;R5</f>
        <v>161178.159694961,807963.459969979,174256.561732661,827176.791198085</v>
      </c>
      <c r="T5" s="14" t="s">
        <v>75</v>
      </c>
      <c r="U5" s="14" t="s">
        <v>117</v>
      </c>
      <c r="V5" s="14"/>
      <c r="W5" s="14"/>
      <c r="X5" s="14"/>
      <c r="Y5" s="14"/>
      <c r="Z5" s="14"/>
      <c r="AA5" s="14"/>
      <c r="AB5" s="14"/>
      <c r="AC5" s="14"/>
    </row>
    <row r="6" spans="1:29" x14ac:dyDescent="0.25">
      <c r="A6" t="s">
        <v>15</v>
      </c>
      <c r="B6" s="21">
        <f>100/$B$4</f>
        <v>16.666666666666668</v>
      </c>
      <c r="C6" t="s">
        <v>13</v>
      </c>
      <c r="D6" s="3"/>
      <c r="E6" s="3"/>
      <c r="F6" s="14">
        <v>2</v>
      </c>
      <c r="G6" s="14">
        <v>2</v>
      </c>
      <c r="H6" s="14">
        <v>1</v>
      </c>
      <c r="I6" s="20">
        <f t="shared" si="0"/>
        <v>16.666666666666664</v>
      </c>
      <c r="J6" s="20">
        <f t="shared" si="1"/>
        <v>0</v>
      </c>
      <c r="K6" s="22">
        <f t="shared" si="2"/>
        <v>174256.56173266118</v>
      </c>
      <c r="L6" s="22">
        <f t="shared" si="3"/>
        <v>807963.45996997901</v>
      </c>
      <c r="M6" s="22">
        <f t="shared" ref="M6:M40" si="6">K6+$B$8</f>
        <v>187334.96377036136</v>
      </c>
      <c r="N6" s="22">
        <f t="shared" ref="N6:N40" si="7">L6+$B$9</f>
        <v>827176.79119808541</v>
      </c>
      <c r="O6" s="14" t="str">
        <f t="shared" si="4"/>
        <v>174256.561732661</v>
      </c>
      <c r="P6" s="14" t="str">
        <f t="shared" si="4"/>
        <v>807963.459969979</v>
      </c>
      <c r="Q6" s="14" t="str">
        <f t="shared" si="4"/>
        <v>187334.963770361</v>
      </c>
      <c r="R6" s="14" t="str">
        <f t="shared" si="4"/>
        <v>827176.791198085</v>
      </c>
      <c r="S6" s="14" t="str">
        <f t="shared" si="5"/>
        <v>174256.561732661,807963.459969979,187334.963770361,827176.791198085</v>
      </c>
      <c r="T6" s="14" t="s">
        <v>76</v>
      </c>
      <c r="U6" s="14" t="s">
        <v>117</v>
      </c>
    </row>
    <row r="7" spans="1:29" x14ac:dyDescent="0.25">
      <c r="A7" t="s">
        <v>16</v>
      </c>
      <c r="B7" s="21">
        <f>100/$B$5</f>
        <v>16.666666666666668</v>
      </c>
      <c r="C7" t="s">
        <v>13</v>
      </c>
      <c r="F7" s="14">
        <v>3</v>
      </c>
      <c r="G7" s="14">
        <v>3</v>
      </c>
      <c r="H7" s="14">
        <v>1</v>
      </c>
      <c r="I7" s="20">
        <f t="shared" si="0"/>
        <v>33.333333333333329</v>
      </c>
      <c r="J7" s="20">
        <f t="shared" si="1"/>
        <v>0</v>
      </c>
      <c r="K7" s="22">
        <f t="shared" si="2"/>
        <v>187334.96377036133</v>
      </c>
      <c r="L7" s="22">
        <f t="shared" si="3"/>
        <v>807963.45996997901</v>
      </c>
      <c r="M7" s="22">
        <f t="shared" si="6"/>
        <v>200413.3658080615</v>
      </c>
      <c r="N7" s="22">
        <f t="shared" si="7"/>
        <v>827176.79119808541</v>
      </c>
      <c r="O7" s="14" t="str">
        <f t="shared" si="4"/>
        <v>187334.963770361</v>
      </c>
      <c r="P7" s="14" t="str">
        <f t="shared" si="4"/>
        <v>807963.459969979</v>
      </c>
      <c r="Q7" s="14" t="str">
        <f t="shared" si="4"/>
        <v>200413.365808061</v>
      </c>
      <c r="R7" s="14" t="str">
        <f t="shared" si="4"/>
        <v>827176.791198085</v>
      </c>
      <c r="S7" s="14" t="str">
        <f t="shared" si="5"/>
        <v>187334.963770361,807963.459969979,200413.365808061,827176.791198085</v>
      </c>
      <c r="T7" s="14" t="s">
        <v>77</v>
      </c>
      <c r="U7" s="14" t="s">
        <v>117</v>
      </c>
    </row>
    <row r="8" spans="1:29" x14ac:dyDescent="0.25">
      <c r="A8" t="s">
        <v>6</v>
      </c>
      <c r="B8" s="19">
        <f>h * (B6/100)</f>
        <v>13078.402037700163</v>
      </c>
      <c r="C8" t="s">
        <v>8</v>
      </c>
      <c r="D8" s="3"/>
      <c r="E8" s="3"/>
      <c r="F8" s="14">
        <v>4</v>
      </c>
      <c r="G8" s="14">
        <v>4</v>
      </c>
      <c r="H8" s="14">
        <v>1</v>
      </c>
      <c r="I8" s="20">
        <f t="shared" si="0"/>
        <v>50</v>
      </c>
      <c r="J8" s="20">
        <f t="shared" si="1"/>
        <v>0</v>
      </c>
      <c r="K8" s="22">
        <f t="shared" si="2"/>
        <v>200413.3658080615</v>
      </c>
      <c r="L8" s="22">
        <f t="shared" si="3"/>
        <v>807963.45996997901</v>
      </c>
      <c r="M8" s="22">
        <f t="shared" si="6"/>
        <v>213491.76784576167</v>
      </c>
      <c r="N8" s="22">
        <f t="shared" si="7"/>
        <v>827176.79119808541</v>
      </c>
      <c r="O8" s="14" t="str">
        <f t="shared" si="4"/>
        <v>200413.365808061</v>
      </c>
      <c r="P8" s="14" t="str">
        <f t="shared" si="4"/>
        <v>807963.459969979</v>
      </c>
      <c r="Q8" s="14" t="str">
        <f t="shared" si="4"/>
        <v>213491.767845762</v>
      </c>
      <c r="R8" s="14" t="str">
        <f t="shared" si="4"/>
        <v>827176.791198085</v>
      </c>
      <c r="S8" s="14" t="str">
        <f t="shared" si="5"/>
        <v>200413.365808061,807963.459969979,213491.767845762,827176.791198085</v>
      </c>
      <c r="T8" s="14" t="s">
        <v>78</v>
      </c>
      <c r="U8" s="14" t="s">
        <v>117</v>
      </c>
    </row>
    <row r="9" spans="1:29" x14ac:dyDescent="0.25">
      <c r="A9" t="s">
        <v>7</v>
      </c>
      <c r="B9" s="19">
        <f>w * (B7/100)</f>
        <v>19213.331228106344</v>
      </c>
      <c r="C9" t="s">
        <v>8</v>
      </c>
      <c r="F9" s="14">
        <v>5</v>
      </c>
      <c r="G9" s="14">
        <v>5</v>
      </c>
      <c r="H9" s="14">
        <v>1</v>
      </c>
      <c r="I9" s="20">
        <f t="shared" si="0"/>
        <v>66.666666666666657</v>
      </c>
      <c r="J9" s="20">
        <f t="shared" si="1"/>
        <v>0</v>
      </c>
      <c r="K9" s="22">
        <f t="shared" si="2"/>
        <v>213491.76784576164</v>
      </c>
      <c r="L9" s="22">
        <f t="shared" si="3"/>
        <v>807963.45996997901</v>
      </c>
      <c r="M9" s="22">
        <f t="shared" si="6"/>
        <v>226570.16988346181</v>
      </c>
      <c r="N9" s="22">
        <f t="shared" si="7"/>
        <v>827176.79119808541</v>
      </c>
      <c r="O9" s="14" t="str">
        <f t="shared" si="4"/>
        <v>213491.767845762</v>
      </c>
      <c r="P9" s="14" t="str">
        <f t="shared" si="4"/>
        <v>807963.459969979</v>
      </c>
      <c r="Q9" s="14" t="str">
        <f t="shared" si="4"/>
        <v>226570.169883462</v>
      </c>
      <c r="R9" s="14" t="str">
        <f t="shared" si="4"/>
        <v>827176.791198085</v>
      </c>
      <c r="S9" s="14" t="str">
        <f t="shared" si="5"/>
        <v>213491.767845762,807963.459969979,226570.169883462,827176.791198085</v>
      </c>
      <c r="T9" s="14" t="s">
        <v>79</v>
      </c>
      <c r="U9" s="14" t="s">
        <v>117</v>
      </c>
    </row>
    <row r="10" spans="1:29" x14ac:dyDescent="0.25">
      <c r="B10" s="1"/>
      <c r="F10" s="14">
        <v>6</v>
      </c>
      <c r="G10" s="14">
        <v>6</v>
      </c>
      <c r="H10" s="14">
        <v>1</v>
      </c>
      <c r="I10" s="20">
        <f t="shared" si="0"/>
        <v>83.333333333333343</v>
      </c>
      <c r="J10" s="20">
        <f t="shared" si="1"/>
        <v>0</v>
      </c>
      <c r="K10" s="22">
        <f t="shared" si="2"/>
        <v>226570.16988346184</v>
      </c>
      <c r="L10" s="22">
        <f t="shared" si="3"/>
        <v>807963.45996997901</v>
      </c>
      <c r="M10" s="22">
        <f t="shared" si="6"/>
        <v>239648.57192116202</v>
      </c>
      <c r="N10" s="22">
        <f t="shared" si="7"/>
        <v>827176.79119808541</v>
      </c>
      <c r="O10" s="14" t="str">
        <f t="shared" si="4"/>
        <v>226570.169883462</v>
      </c>
      <c r="P10" s="14" t="str">
        <f t="shared" si="4"/>
        <v>807963.459969979</v>
      </c>
      <c r="Q10" s="14" t="str">
        <f t="shared" si="4"/>
        <v>239648.571921162</v>
      </c>
      <c r="R10" s="14" t="str">
        <f t="shared" si="4"/>
        <v>827176.791198085</v>
      </c>
      <c r="S10" s="14" t="str">
        <f t="shared" si="5"/>
        <v>226570.169883462,807963.459969979,239648.571921162,827176.791198085</v>
      </c>
      <c r="T10" s="14" t="s">
        <v>80</v>
      </c>
      <c r="U10" s="14" t="s">
        <v>117</v>
      </c>
    </row>
    <row r="11" spans="1:29" x14ac:dyDescent="0.25">
      <c r="A11" t="s">
        <v>18</v>
      </c>
      <c r="B11" s="6">
        <v>5</v>
      </c>
      <c r="C11" t="s">
        <v>10</v>
      </c>
      <c r="F11" s="14">
        <v>7</v>
      </c>
      <c r="G11" s="14">
        <v>1</v>
      </c>
      <c r="H11" s="14">
        <v>2</v>
      </c>
      <c r="I11" s="20">
        <f t="shared" si="0"/>
        <v>0</v>
      </c>
      <c r="J11" s="20">
        <f t="shared" si="1"/>
        <v>16.666666666666664</v>
      </c>
      <c r="K11" s="22">
        <f t="shared" si="2"/>
        <v>161178.15969496101</v>
      </c>
      <c r="L11" s="22">
        <f t="shared" si="3"/>
        <v>827176.7911980853</v>
      </c>
      <c r="M11" s="22">
        <f t="shared" si="6"/>
        <v>174256.56173266118</v>
      </c>
      <c r="N11" s="22">
        <f t="shared" si="7"/>
        <v>846390.12242619169</v>
      </c>
      <c r="O11" s="14" t="str">
        <f t="shared" si="4"/>
        <v>161178.159694961</v>
      </c>
      <c r="P11" s="14" t="str">
        <f t="shared" si="4"/>
        <v>827176.791198085</v>
      </c>
      <c r="Q11" s="14" t="str">
        <f t="shared" si="4"/>
        <v>174256.561732661</v>
      </c>
      <c r="R11" s="14" t="str">
        <f t="shared" si="4"/>
        <v>846390.122426192</v>
      </c>
      <c r="S11" s="14" t="str">
        <f t="shared" si="5"/>
        <v>161178.159694961,827176.791198085,174256.561732661,846390.122426192</v>
      </c>
      <c r="T11" s="14" t="s">
        <v>81</v>
      </c>
      <c r="U11" s="14" t="s">
        <v>117</v>
      </c>
    </row>
    <row r="12" spans="1:29" x14ac:dyDescent="0.25">
      <c r="A12" t="s">
        <v>19</v>
      </c>
      <c r="B12" s="6">
        <v>5</v>
      </c>
      <c r="C12" t="s">
        <v>10</v>
      </c>
      <c r="F12" s="14">
        <v>8</v>
      </c>
      <c r="G12" s="14">
        <v>2</v>
      </c>
      <c r="H12" s="14">
        <v>2</v>
      </c>
      <c r="I12" s="20">
        <f t="shared" si="0"/>
        <v>16.666666666666664</v>
      </c>
      <c r="J12" s="20">
        <f t="shared" si="1"/>
        <v>16.666666666666664</v>
      </c>
      <c r="K12" s="22">
        <f t="shared" si="2"/>
        <v>174256.56173266118</v>
      </c>
      <c r="L12" s="22">
        <f t="shared" si="3"/>
        <v>827176.7911980853</v>
      </c>
      <c r="M12" s="22">
        <f t="shared" si="6"/>
        <v>187334.96377036136</v>
      </c>
      <c r="N12" s="22">
        <f t="shared" si="7"/>
        <v>846390.12242619169</v>
      </c>
      <c r="O12" s="14" t="str">
        <f t="shared" si="4"/>
        <v>174256.561732661</v>
      </c>
      <c r="P12" s="14" t="str">
        <f t="shared" si="4"/>
        <v>827176.791198085</v>
      </c>
      <c r="Q12" s="14" t="str">
        <f t="shared" si="4"/>
        <v>187334.963770361</v>
      </c>
      <c r="R12" s="14" t="str">
        <f t="shared" si="4"/>
        <v>846390.122426192</v>
      </c>
      <c r="S12" s="14" t="str">
        <f t="shared" si="5"/>
        <v>174256.561732661,827176.791198085,187334.963770361,846390.122426192</v>
      </c>
      <c r="T12" s="14" t="s">
        <v>82</v>
      </c>
      <c r="U12" s="14" t="s">
        <v>117</v>
      </c>
    </row>
    <row r="13" spans="1:29" x14ac:dyDescent="0.25">
      <c r="F13" s="14">
        <v>9</v>
      </c>
      <c r="G13" s="14">
        <v>3</v>
      </c>
      <c r="H13" s="14">
        <v>2</v>
      </c>
      <c r="I13" s="20">
        <f t="shared" si="0"/>
        <v>33.333333333333329</v>
      </c>
      <c r="J13" s="20">
        <f t="shared" si="1"/>
        <v>16.666666666666664</v>
      </c>
      <c r="K13" s="22">
        <f t="shared" si="2"/>
        <v>187334.96377036133</v>
      </c>
      <c r="L13" s="22">
        <f t="shared" si="3"/>
        <v>827176.7911980853</v>
      </c>
      <c r="M13" s="22">
        <f t="shared" si="6"/>
        <v>200413.3658080615</v>
      </c>
      <c r="N13" s="22">
        <f t="shared" si="7"/>
        <v>846390.12242619169</v>
      </c>
      <c r="O13" s="14" t="str">
        <f t="shared" ref="O13:O34" si="8">SUBSTITUTE(K13,",",".")</f>
        <v>187334.963770361</v>
      </c>
      <c r="P13" s="14" t="str">
        <f t="shared" ref="P13:P34" si="9">SUBSTITUTE(L13,",",".")</f>
        <v>827176.791198085</v>
      </c>
      <c r="Q13" s="14" t="str">
        <f t="shared" ref="Q13:Q34" si="10">SUBSTITUTE(M13,",",".")</f>
        <v>200413.365808061</v>
      </c>
      <c r="R13" s="14" t="str">
        <f t="shared" ref="R13:R34" si="11">SUBSTITUTE(N13,",",".")</f>
        <v>846390.122426192</v>
      </c>
      <c r="S13" s="14" t="str">
        <f t="shared" ref="S13:S34" si="12">O13&amp;","&amp;P13&amp;","&amp;Q13&amp;","&amp;R13</f>
        <v>187334.963770361,827176.791198085,200413.365808061,846390.122426192</v>
      </c>
      <c r="T13" s="14" t="s">
        <v>86</v>
      </c>
      <c r="U13" s="14" t="s">
        <v>117</v>
      </c>
    </row>
    <row r="14" spans="1:29" x14ac:dyDescent="0.25">
      <c r="A14" t="s">
        <v>5</v>
      </c>
      <c r="B14" s="7">
        <f>ROUNDDOWN(B8/B11, 0)</f>
        <v>2615</v>
      </c>
      <c r="C14" t="s">
        <v>9</v>
      </c>
      <c r="D14" s="8" t="s">
        <v>25</v>
      </c>
      <c r="E14" s="8"/>
      <c r="F14" s="14">
        <v>10</v>
      </c>
      <c r="G14" s="14">
        <v>4</v>
      </c>
      <c r="H14" s="14">
        <v>2</v>
      </c>
      <c r="I14" s="20">
        <f t="shared" si="0"/>
        <v>50</v>
      </c>
      <c r="J14" s="20">
        <f t="shared" si="1"/>
        <v>16.666666666666664</v>
      </c>
      <c r="K14" s="22">
        <f t="shared" si="2"/>
        <v>200413.3658080615</v>
      </c>
      <c r="L14" s="22">
        <f t="shared" si="3"/>
        <v>827176.7911980853</v>
      </c>
      <c r="M14" s="22">
        <f t="shared" si="6"/>
        <v>213491.76784576167</v>
      </c>
      <c r="N14" s="22">
        <f t="shared" si="7"/>
        <v>846390.12242619169</v>
      </c>
      <c r="O14" s="14" t="str">
        <f t="shared" si="8"/>
        <v>200413.365808061</v>
      </c>
      <c r="P14" s="14" t="str">
        <f t="shared" si="9"/>
        <v>827176.791198085</v>
      </c>
      <c r="Q14" s="14" t="str">
        <f t="shared" si="10"/>
        <v>213491.767845762</v>
      </c>
      <c r="R14" s="14" t="str">
        <f t="shared" si="11"/>
        <v>846390.122426192</v>
      </c>
      <c r="S14" s="14" t="str">
        <f t="shared" si="12"/>
        <v>200413.365808061,827176.791198085,213491.767845762,846390.122426192</v>
      </c>
      <c r="T14" s="14" t="s">
        <v>87</v>
      </c>
      <c r="U14" s="14" t="s">
        <v>117</v>
      </c>
    </row>
    <row r="15" spans="1:29" x14ac:dyDescent="0.25">
      <c r="A15" t="s">
        <v>4</v>
      </c>
      <c r="B15" s="7">
        <f>ROUNDDOWN(B9/B12, 0)</f>
        <v>3842</v>
      </c>
      <c r="C15" t="s">
        <v>9</v>
      </c>
      <c r="D15" s="8" t="s">
        <v>26</v>
      </c>
      <c r="E15" s="8"/>
      <c r="F15" s="14">
        <v>11</v>
      </c>
      <c r="G15" s="14">
        <v>5</v>
      </c>
      <c r="H15" s="14">
        <v>2</v>
      </c>
      <c r="I15" s="20">
        <f t="shared" si="0"/>
        <v>66.666666666666657</v>
      </c>
      <c r="J15" s="20">
        <f t="shared" si="1"/>
        <v>16.666666666666664</v>
      </c>
      <c r="K15" s="22">
        <f t="shared" si="2"/>
        <v>213491.76784576164</v>
      </c>
      <c r="L15" s="22">
        <f t="shared" si="3"/>
        <v>827176.7911980853</v>
      </c>
      <c r="M15" s="22">
        <f t="shared" si="6"/>
        <v>226570.16988346181</v>
      </c>
      <c r="N15" s="22">
        <f t="shared" si="7"/>
        <v>846390.12242619169</v>
      </c>
      <c r="O15" s="14" t="str">
        <f t="shared" si="8"/>
        <v>213491.767845762</v>
      </c>
      <c r="P15" s="14" t="str">
        <f t="shared" si="9"/>
        <v>827176.791198085</v>
      </c>
      <c r="Q15" s="14" t="str">
        <f t="shared" si="10"/>
        <v>226570.169883462</v>
      </c>
      <c r="R15" s="14" t="str">
        <f t="shared" si="11"/>
        <v>846390.122426192</v>
      </c>
      <c r="S15" s="14" t="str">
        <f t="shared" si="12"/>
        <v>213491.767845762,827176.791198085,226570.169883462,846390.122426192</v>
      </c>
      <c r="T15" s="14" t="s">
        <v>88</v>
      </c>
      <c r="U15" s="14" t="s">
        <v>117</v>
      </c>
    </row>
    <row r="16" spans="1:29" x14ac:dyDescent="0.25">
      <c r="F16" s="14">
        <v>12</v>
      </c>
      <c r="G16" s="14">
        <v>6</v>
      </c>
      <c r="H16" s="14">
        <v>2</v>
      </c>
      <c r="I16" s="20">
        <f t="shared" si="0"/>
        <v>83.333333333333343</v>
      </c>
      <c r="J16" s="20">
        <f t="shared" si="1"/>
        <v>16.666666666666664</v>
      </c>
      <c r="K16" s="22">
        <f t="shared" si="2"/>
        <v>226570.16988346184</v>
      </c>
      <c r="L16" s="22">
        <f t="shared" si="3"/>
        <v>827176.7911980853</v>
      </c>
      <c r="M16" s="22">
        <f t="shared" si="6"/>
        <v>239648.57192116202</v>
      </c>
      <c r="N16" s="22">
        <f t="shared" si="7"/>
        <v>846390.12242619169</v>
      </c>
      <c r="O16" s="14" t="str">
        <f t="shared" si="8"/>
        <v>226570.169883462</v>
      </c>
      <c r="P16" s="14" t="str">
        <f t="shared" si="9"/>
        <v>827176.791198085</v>
      </c>
      <c r="Q16" s="14" t="str">
        <f t="shared" si="10"/>
        <v>239648.571921162</v>
      </c>
      <c r="R16" s="14" t="str">
        <f t="shared" si="11"/>
        <v>846390.122426192</v>
      </c>
      <c r="S16" s="14" t="str">
        <f t="shared" si="12"/>
        <v>226570.169883462,827176.791198085,239648.571921162,846390.122426192</v>
      </c>
      <c r="T16" s="14" t="s">
        <v>89</v>
      </c>
      <c r="U16" s="14" t="s">
        <v>117</v>
      </c>
    </row>
    <row r="17" spans="1:21" x14ac:dyDescent="0.25">
      <c r="A17" t="s">
        <v>23</v>
      </c>
      <c r="B17" t="str">
        <f>B14&amp;","&amp;B15</f>
        <v>2615,3842</v>
      </c>
      <c r="F17" s="14">
        <v>13</v>
      </c>
      <c r="G17" s="14">
        <v>1</v>
      </c>
      <c r="H17" s="14">
        <v>3</v>
      </c>
      <c r="I17" s="20">
        <f t="shared" si="0"/>
        <v>0</v>
      </c>
      <c r="J17" s="20">
        <f t="shared" si="1"/>
        <v>33.333333333333329</v>
      </c>
      <c r="K17" s="22">
        <f t="shared" si="2"/>
        <v>161178.15969496101</v>
      </c>
      <c r="L17" s="22">
        <f t="shared" si="3"/>
        <v>846390.12242619169</v>
      </c>
      <c r="M17" s="22">
        <f t="shared" si="6"/>
        <v>174256.56173266118</v>
      </c>
      <c r="N17" s="22">
        <f t="shared" si="7"/>
        <v>865603.45365429809</v>
      </c>
      <c r="O17" s="14" t="str">
        <f t="shared" si="8"/>
        <v>161178.159694961</v>
      </c>
      <c r="P17" s="14" t="str">
        <f t="shared" si="9"/>
        <v>846390.122426192</v>
      </c>
      <c r="Q17" s="14" t="str">
        <f t="shared" si="10"/>
        <v>174256.561732661</v>
      </c>
      <c r="R17" s="14" t="str">
        <f t="shared" si="11"/>
        <v>865603.453654298</v>
      </c>
      <c r="S17" s="14" t="str">
        <f t="shared" si="12"/>
        <v>161178.159694961,846390.122426192,174256.561732661,865603.453654298</v>
      </c>
      <c r="T17" s="14" t="s">
        <v>90</v>
      </c>
      <c r="U17" s="14" t="s">
        <v>117</v>
      </c>
    </row>
    <row r="18" spans="1:21" x14ac:dyDescent="0.25">
      <c r="A18" t="s">
        <v>17</v>
      </c>
      <c r="B18" t="s">
        <v>114</v>
      </c>
      <c r="F18" s="14">
        <v>14</v>
      </c>
      <c r="G18" s="14">
        <v>2</v>
      </c>
      <c r="H18" s="14">
        <v>3</v>
      </c>
      <c r="I18" s="20">
        <f t="shared" si="0"/>
        <v>16.666666666666664</v>
      </c>
      <c r="J18" s="20">
        <f t="shared" si="1"/>
        <v>33.333333333333329</v>
      </c>
      <c r="K18" s="22">
        <f t="shared" si="2"/>
        <v>174256.56173266118</v>
      </c>
      <c r="L18" s="22">
        <f t="shared" si="3"/>
        <v>846390.12242619169</v>
      </c>
      <c r="M18" s="22">
        <f t="shared" si="6"/>
        <v>187334.96377036136</v>
      </c>
      <c r="N18" s="22">
        <f t="shared" si="7"/>
        <v>865603.45365429809</v>
      </c>
      <c r="O18" s="14" t="str">
        <f t="shared" si="8"/>
        <v>174256.561732661</v>
      </c>
      <c r="P18" s="14" t="str">
        <f t="shared" si="9"/>
        <v>846390.122426192</v>
      </c>
      <c r="Q18" s="14" t="str">
        <f t="shared" si="10"/>
        <v>187334.963770361</v>
      </c>
      <c r="R18" s="14" t="str">
        <f t="shared" si="11"/>
        <v>865603.453654298</v>
      </c>
      <c r="S18" s="14" t="str">
        <f t="shared" si="12"/>
        <v>174256.561732661,846390.122426192,187334.963770361,865603.453654298</v>
      </c>
      <c r="T18" s="14" t="s">
        <v>91</v>
      </c>
      <c r="U18" s="14" t="s">
        <v>117</v>
      </c>
    </row>
    <row r="19" spans="1:21" x14ac:dyDescent="0.25">
      <c r="F19" s="14">
        <v>15</v>
      </c>
      <c r="G19" s="14">
        <v>3</v>
      </c>
      <c r="H19" s="14">
        <v>3</v>
      </c>
      <c r="I19" s="20">
        <f t="shared" si="0"/>
        <v>33.333333333333329</v>
      </c>
      <c r="J19" s="20">
        <f t="shared" si="1"/>
        <v>33.333333333333329</v>
      </c>
      <c r="K19" s="22">
        <f t="shared" si="2"/>
        <v>187334.96377036133</v>
      </c>
      <c r="L19" s="22">
        <f t="shared" si="3"/>
        <v>846390.12242619169</v>
      </c>
      <c r="M19" s="22">
        <f t="shared" si="6"/>
        <v>200413.3658080615</v>
      </c>
      <c r="N19" s="22">
        <f t="shared" si="7"/>
        <v>865603.45365429809</v>
      </c>
      <c r="O19" s="14" t="str">
        <f t="shared" si="8"/>
        <v>187334.963770361</v>
      </c>
      <c r="P19" s="14" t="str">
        <f t="shared" si="9"/>
        <v>846390.122426192</v>
      </c>
      <c r="Q19" s="14" t="str">
        <f t="shared" si="10"/>
        <v>200413.365808061</v>
      </c>
      <c r="R19" s="14" t="str">
        <f t="shared" si="11"/>
        <v>865603.453654298</v>
      </c>
      <c r="S19" s="14" t="str">
        <f t="shared" si="12"/>
        <v>187334.963770361,846390.122426192,200413.365808061,865603.453654298</v>
      </c>
      <c r="T19" s="14" t="s">
        <v>92</v>
      </c>
      <c r="U19" s="14" t="s">
        <v>117</v>
      </c>
    </row>
    <row r="20" spans="1:21" x14ac:dyDescent="0.25">
      <c r="A20" t="s">
        <v>83</v>
      </c>
      <c r="B20" s="7">
        <f>B8/B14</f>
        <v>5.001300970439833</v>
      </c>
      <c r="C20" t="s">
        <v>10</v>
      </c>
      <c r="F20" s="14">
        <v>16</v>
      </c>
      <c r="G20" s="14">
        <v>4</v>
      </c>
      <c r="H20" s="14">
        <v>3</v>
      </c>
      <c r="I20" s="20">
        <f t="shared" si="0"/>
        <v>50</v>
      </c>
      <c r="J20" s="20">
        <f t="shared" si="1"/>
        <v>33.333333333333329</v>
      </c>
      <c r="K20" s="22">
        <f t="shared" si="2"/>
        <v>200413.3658080615</v>
      </c>
      <c r="L20" s="22">
        <f t="shared" si="3"/>
        <v>846390.12242619169</v>
      </c>
      <c r="M20" s="22">
        <f t="shared" si="6"/>
        <v>213491.76784576167</v>
      </c>
      <c r="N20" s="22">
        <f t="shared" si="7"/>
        <v>865603.45365429809</v>
      </c>
      <c r="O20" s="14" t="str">
        <f t="shared" si="8"/>
        <v>200413.365808061</v>
      </c>
      <c r="P20" s="14" t="str">
        <f t="shared" si="9"/>
        <v>846390.122426192</v>
      </c>
      <c r="Q20" s="14" t="str">
        <f t="shared" si="10"/>
        <v>213491.767845762</v>
      </c>
      <c r="R20" s="14" t="str">
        <f t="shared" si="11"/>
        <v>865603.453654298</v>
      </c>
      <c r="S20" s="14" t="str">
        <f t="shared" si="12"/>
        <v>200413.365808061,846390.122426192,213491.767845762,865603.453654298</v>
      </c>
      <c r="T20" s="14" t="s">
        <v>93</v>
      </c>
      <c r="U20" s="14" t="s">
        <v>117</v>
      </c>
    </row>
    <row r="21" spans="1:21" x14ac:dyDescent="0.25">
      <c r="A21" t="s">
        <v>84</v>
      </c>
      <c r="B21" s="23">
        <f>B9/B15</f>
        <v>5.0008670557278361</v>
      </c>
      <c r="C21" t="s">
        <v>10</v>
      </c>
      <c r="F21" s="14">
        <v>17</v>
      </c>
      <c r="G21" s="14">
        <v>5</v>
      </c>
      <c r="H21" s="14">
        <v>3</v>
      </c>
      <c r="I21" s="20">
        <f t="shared" si="0"/>
        <v>66.666666666666657</v>
      </c>
      <c r="J21" s="20">
        <f t="shared" si="1"/>
        <v>33.333333333333329</v>
      </c>
      <c r="K21" s="22">
        <f t="shared" si="2"/>
        <v>213491.76784576164</v>
      </c>
      <c r="L21" s="22">
        <f t="shared" si="3"/>
        <v>846390.12242619169</v>
      </c>
      <c r="M21" s="22">
        <f t="shared" si="6"/>
        <v>226570.16988346181</v>
      </c>
      <c r="N21" s="22">
        <f t="shared" si="7"/>
        <v>865603.45365429809</v>
      </c>
      <c r="O21" s="14" t="str">
        <f t="shared" si="8"/>
        <v>213491.767845762</v>
      </c>
      <c r="P21" s="14" t="str">
        <f t="shared" si="9"/>
        <v>846390.122426192</v>
      </c>
      <c r="Q21" s="14" t="str">
        <f t="shared" si="10"/>
        <v>226570.169883462</v>
      </c>
      <c r="R21" s="14" t="str">
        <f t="shared" si="11"/>
        <v>865603.453654298</v>
      </c>
      <c r="S21" s="14" t="str">
        <f t="shared" si="12"/>
        <v>213491.767845762,846390.122426192,226570.169883462,865603.453654298</v>
      </c>
      <c r="T21" s="14" t="s">
        <v>94</v>
      </c>
      <c r="U21" s="14" t="s">
        <v>117</v>
      </c>
    </row>
    <row r="22" spans="1:21" x14ac:dyDescent="0.25">
      <c r="B22" s="1"/>
      <c r="F22" s="14">
        <v>18</v>
      </c>
      <c r="G22" s="14">
        <v>6</v>
      </c>
      <c r="H22" s="14">
        <v>3</v>
      </c>
      <c r="I22" s="20">
        <f t="shared" si="0"/>
        <v>83.333333333333343</v>
      </c>
      <c r="J22" s="20">
        <f t="shared" si="1"/>
        <v>33.333333333333329</v>
      </c>
      <c r="K22" s="22">
        <f t="shared" si="2"/>
        <v>226570.16988346184</v>
      </c>
      <c r="L22" s="22">
        <f t="shared" si="3"/>
        <v>846390.12242619169</v>
      </c>
      <c r="M22" s="22">
        <f t="shared" si="6"/>
        <v>239648.57192116202</v>
      </c>
      <c r="N22" s="22">
        <f t="shared" si="7"/>
        <v>865603.45365429809</v>
      </c>
      <c r="O22" s="14" t="str">
        <f t="shared" si="8"/>
        <v>226570.169883462</v>
      </c>
      <c r="P22" s="14" t="str">
        <f t="shared" si="9"/>
        <v>846390.122426192</v>
      </c>
      <c r="Q22" s="14" t="str">
        <f t="shared" si="10"/>
        <v>239648.571921162</v>
      </c>
      <c r="R22" s="14" t="str">
        <f t="shared" si="11"/>
        <v>865603.453654298</v>
      </c>
      <c r="S22" s="14" t="str">
        <f t="shared" si="12"/>
        <v>226570.169883462,846390.122426192,239648.571921162,865603.453654298</v>
      </c>
      <c r="T22" s="14" t="s">
        <v>95</v>
      </c>
      <c r="U22" s="14" t="s">
        <v>117</v>
      </c>
    </row>
    <row r="23" spans="1:21" x14ac:dyDescent="0.25">
      <c r="F23" s="14">
        <v>19</v>
      </c>
      <c r="G23" s="14">
        <v>1</v>
      </c>
      <c r="H23" s="14">
        <v>4</v>
      </c>
      <c r="I23" s="20">
        <f t="shared" si="0"/>
        <v>0</v>
      </c>
      <c r="J23" s="20">
        <f t="shared" si="1"/>
        <v>50</v>
      </c>
      <c r="K23" s="22">
        <f t="shared" si="2"/>
        <v>161178.15969496101</v>
      </c>
      <c r="L23" s="22">
        <f t="shared" si="3"/>
        <v>865603.45365429809</v>
      </c>
      <c r="M23" s="22">
        <f t="shared" si="6"/>
        <v>174256.56173266118</v>
      </c>
      <c r="N23" s="22">
        <f t="shared" si="7"/>
        <v>884816.78488240449</v>
      </c>
      <c r="O23" s="14" t="str">
        <f t="shared" si="8"/>
        <v>161178.159694961</v>
      </c>
      <c r="P23" s="14" t="str">
        <f t="shared" si="9"/>
        <v>865603.453654298</v>
      </c>
      <c r="Q23" s="14" t="str">
        <f t="shared" si="10"/>
        <v>174256.561732661</v>
      </c>
      <c r="R23" s="14" t="str">
        <f t="shared" si="11"/>
        <v>884816.784882404</v>
      </c>
      <c r="S23" s="14" t="str">
        <f t="shared" si="12"/>
        <v>161178.159694961,865603.453654298,174256.561732661,884816.784882404</v>
      </c>
      <c r="T23" s="14" t="s">
        <v>96</v>
      </c>
      <c r="U23" s="14" t="s">
        <v>117</v>
      </c>
    </row>
    <row r="24" spans="1:21" x14ac:dyDescent="0.25">
      <c r="F24" s="14">
        <v>20</v>
      </c>
      <c r="G24" s="14">
        <v>2</v>
      </c>
      <c r="H24" s="14">
        <v>4</v>
      </c>
      <c r="I24" s="20">
        <f t="shared" si="0"/>
        <v>16.666666666666664</v>
      </c>
      <c r="J24" s="20">
        <f t="shared" si="1"/>
        <v>50</v>
      </c>
      <c r="K24" s="22">
        <f t="shared" si="2"/>
        <v>174256.56173266118</v>
      </c>
      <c r="L24" s="22">
        <f t="shared" si="3"/>
        <v>865603.45365429809</v>
      </c>
      <c r="M24" s="22">
        <f t="shared" si="6"/>
        <v>187334.96377036136</v>
      </c>
      <c r="N24" s="22">
        <f t="shared" si="7"/>
        <v>884816.78488240449</v>
      </c>
      <c r="O24" s="14" t="str">
        <f t="shared" si="8"/>
        <v>174256.561732661</v>
      </c>
      <c r="P24" s="14" t="str">
        <f t="shared" si="9"/>
        <v>865603.453654298</v>
      </c>
      <c r="Q24" s="14" t="str">
        <f t="shared" si="10"/>
        <v>187334.963770361</v>
      </c>
      <c r="R24" s="14" t="str">
        <f t="shared" si="11"/>
        <v>884816.784882404</v>
      </c>
      <c r="S24" s="14" t="str">
        <f t="shared" si="12"/>
        <v>174256.561732661,865603.453654298,187334.963770361,884816.784882404</v>
      </c>
      <c r="T24" s="14" t="s">
        <v>97</v>
      </c>
      <c r="U24" s="14" t="s">
        <v>117</v>
      </c>
    </row>
    <row r="25" spans="1:21" x14ac:dyDescent="0.25">
      <c r="F25" s="14">
        <v>21</v>
      </c>
      <c r="G25" s="14">
        <v>3</v>
      </c>
      <c r="H25" s="14">
        <v>4</v>
      </c>
      <c r="I25" s="20">
        <f t="shared" si="0"/>
        <v>33.333333333333329</v>
      </c>
      <c r="J25" s="20">
        <f t="shared" si="1"/>
        <v>50</v>
      </c>
      <c r="K25" s="22">
        <f t="shared" si="2"/>
        <v>187334.96377036133</v>
      </c>
      <c r="L25" s="22">
        <f t="shared" si="3"/>
        <v>865603.45365429809</v>
      </c>
      <c r="M25" s="22">
        <f t="shared" si="6"/>
        <v>200413.3658080615</v>
      </c>
      <c r="N25" s="22">
        <f t="shared" si="7"/>
        <v>884816.78488240449</v>
      </c>
      <c r="O25" s="14" t="str">
        <f t="shared" si="8"/>
        <v>187334.963770361</v>
      </c>
      <c r="P25" s="14" t="str">
        <f t="shared" si="9"/>
        <v>865603.453654298</v>
      </c>
      <c r="Q25" s="14" t="str">
        <f t="shared" si="10"/>
        <v>200413.365808061</v>
      </c>
      <c r="R25" s="14" t="str">
        <f t="shared" si="11"/>
        <v>884816.784882404</v>
      </c>
      <c r="S25" s="14" t="str">
        <f t="shared" si="12"/>
        <v>187334.963770361,865603.453654298,200413.365808061,884816.784882404</v>
      </c>
      <c r="T25" s="14" t="s">
        <v>98</v>
      </c>
      <c r="U25" s="14" t="s">
        <v>117</v>
      </c>
    </row>
    <row r="26" spans="1:21" x14ac:dyDescent="0.25">
      <c r="F26" s="14">
        <v>22</v>
      </c>
      <c r="G26" s="14">
        <v>4</v>
      </c>
      <c r="H26" s="14">
        <v>4</v>
      </c>
      <c r="I26" s="20">
        <f t="shared" si="0"/>
        <v>50</v>
      </c>
      <c r="J26" s="20">
        <f t="shared" si="1"/>
        <v>50</v>
      </c>
      <c r="K26" s="22">
        <f t="shared" si="2"/>
        <v>200413.3658080615</v>
      </c>
      <c r="L26" s="22">
        <f t="shared" si="3"/>
        <v>865603.45365429809</v>
      </c>
      <c r="M26" s="22">
        <f t="shared" si="6"/>
        <v>213491.76784576167</v>
      </c>
      <c r="N26" s="22">
        <f t="shared" si="7"/>
        <v>884816.78488240449</v>
      </c>
      <c r="O26" s="14" t="str">
        <f t="shared" si="8"/>
        <v>200413.365808061</v>
      </c>
      <c r="P26" s="14" t="str">
        <f t="shared" si="9"/>
        <v>865603.453654298</v>
      </c>
      <c r="Q26" s="14" t="str">
        <f t="shared" si="10"/>
        <v>213491.767845762</v>
      </c>
      <c r="R26" s="14" t="str">
        <f t="shared" si="11"/>
        <v>884816.784882404</v>
      </c>
      <c r="S26" s="14" t="str">
        <f t="shared" si="12"/>
        <v>200413.365808061,865603.453654298,213491.767845762,884816.784882404</v>
      </c>
      <c r="T26" s="14" t="s">
        <v>99</v>
      </c>
      <c r="U26" s="14" t="s">
        <v>117</v>
      </c>
    </row>
    <row r="27" spans="1:21" x14ac:dyDescent="0.25">
      <c r="F27" s="14">
        <v>23</v>
      </c>
      <c r="G27" s="14">
        <v>5</v>
      </c>
      <c r="H27" s="14">
        <v>4</v>
      </c>
      <c r="I27" s="20">
        <f t="shared" si="0"/>
        <v>66.666666666666657</v>
      </c>
      <c r="J27" s="20">
        <f t="shared" si="1"/>
        <v>50</v>
      </c>
      <c r="K27" s="22">
        <f t="shared" si="2"/>
        <v>213491.76784576164</v>
      </c>
      <c r="L27" s="22">
        <f t="shared" si="3"/>
        <v>865603.45365429809</v>
      </c>
      <c r="M27" s="22">
        <f t="shared" si="6"/>
        <v>226570.16988346181</v>
      </c>
      <c r="N27" s="22">
        <f t="shared" si="7"/>
        <v>884816.78488240449</v>
      </c>
      <c r="O27" s="14" t="str">
        <f t="shared" si="8"/>
        <v>213491.767845762</v>
      </c>
      <c r="P27" s="14" t="str">
        <f t="shared" si="9"/>
        <v>865603.453654298</v>
      </c>
      <c r="Q27" s="14" t="str">
        <f t="shared" si="10"/>
        <v>226570.169883462</v>
      </c>
      <c r="R27" s="14" t="str">
        <f t="shared" si="11"/>
        <v>884816.784882404</v>
      </c>
      <c r="S27" s="14" t="str">
        <f t="shared" si="12"/>
        <v>213491.767845762,865603.453654298,226570.169883462,884816.784882404</v>
      </c>
      <c r="T27" s="14" t="s">
        <v>100</v>
      </c>
      <c r="U27" s="14" t="s">
        <v>117</v>
      </c>
    </row>
    <row r="28" spans="1:21" x14ac:dyDescent="0.25">
      <c r="F28" s="14">
        <v>24</v>
      </c>
      <c r="G28" s="14">
        <v>6</v>
      </c>
      <c r="H28" s="14">
        <v>4</v>
      </c>
      <c r="I28" s="20">
        <f t="shared" si="0"/>
        <v>83.333333333333343</v>
      </c>
      <c r="J28" s="20">
        <f t="shared" si="1"/>
        <v>50</v>
      </c>
      <c r="K28" s="22">
        <f t="shared" si="2"/>
        <v>226570.16988346184</v>
      </c>
      <c r="L28" s="22">
        <f t="shared" si="3"/>
        <v>865603.45365429809</v>
      </c>
      <c r="M28" s="22">
        <f t="shared" si="6"/>
        <v>239648.57192116202</v>
      </c>
      <c r="N28" s="22">
        <f t="shared" si="7"/>
        <v>884816.78488240449</v>
      </c>
      <c r="O28" s="14" t="str">
        <f t="shared" si="8"/>
        <v>226570.169883462</v>
      </c>
      <c r="P28" s="14" t="str">
        <f t="shared" si="9"/>
        <v>865603.453654298</v>
      </c>
      <c r="Q28" s="14" t="str">
        <f t="shared" si="10"/>
        <v>239648.571921162</v>
      </c>
      <c r="R28" s="14" t="str">
        <f t="shared" si="11"/>
        <v>884816.784882404</v>
      </c>
      <c r="S28" s="14" t="str">
        <f t="shared" si="12"/>
        <v>226570.169883462,865603.453654298,239648.571921162,884816.784882404</v>
      </c>
      <c r="T28" s="14" t="s">
        <v>101</v>
      </c>
      <c r="U28" s="14" t="s">
        <v>117</v>
      </c>
    </row>
    <row r="29" spans="1:21" x14ac:dyDescent="0.25">
      <c r="F29" s="14">
        <v>25</v>
      </c>
      <c r="G29" s="14">
        <v>1</v>
      </c>
      <c r="H29" s="14">
        <v>5</v>
      </c>
      <c r="I29" s="20">
        <f t="shared" si="0"/>
        <v>0</v>
      </c>
      <c r="J29" s="20">
        <f t="shared" si="1"/>
        <v>66.666666666666657</v>
      </c>
      <c r="K29" s="22">
        <f t="shared" si="2"/>
        <v>161178.15969496101</v>
      </c>
      <c r="L29" s="22">
        <f t="shared" si="3"/>
        <v>884816.78488240438</v>
      </c>
      <c r="M29" s="22">
        <f t="shared" si="6"/>
        <v>174256.56173266118</v>
      </c>
      <c r="N29" s="22">
        <f t="shared" si="7"/>
        <v>904030.11611051077</v>
      </c>
      <c r="O29" s="14" t="str">
        <f t="shared" si="8"/>
        <v>161178.159694961</v>
      </c>
      <c r="P29" s="14" t="str">
        <f t="shared" si="9"/>
        <v>884816.784882404</v>
      </c>
      <c r="Q29" s="14" t="str">
        <f t="shared" si="10"/>
        <v>174256.561732661</v>
      </c>
      <c r="R29" s="14" t="str">
        <f t="shared" si="11"/>
        <v>904030.116110511</v>
      </c>
      <c r="S29" s="14" t="str">
        <f t="shared" si="12"/>
        <v>161178.159694961,884816.784882404,174256.561732661,904030.116110511</v>
      </c>
      <c r="T29" s="14" t="s">
        <v>102</v>
      </c>
      <c r="U29" s="14" t="s">
        <v>117</v>
      </c>
    </row>
    <row r="30" spans="1:21" x14ac:dyDescent="0.25">
      <c r="F30" s="14">
        <v>26</v>
      </c>
      <c r="G30" s="14">
        <v>2</v>
      </c>
      <c r="H30" s="14">
        <v>5</v>
      </c>
      <c r="I30" s="20">
        <f t="shared" si="0"/>
        <v>16.666666666666664</v>
      </c>
      <c r="J30" s="20">
        <f t="shared" si="1"/>
        <v>66.666666666666657</v>
      </c>
      <c r="K30" s="22">
        <f t="shared" si="2"/>
        <v>174256.56173266118</v>
      </c>
      <c r="L30" s="22">
        <f t="shared" si="3"/>
        <v>884816.78488240438</v>
      </c>
      <c r="M30" s="22">
        <f t="shared" si="6"/>
        <v>187334.96377036136</v>
      </c>
      <c r="N30" s="22">
        <f t="shared" si="7"/>
        <v>904030.11611051077</v>
      </c>
      <c r="O30" s="14" t="str">
        <f t="shared" si="8"/>
        <v>174256.561732661</v>
      </c>
      <c r="P30" s="14" t="str">
        <f t="shared" si="9"/>
        <v>884816.784882404</v>
      </c>
      <c r="Q30" s="14" t="str">
        <f t="shared" si="10"/>
        <v>187334.963770361</v>
      </c>
      <c r="R30" s="14" t="str">
        <f t="shared" si="11"/>
        <v>904030.116110511</v>
      </c>
      <c r="S30" s="14" t="str">
        <f t="shared" si="12"/>
        <v>174256.561732661,884816.784882404,187334.963770361,904030.116110511</v>
      </c>
      <c r="T30" s="14" t="s">
        <v>103</v>
      </c>
      <c r="U30" s="14" t="s">
        <v>117</v>
      </c>
    </row>
    <row r="31" spans="1:21" x14ac:dyDescent="0.25">
      <c r="F31" s="14">
        <v>27</v>
      </c>
      <c r="G31" s="14">
        <v>3</v>
      </c>
      <c r="H31" s="14">
        <v>5</v>
      </c>
      <c r="I31" s="20">
        <f t="shared" si="0"/>
        <v>33.333333333333329</v>
      </c>
      <c r="J31" s="20">
        <f t="shared" si="1"/>
        <v>66.666666666666657</v>
      </c>
      <c r="K31" s="22">
        <f t="shared" si="2"/>
        <v>187334.96377036133</v>
      </c>
      <c r="L31" s="22">
        <f t="shared" si="3"/>
        <v>884816.78488240438</v>
      </c>
      <c r="M31" s="22">
        <f t="shared" si="6"/>
        <v>200413.3658080615</v>
      </c>
      <c r="N31" s="22">
        <f t="shared" si="7"/>
        <v>904030.11611051077</v>
      </c>
      <c r="O31" s="14" t="str">
        <f t="shared" si="8"/>
        <v>187334.963770361</v>
      </c>
      <c r="P31" s="14" t="str">
        <f t="shared" si="9"/>
        <v>884816.784882404</v>
      </c>
      <c r="Q31" s="14" t="str">
        <f t="shared" si="10"/>
        <v>200413.365808061</v>
      </c>
      <c r="R31" s="14" t="str">
        <f t="shared" si="11"/>
        <v>904030.116110511</v>
      </c>
      <c r="S31" s="14" t="str">
        <f t="shared" si="12"/>
        <v>187334.963770361,884816.784882404,200413.365808061,904030.116110511</v>
      </c>
      <c r="T31" s="14" t="s">
        <v>104</v>
      </c>
      <c r="U31" s="14" t="s">
        <v>117</v>
      </c>
    </row>
    <row r="32" spans="1:21" x14ac:dyDescent="0.25">
      <c r="F32" s="14">
        <v>28</v>
      </c>
      <c r="G32" s="14">
        <v>4</v>
      </c>
      <c r="H32" s="14">
        <v>5</v>
      </c>
      <c r="I32" s="20">
        <f t="shared" si="0"/>
        <v>50</v>
      </c>
      <c r="J32" s="20">
        <f t="shared" si="1"/>
        <v>66.666666666666657</v>
      </c>
      <c r="K32" s="22">
        <f t="shared" si="2"/>
        <v>200413.3658080615</v>
      </c>
      <c r="L32" s="22">
        <f t="shared" si="3"/>
        <v>884816.78488240438</v>
      </c>
      <c r="M32" s="22">
        <f t="shared" si="6"/>
        <v>213491.76784576167</v>
      </c>
      <c r="N32" s="22">
        <f t="shared" si="7"/>
        <v>904030.11611051077</v>
      </c>
      <c r="O32" s="14" t="str">
        <f t="shared" si="8"/>
        <v>200413.365808061</v>
      </c>
      <c r="P32" s="14" t="str">
        <f t="shared" si="9"/>
        <v>884816.784882404</v>
      </c>
      <c r="Q32" s="14" t="str">
        <f t="shared" si="10"/>
        <v>213491.767845762</v>
      </c>
      <c r="R32" s="14" t="str">
        <f t="shared" si="11"/>
        <v>904030.116110511</v>
      </c>
      <c r="S32" s="14" t="str">
        <f t="shared" si="12"/>
        <v>200413.365808061,884816.784882404,213491.767845762,904030.116110511</v>
      </c>
      <c r="T32" s="14" t="s">
        <v>105</v>
      </c>
      <c r="U32" s="14" t="s">
        <v>117</v>
      </c>
    </row>
    <row r="33" spans="6:21" x14ac:dyDescent="0.25">
      <c r="F33" s="14">
        <v>29</v>
      </c>
      <c r="G33" s="14">
        <v>5</v>
      </c>
      <c r="H33" s="14">
        <v>5</v>
      </c>
      <c r="I33" s="20">
        <f t="shared" si="0"/>
        <v>66.666666666666657</v>
      </c>
      <c r="J33" s="20">
        <f t="shared" si="1"/>
        <v>66.666666666666657</v>
      </c>
      <c r="K33" s="22">
        <f t="shared" si="2"/>
        <v>213491.76784576164</v>
      </c>
      <c r="L33" s="22">
        <f t="shared" si="3"/>
        <v>884816.78488240438</v>
      </c>
      <c r="M33" s="22">
        <f t="shared" si="6"/>
        <v>226570.16988346181</v>
      </c>
      <c r="N33" s="22">
        <f t="shared" si="7"/>
        <v>904030.11611051077</v>
      </c>
      <c r="O33" s="14" t="str">
        <f t="shared" si="8"/>
        <v>213491.767845762</v>
      </c>
      <c r="P33" s="14" t="str">
        <f t="shared" si="9"/>
        <v>884816.784882404</v>
      </c>
      <c r="Q33" s="14" t="str">
        <f t="shared" si="10"/>
        <v>226570.169883462</v>
      </c>
      <c r="R33" s="14" t="str">
        <f t="shared" si="11"/>
        <v>904030.116110511</v>
      </c>
      <c r="S33" s="14" t="str">
        <f t="shared" si="12"/>
        <v>213491.767845762,884816.784882404,226570.169883462,904030.116110511</v>
      </c>
      <c r="T33" s="14" t="s">
        <v>106</v>
      </c>
      <c r="U33" s="14" t="s">
        <v>117</v>
      </c>
    </row>
    <row r="34" spans="6:21" x14ac:dyDescent="0.25">
      <c r="F34" s="14">
        <v>30</v>
      </c>
      <c r="G34" s="14">
        <v>6</v>
      </c>
      <c r="H34" s="14">
        <v>5</v>
      </c>
      <c r="I34" s="20">
        <f t="shared" si="0"/>
        <v>83.333333333333343</v>
      </c>
      <c r="J34" s="20">
        <f t="shared" si="1"/>
        <v>66.666666666666657</v>
      </c>
      <c r="K34" s="22">
        <f t="shared" si="2"/>
        <v>226570.16988346184</v>
      </c>
      <c r="L34" s="22">
        <f t="shared" si="3"/>
        <v>884816.78488240438</v>
      </c>
      <c r="M34" s="22">
        <f t="shared" si="6"/>
        <v>239648.57192116202</v>
      </c>
      <c r="N34" s="22">
        <f t="shared" si="7"/>
        <v>904030.11611051077</v>
      </c>
      <c r="O34" s="14" t="str">
        <f t="shared" si="8"/>
        <v>226570.169883462</v>
      </c>
      <c r="P34" s="14" t="str">
        <f t="shared" si="9"/>
        <v>884816.784882404</v>
      </c>
      <c r="Q34" s="14" t="str">
        <f t="shared" si="10"/>
        <v>239648.571921162</v>
      </c>
      <c r="R34" s="14" t="str">
        <f t="shared" si="11"/>
        <v>904030.116110511</v>
      </c>
      <c r="S34" s="14" t="str">
        <f t="shared" si="12"/>
        <v>226570.169883462,884816.784882404,239648.571921162,904030.116110511</v>
      </c>
      <c r="T34" s="14" t="s">
        <v>107</v>
      </c>
      <c r="U34" s="14" t="s">
        <v>117</v>
      </c>
    </row>
    <row r="35" spans="6:21" x14ac:dyDescent="0.25">
      <c r="F35" s="14">
        <v>31</v>
      </c>
      <c r="G35" s="14">
        <v>1</v>
      </c>
      <c r="H35" s="14">
        <v>6</v>
      </c>
      <c r="I35" s="20">
        <f t="shared" si="0"/>
        <v>0</v>
      </c>
      <c r="J35" s="20">
        <f t="shared" si="1"/>
        <v>83.333333333333343</v>
      </c>
      <c r="K35" s="22">
        <f t="shared" si="2"/>
        <v>161178.15969496101</v>
      </c>
      <c r="L35" s="22">
        <f t="shared" si="3"/>
        <v>904030.11611051077</v>
      </c>
      <c r="M35" s="22">
        <f t="shared" si="6"/>
        <v>174256.56173266118</v>
      </c>
      <c r="N35" s="22">
        <f t="shared" si="7"/>
        <v>923243.44733861717</v>
      </c>
      <c r="O35" s="14" t="str">
        <f t="shared" ref="O35:O40" si="13">SUBSTITUTE(K35,",",".")</f>
        <v>161178.159694961</v>
      </c>
      <c r="P35" s="14" t="str">
        <f t="shared" ref="P35:P40" si="14">SUBSTITUTE(L35,",",".")</f>
        <v>904030.116110511</v>
      </c>
      <c r="Q35" s="14" t="str">
        <f t="shared" ref="Q35:Q40" si="15">SUBSTITUTE(M35,",",".")</f>
        <v>174256.561732661</v>
      </c>
      <c r="R35" s="14" t="str">
        <f t="shared" ref="R35:R40" si="16">SUBSTITUTE(N35,",",".")</f>
        <v>923243.447338617</v>
      </c>
      <c r="S35" s="14" t="str">
        <f t="shared" ref="S35:S40" si="17">O35&amp;","&amp;P35&amp;","&amp;Q35&amp;","&amp;R35</f>
        <v>161178.159694961,904030.116110511,174256.561732661,923243.447338617</v>
      </c>
      <c r="T35" s="14" t="s">
        <v>108</v>
      </c>
      <c r="U35" s="14" t="s">
        <v>117</v>
      </c>
    </row>
    <row r="36" spans="6:21" x14ac:dyDescent="0.25">
      <c r="F36" s="14">
        <v>32</v>
      </c>
      <c r="G36" s="14">
        <v>2</v>
      </c>
      <c r="H36" s="14">
        <v>6</v>
      </c>
      <c r="I36" s="20">
        <f t="shared" si="0"/>
        <v>16.666666666666664</v>
      </c>
      <c r="J36" s="20">
        <f t="shared" si="1"/>
        <v>83.333333333333343</v>
      </c>
      <c r="K36" s="22">
        <f t="shared" si="2"/>
        <v>174256.56173266118</v>
      </c>
      <c r="L36" s="22">
        <f t="shared" si="3"/>
        <v>904030.11611051077</v>
      </c>
      <c r="M36" s="22">
        <f t="shared" si="6"/>
        <v>187334.96377036136</v>
      </c>
      <c r="N36" s="22">
        <f t="shared" si="7"/>
        <v>923243.44733861717</v>
      </c>
      <c r="O36" s="14" t="str">
        <f t="shared" si="13"/>
        <v>174256.561732661</v>
      </c>
      <c r="P36" s="14" t="str">
        <f t="shared" si="14"/>
        <v>904030.116110511</v>
      </c>
      <c r="Q36" s="14" t="str">
        <f t="shared" si="15"/>
        <v>187334.963770361</v>
      </c>
      <c r="R36" s="14" t="str">
        <f t="shared" si="16"/>
        <v>923243.447338617</v>
      </c>
      <c r="S36" s="14" t="str">
        <f t="shared" si="17"/>
        <v>174256.561732661,904030.116110511,187334.963770361,923243.447338617</v>
      </c>
      <c r="T36" s="14" t="s">
        <v>109</v>
      </c>
      <c r="U36" s="14" t="s">
        <v>117</v>
      </c>
    </row>
    <row r="37" spans="6:21" x14ac:dyDescent="0.25">
      <c r="F37" s="14">
        <v>33</v>
      </c>
      <c r="G37" s="14">
        <v>3</v>
      </c>
      <c r="H37" s="14">
        <v>6</v>
      </c>
      <c r="I37" s="20">
        <f t="shared" si="0"/>
        <v>33.333333333333329</v>
      </c>
      <c r="J37" s="20">
        <f t="shared" si="1"/>
        <v>83.333333333333343</v>
      </c>
      <c r="K37" s="22">
        <f t="shared" si="2"/>
        <v>187334.96377036133</v>
      </c>
      <c r="L37" s="22">
        <f t="shared" si="3"/>
        <v>904030.11611051077</v>
      </c>
      <c r="M37" s="22">
        <f t="shared" si="6"/>
        <v>200413.3658080615</v>
      </c>
      <c r="N37" s="22">
        <f t="shared" si="7"/>
        <v>923243.44733861717</v>
      </c>
      <c r="O37" s="14" t="str">
        <f t="shared" si="13"/>
        <v>187334.963770361</v>
      </c>
      <c r="P37" s="14" t="str">
        <f t="shared" si="14"/>
        <v>904030.116110511</v>
      </c>
      <c r="Q37" s="14" t="str">
        <f t="shared" si="15"/>
        <v>200413.365808061</v>
      </c>
      <c r="R37" s="14" t="str">
        <f t="shared" si="16"/>
        <v>923243.447338617</v>
      </c>
      <c r="S37" s="14" t="str">
        <f t="shared" si="17"/>
        <v>187334.963770361,904030.116110511,200413.365808061,923243.447338617</v>
      </c>
      <c r="T37" s="14" t="s">
        <v>110</v>
      </c>
      <c r="U37" s="14" t="s">
        <v>117</v>
      </c>
    </row>
    <row r="38" spans="6:21" x14ac:dyDescent="0.25">
      <c r="F38" s="14">
        <v>34</v>
      </c>
      <c r="G38" s="14">
        <v>4</v>
      </c>
      <c r="H38" s="14">
        <v>6</v>
      </c>
      <c r="I38" s="20">
        <f t="shared" si="0"/>
        <v>50</v>
      </c>
      <c r="J38" s="20">
        <f t="shared" si="1"/>
        <v>83.333333333333343</v>
      </c>
      <c r="K38" s="22">
        <f t="shared" si="2"/>
        <v>200413.3658080615</v>
      </c>
      <c r="L38" s="22">
        <f t="shared" si="3"/>
        <v>904030.11611051077</v>
      </c>
      <c r="M38" s="22">
        <f t="shared" si="6"/>
        <v>213491.76784576167</v>
      </c>
      <c r="N38" s="22">
        <f t="shared" si="7"/>
        <v>923243.44733861717</v>
      </c>
      <c r="O38" s="14" t="str">
        <f t="shared" si="13"/>
        <v>200413.365808061</v>
      </c>
      <c r="P38" s="14" t="str">
        <f t="shared" si="14"/>
        <v>904030.116110511</v>
      </c>
      <c r="Q38" s="14" t="str">
        <f t="shared" si="15"/>
        <v>213491.767845762</v>
      </c>
      <c r="R38" s="14" t="str">
        <f t="shared" si="16"/>
        <v>923243.447338617</v>
      </c>
      <c r="S38" s="14" t="str">
        <f t="shared" si="17"/>
        <v>200413.365808061,904030.116110511,213491.767845762,923243.447338617</v>
      </c>
      <c r="T38" s="14" t="s">
        <v>111</v>
      </c>
      <c r="U38" s="14" t="s">
        <v>117</v>
      </c>
    </row>
    <row r="39" spans="6:21" x14ac:dyDescent="0.25">
      <c r="F39" s="14">
        <v>35</v>
      </c>
      <c r="G39" s="14">
        <v>5</v>
      </c>
      <c r="H39" s="14">
        <v>6</v>
      </c>
      <c r="I39" s="20">
        <f t="shared" si="0"/>
        <v>66.666666666666657</v>
      </c>
      <c r="J39" s="20">
        <f t="shared" si="1"/>
        <v>83.333333333333343</v>
      </c>
      <c r="K39" s="22">
        <f t="shared" si="2"/>
        <v>213491.76784576164</v>
      </c>
      <c r="L39" s="22">
        <f t="shared" si="3"/>
        <v>904030.11611051077</v>
      </c>
      <c r="M39" s="22">
        <f t="shared" si="6"/>
        <v>226570.16988346181</v>
      </c>
      <c r="N39" s="22">
        <f t="shared" si="7"/>
        <v>923243.44733861717</v>
      </c>
      <c r="O39" s="14" t="str">
        <f t="shared" si="13"/>
        <v>213491.767845762</v>
      </c>
      <c r="P39" s="14" t="str">
        <f t="shared" si="14"/>
        <v>904030.116110511</v>
      </c>
      <c r="Q39" s="14" t="str">
        <f t="shared" si="15"/>
        <v>226570.169883462</v>
      </c>
      <c r="R39" s="14" t="str">
        <f t="shared" si="16"/>
        <v>923243.447338617</v>
      </c>
      <c r="S39" s="14" t="str">
        <f t="shared" si="17"/>
        <v>213491.767845762,904030.116110511,226570.169883462,923243.447338617</v>
      </c>
      <c r="T39" s="14" t="s">
        <v>112</v>
      </c>
      <c r="U39" s="14" t="s">
        <v>117</v>
      </c>
    </row>
    <row r="40" spans="6:21" x14ac:dyDescent="0.25">
      <c r="F40" s="14">
        <v>36</v>
      </c>
      <c r="G40" s="14">
        <v>6</v>
      </c>
      <c r="H40" s="14">
        <v>6</v>
      </c>
      <c r="I40" s="20">
        <f t="shared" si="0"/>
        <v>83.333333333333343</v>
      </c>
      <c r="J40" s="20">
        <f t="shared" si="1"/>
        <v>83.333333333333343</v>
      </c>
      <c r="K40" s="22">
        <f t="shared" si="2"/>
        <v>226570.16988346184</v>
      </c>
      <c r="L40" s="22">
        <f t="shared" si="3"/>
        <v>904030.11611051077</v>
      </c>
      <c r="M40" s="22">
        <f t="shared" si="6"/>
        <v>239648.57192116202</v>
      </c>
      <c r="N40" s="22">
        <f t="shared" si="7"/>
        <v>923243.44733861717</v>
      </c>
      <c r="O40" s="14" t="str">
        <f t="shared" si="13"/>
        <v>226570.169883462</v>
      </c>
      <c r="P40" s="14" t="str">
        <f t="shared" si="14"/>
        <v>904030.116110511</v>
      </c>
      <c r="Q40" s="14" t="str">
        <f t="shared" si="15"/>
        <v>239648.571921162</v>
      </c>
      <c r="R40" s="14" t="str">
        <f t="shared" si="16"/>
        <v>923243.447338617</v>
      </c>
      <c r="S40" s="14" t="str">
        <f t="shared" si="17"/>
        <v>226570.169883462,904030.116110511,239648.571921162,923243.447338617</v>
      </c>
      <c r="T40" s="14" t="s">
        <v>113</v>
      </c>
    </row>
  </sheetData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B4493-C541-4424-B283-979F03C4380C}">
  <dimension ref="B2:M43"/>
  <sheetViews>
    <sheetView tabSelected="1" topLeftCell="A10" workbookViewId="0">
      <selection activeCell="F41" sqref="F41"/>
    </sheetView>
  </sheetViews>
  <sheetFormatPr defaultRowHeight="15" x14ac:dyDescent="0.25"/>
  <cols>
    <col min="2" max="2" width="7.140625" bestFit="1" customWidth="1"/>
    <col min="3" max="3" width="24.42578125" bestFit="1" customWidth="1"/>
    <col min="4" max="4" width="7.5703125" bestFit="1" customWidth="1"/>
    <col min="5" max="5" width="7.42578125" bestFit="1" customWidth="1"/>
    <col min="7" max="7" width="11.85546875" bestFit="1" customWidth="1"/>
    <col min="8" max="8" width="7.7109375" bestFit="1" customWidth="1"/>
    <col min="9" max="10" width="12.7109375" style="14" bestFit="1" customWidth="1"/>
    <col min="11" max="11" width="8" style="14" bestFit="1" customWidth="1"/>
    <col min="12" max="13" width="12" style="14" bestFit="1" customWidth="1"/>
  </cols>
  <sheetData>
    <row r="2" spans="2:13" x14ac:dyDescent="0.25">
      <c r="C2" t="s">
        <v>28</v>
      </c>
      <c r="D2">
        <v>1</v>
      </c>
      <c r="E2" s="9" t="s">
        <v>29</v>
      </c>
      <c r="G2" s="10" t="s">
        <v>31</v>
      </c>
    </row>
    <row r="3" spans="2:13" x14ac:dyDescent="0.25">
      <c r="D3" s="11">
        <f>D2/360*2*PI()</f>
        <v>1.7453292519943295E-2</v>
      </c>
      <c r="E3" t="s">
        <v>30</v>
      </c>
      <c r="G3" s="10" t="s">
        <v>32</v>
      </c>
    </row>
    <row r="4" spans="2:13" x14ac:dyDescent="0.25">
      <c r="C4" t="s">
        <v>34</v>
      </c>
      <c r="D4">
        <f>360/D2</f>
        <v>360</v>
      </c>
    </row>
    <row r="5" spans="2:13" x14ac:dyDescent="0.25">
      <c r="G5" s="14"/>
      <c r="H5" s="14" t="s">
        <v>42</v>
      </c>
      <c r="I5" s="14" t="s">
        <v>62</v>
      </c>
      <c r="J5" s="14" t="s">
        <v>40</v>
      </c>
      <c r="K5" s="14" t="s">
        <v>46</v>
      </c>
      <c r="L5" s="14" t="s">
        <v>47</v>
      </c>
      <c r="M5" s="14" t="s">
        <v>50</v>
      </c>
    </row>
    <row r="6" spans="2:13" x14ac:dyDescent="0.25">
      <c r="C6" t="s">
        <v>51</v>
      </c>
      <c r="D6">
        <v>5</v>
      </c>
      <c r="E6" t="s">
        <v>36</v>
      </c>
      <c r="G6" s="15" t="str">
        <f>B9</f>
        <v>Layer 1</v>
      </c>
      <c r="H6" s="17">
        <f>D9</f>
        <v>2</v>
      </c>
      <c r="I6" s="14" t="s">
        <v>64</v>
      </c>
      <c r="J6" s="14" t="s">
        <v>41</v>
      </c>
      <c r="K6" s="18">
        <f>D11</f>
        <v>126.05071492878112</v>
      </c>
      <c r="L6" s="14">
        <f>D13</f>
        <v>3364</v>
      </c>
      <c r="M6" s="14">
        <f>SUM($L$6:L6)</f>
        <v>3364</v>
      </c>
    </row>
    <row r="7" spans="2:13" x14ac:dyDescent="0.25">
      <c r="C7" t="s">
        <v>35</v>
      </c>
      <c r="D7">
        <v>1.1000000000000001</v>
      </c>
      <c r="E7" t="s">
        <v>36</v>
      </c>
      <c r="G7" s="15" t="str">
        <f>B15</f>
        <v>Layer 2</v>
      </c>
      <c r="H7" s="17">
        <f>D15</f>
        <v>2</v>
      </c>
      <c r="I7" s="14" t="s">
        <v>64</v>
      </c>
      <c r="J7" s="14" t="s">
        <v>45</v>
      </c>
      <c r="K7" s="18">
        <f>D18</f>
        <v>315.1267873219528</v>
      </c>
      <c r="L7" s="14">
        <f>D20</f>
        <v>20736</v>
      </c>
      <c r="M7" s="14">
        <f>SUM($L$6:L7)</f>
        <v>24100</v>
      </c>
    </row>
    <row r="8" spans="2:13" x14ac:dyDescent="0.25">
      <c r="G8" s="15" t="str">
        <f>B22</f>
        <v>Layer 3</v>
      </c>
      <c r="H8" s="17">
        <f>D22</f>
        <v>5</v>
      </c>
      <c r="I8" s="14" t="s">
        <v>63</v>
      </c>
      <c r="J8" s="14" t="s">
        <v>45</v>
      </c>
      <c r="K8" s="18">
        <f>D25</f>
        <v>1575.6339366097641</v>
      </c>
      <c r="L8" s="14">
        <f>D27</f>
        <v>82369</v>
      </c>
      <c r="M8" s="14">
        <f>SUM($L$6:L8)</f>
        <v>106469</v>
      </c>
    </row>
    <row r="9" spans="2:13" x14ac:dyDescent="0.25">
      <c r="B9" s="13" t="s">
        <v>33</v>
      </c>
      <c r="C9" t="s">
        <v>27</v>
      </c>
      <c r="D9">
        <v>2</v>
      </c>
      <c r="E9" t="s">
        <v>10</v>
      </c>
      <c r="G9" s="15" t="str">
        <f>B29</f>
        <v>Layer 4</v>
      </c>
      <c r="H9" s="17">
        <f>D29</f>
        <v>25</v>
      </c>
      <c r="I9" s="14" t="s">
        <v>63</v>
      </c>
      <c r="J9" s="14" t="s">
        <v>45</v>
      </c>
      <c r="K9" s="18">
        <f>D32</f>
        <v>7878.1696830488199</v>
      </c>
      <c r="L9" s="14">
        <f>D34</f>
        <v>82369</v>
      </c>
      <c r="M9" s="14">
        <f>SUM($L$6:L9)</f>
        <v>188838</v>
      </c>
    </row>
    <row r="10" spans="2:13" x14ac:dyDescent="0.25">
      <c r="C10" t="s">
        <v>39</v>
      </c>
      <c r="D10" s="12">
        <f>D9/$D$3</f>
        <v>114.59155902616465</v>
      </c>
      <c r="E10" t="s">
        <v>8</v>
      </c>
      <c r="G10" s="16" t="s">
        <v>50</v>
      </c>
      <c r="H10" s="14"/>
      <c r="L10"/>
    </row>
    <row r="11" spans="2:13" x14ac:dyDescent="0.25">
      <c r="C11" t="s">
        <v>49</v>
      </c>
      <c r="D11" s="12">
        <f>D10*$D$7</f>
        <v>126.05071492878112</v>
      </c>
      <c r="E11" t="s">
        <v>8</v>
      </c>
      <c r="G11" s="14"/>
      <c r="H11" s="14"/>
      <c r="L11"/>
    </row>
    <row r="12" spans="2:13" x14ac:dyDescent="0.25">
      <c r="C12" t="s">
        <v>34</v>
      </c>
      <c r="D12">
        <f>ROUNDUP(D10/D9,0)</f>
        <v>58</v>
      </c>
      <c r="E12" t="s">
        <v>9</v>
      </c>
      <c r="G12" s="14"/>
      <c r="H12" s="14"/>
      <c r="L12"/>
    </row>
    <row r="13" spans="2:13" x14ac:dyDescent="0.25">
      <c r="C13" t="s">
        <v>34</v>
      </c>
      <c r="D13">
        <f>D12^2</f>
        <v>3364</v>
      </c>
      <c r="E13" t="s">
        <v>37</v>
      </c>
    </row>
    <row r="15" spans="2:13" x14ac:dyDescent="0.25">
      <c r="B15" s="13" t="s">
        <v>38</v>
      </c>
      <c r="C15" t="s">
        <v>27</v>
      </c>
      <c r="D15">
        <f>D9</f>
        <v>2</v>
      </c>
      <c r="E15" t="s">
        <v>10</v>
      </c>
    </row>
    <row r="16" spans="2:13" x14ac:dyDescent="0.25">
      <c r="C16" t="s">
        <v>48</v>
      </c>
      <c r="D16">
        <v>5</v>
      </c>
      <c r="E16" t="s">
        <v>10</v>
      </c>
      <c r="G16" t="s">
        <v>60</v>
      </c>
    </row>
    <row r="17" spans="2:13" x14ac:dyDescent="0.25">
      <c r="C17" t="s">
        <v>39</v>
      </c>
      <c r="D17" s="12">
        <f>D16/$D$3</f>
        <v>286.47889756541161</v>
      </c>
      <c r="E17" t="s">
        <v>8</v>
      </c>
      <c r="G17" s="14"/>
      <c r="H17" s="14" t="s">
        <v>42</v>
      </c>
      <c r="I17" s="14" t="s">
        <v>62</v>
      </c>
      <c r="J17" s="14" t="s">
        <v>40</v>
      </c>
      <c r="K17" s="14" t="s">
        <v>46</v>
      </c>
      <c r="L17" s="14" t="s">
        <v>47</v>
      </c>
      <c r="M17" s="14" t="s">
        <v>50</v>
      </c>
    </row>
    <row r="18" spans="2:13" x14ac:dyDescent="0.25">
      <c r="C18" t="s">
        <v>49</v>
      </c>
      <c r="D18" s="12">
        <f>D17*$D$7</f>
        <v>315.1267873219528</v>
      </c>
      <c r="E18" t="s">
        <v>8</v>
      </c>
      <c r="G18" s="15" t="s">
        <v>33</v>
      </c>
      <c r="H18" s="17">
        <v>5</v>
      </c>
      <c r="I18" s="14" t="s">
        <v>63</v>
      </c>
      <c r="J18" s="14" t="s">
        <v>41</v>
      </c>
      <c r="K18" s="18" t="s">
        <v>61</v>
      </c>
      <c r="L18" s="14">
        <f>D25</f>
        <v>1575.6339366097641</v>
      </c>
      <c r="M18" s="14">
        <f>SUM($K$6:K18)</f>
        <v>9894.9811219093172</v>
      </c>
    </row>
    <row r="19" spans="2:13" x14ac:dyDescent="0.25">
      <c r="C19" t="s">
        <v>34</v>
      </c>
      <c r="D19">
        <f>ROUNDUP(D17/D15,0)</f>
        <v>144</v>
      </c>
      <c r="E19" t="s">
        <v>9</v>
      </c>
      <c r="G19" s="15" t="s">
        <v>38</v>
      </c>
      <c r="H19" s="17">
        <v>5</v>
      </c>
      <c r="I19" s="14" t="s">
        <v>63</v>
      </c>
      <c r="J19" s="14" t="s">
        <v>45</v>
      </c>
      <c r="K19" s="18" t="s">
        <v>65</v>
      </c>
      <c r="L19" s="14">
        <f>D32</f>
        <v>7878.1696830488199</v>
      </c>
      <c r="M19" s="14">
        <f>SUM($K$6:K19)</f>
        <v>9894.9811219093172</v>
      </c>
    </row>
    <row r="20" spans="2:13" x14ac:dyDescent="0.25">
      <c r="C20" t="s">
        <v>34</v>
      </c>
      <c r="D20">
        <f>D19^2</f>
        <v>20736</v>
      </c>
      <c r="E20" t="s">
        <v>37</v>
      </c>
      <c r="G20" s="15" t="s">
        <v>43</v>
      </c>
      <c r="H20" s="17">
        <v>25</v>
      </c>
      <c r="I20" s="14" t="s">
        <v>63</v>
      </c>
      <c r="J20" s="14" t="s">
        <v>45</v>
      </c>
      <c r="K20" s="18" t="s">
        <v>66</v>
      </c>
      <c r="M20" s="14">
        <f>SUM($K$6:K20)</f>
        <v>9894.9811219093172</v>
      </c>
    </row>
    <row r="21" spans="2:13" x14ac:dyDescent="0.25">
      <c r="G21" s="15"/>
      <c r="H21" s="17"/>
      <c r="J21" s="18"/>
    </row>
    <row r="22" spans="2:13" x14ac:dyDescent="0.25">
      <c r="B22" s="13" t="s">
        <v>43</v>
      </c>
      <c r="C22" t="s">
        <v>27</v>
      </c>
      <c r="D22">
        <f>D16</f>
        <v>5</v>
      </c>
      <c r="E22" t="s">
        <v>10</v>
      </c>
      <c r="G22" s="16"/>
      <c r="H22" s="14"/>
      <c r="L22"/>
    </row>
    <row r="23" spans="2:13" x14ac:dyDescent="0.25">
      <c r="C23" t="s">
        <v>48</v>
      </c>
      <c r="D23">
        <f>D22*$D$6</f>
        <v>25</v>
      </c>
      <c r="E23" t="s">
        <v>10</v>
      </c>
    </row>
    <row r="24" spans="2:13" x14ac:dyDescent="0.25">
      <c r="C24" t="s">
        <v>39</v>
      </c>
      <c r="D24" s="12">
        <f>D23/$D$3</f>
        <v>1432.3944878270581</v>
      </c>
      <c r="E24" t="s">
        <v>8</v>
      </c>
    </row>
    <row r="25" spans="2:13" x14ac:dyDescent="0.25">
      <c r="C25" t="s">
        <v>49</v>
      </c>
      <c r="D25" s="12">
        <f>D24*$D$7</f>
        <v>1575.6339366097641</v>
      </c>
      <c r="E25" t="s">
        <v>8</v>
      </c>
    </row>
    <row r="26" spans="2:13" x14ac:dyDescent="0.25">
      <c r="C26" t="s">
        <v>34</v>
      </c>
      <c r="D26">
        <f>ROUNDUP(D24/D22,0)</f>
        <v>287</v>
      </c>
      <c r="E26" t="s">
        <v>9</v>
      </c>
    </row>
    <row r="27" spans="2:13" x14ac:dyDescent="0.25">
      <c r="C27" t="s">
        <v>34</v>
      </c>
      <c r="D27">
        <f>D26^2</f>
        <v>82369</v>
      </c>
      <c r="E27" t="s">
        <v>37</v>
      </c>
    </row>
    <row r="29" spans="2:13" x14ac:dyDescent="0.25">
      <c r="B29" s="13" t="s">
        <v>44</v>
      </c>
      <c r="C29" t="s">
        <v>27</v>
      </c>
      <c r="D29">
        <f>D23</f>
        <v>25</v>
      </c>
      <c r="E29" t="s">
        <v>10</v>
      </c>
    </row>
    <row r="30" spans="2:13" x14ac:dyDescent="0.25">
      <c r="C30" t="s">
        <v>48</v>
      </c>
      <c r="D30">
        <f>D29*$D$6</f>
        <v>125</v>
      </c>
      <c r="E30" t="s">
        <v>10</v>
      </c>
    </row>
    <row r="31" spans="2:13" x14ac:dyDescent="0.25">
      <c r="C31" t="s">
        <v>39</v>
      </c>
      <c r="D31" s="12">
        <f>D30/$D$3</f>
        <v>7161.9724391352902</v>
      </c>
      <c r="E31" t="s">
        <v>8</v>
      </c>
    </row>
    <row r="32" spans="2:13" x14ac:dyDescent="0.25">
      <c r="C32" t="s">
        <v>49</v>
      </c>
      <c r="D32" s="12">
        <f>D31*$D$7</f>
        <v>7878.1696830488199</v>
      </c>
      <c r="E32" t="s">
        <v>8</v>
      </c>
    </row>
    <row r="33" spans="3:5" x14ac:dyDescent="0.25">
      <c r="C33" t="s">
        <v>34</v>
      </c>
      <c r="D33">
        <f>ROUNDUP(D31/D29,0)</f>
        <v>287</v>
      </c>
      <c r="E33" t="s">
        <v>9</v>
      </c>
    </row>
    <row r="34" spans="3:5" x14ac:dyDescent="0.25">
      <c r="C34" t="s">
        <v>34</v>
      </c>
      <c r="D34">
        <f>D33^2</f>
        <v>82369</v>
      </c>
      <c r="E34" t="s">
        <v>37</v>
      </c>
    </row>
    <row r="37" spans="3:5" x14ac:dyDescent="0.25">
      <c r="C37" t="s">
        <v>27</v>
      </c>
      <c r="D37">
        <v>25</v>
      </c>
      <c r="E37" t="s">
        <v>10</v>
      </c>
    </row>
    <row r="38" spans="3:5" x14ac:dyDescent="0.25">
      <c r="C38" t="s">
        <v>120</v>
      </c>
      <c r="D38">
        <v>1.4141999999999999</v>
      </c>
      <c r="E38" t="s">
        <v>36</v>
      </c>
    </row>
    <row r="39" spans="3:5" x14ac:dyDescent="0.25">
      <c r="C39" t="s">
        <v>123</v>
      </c>
      <c r="D39">
        <f>D37*3</f>
        <v>75</v>
      </c>
      <c r="E39" t="s">
        <v>8</v>
      </c>
    </row>
    <row r="40" spans="3:5" x14ac:dyDescent="0.25">
      <c r="C40" t="s">
        <v>124</v>
      </c>
      <c r="D40">
        <f>ATAN(D37/D39)</f>
        <v>0.32175055439664219</v>
      </c>
      <c r="E40" t="s">
        <v>121</v>
      </c>
    </row>
    <row r="41" spans="3:5" x14ac:dyDescent="0.25">
      <c r="D41">
        <f>D40 / ( 2 * PI() ) * 360</f>
        <v>18.43494882292201</v>
      </c>
      <c r="E41" s="9" t="s">
        <v>29</v>
      </c>
    </row>
    <row r="42" spans="3:5" x14ac:dyDescent="0.25">
      <c r="C42" t="s">
        <v>122</v>
      </c>
      <c r="D42">
        <f>D38*D37/D39</f>
        <v>0.47139999999999999</v>
      </c>
      <c r="E42" t="s">
        <v>121</v>
      </c>
    </row>
    <row r="43" spans="3:5" x14ac:dyDescent="0.25">
      <c r="D43">
        <f>D42 / ( 2 * PI() ) * 360</f>
        <v>27.009230462467009</v>
      </c>
      <c r="E43" s="9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7</vt:i4>
      </vt:variant>
    </vt:vector>
  </HeadingPairs>
  <TitlesOfParts>
    <vt:vector size="11" baseType="lpstr">
      <vt:lpstr>REST Data</vt:lpstr>
      <vt:lpstr>REST Export</vt:lpstr>
      <vt:lpstr>REST Export Multiple</vt:lpstr>
      <vt:lpstr>Resolution safety</vt:lpstr>
      <vt:lpstr>h</vt:lpstr>
      <vt:lpstr>w</vt:lpstr>
      <vt:lpstr>xh</vt:lpstr>
      <vt:lpstr>xmax</vt:lpstr>
      <vt:lpstr>xmin</vt:lpstr>
      <vt:lpstr>ymax</vt:lpstr>
      <vt:lpstr>ymin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Ólavur Nón</dc:creator>
  <cp:lastModifiedBy>Ólavur Nón</cp:lastModifiedBy>
  <dcterms:created xsi:type="dcterms:W3CDTF">2023-03-28T18:31:43Z</dcterms:created>
  <dcterms:modified xsi:type="dcterms:W3CDTF">2023-04-01T21:17:48Z</dcterms:modified>
</cp:coreProperties>
</file>