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mayma.hassar\Desktop\economic\"/>
    </mc:Choice>
  </mc:AlternateContent>
  <xr:revisionPtr revIDLastSave="0" documentId="13_ncr:1_{C82A389A-5C1A-4D63-8340-BF9813299C35}" xr6:coauthVersionLast="47" xr6:coauthVersionMax="47" xr10:uidLastSave="{00000000-0000-0000-0000-000000000000}"/>
  <bookViews>
    <workbookView xWindow="-110" yWindow="-110" windowWidth="19420" windowHeight="11500" activeTab="2" xr2:uid="{48CA39C8-83C4-4E15-A3E2-00D3FCB18268}"/>
  </bookViews>
  <sheets>
    <sheet name="Inputs" sheetId="1" r:id="rId1"/>
    <sheet name="OPEX_Details" sheetId="3" r:id="rId2"/>
    <sheet name="LCOH_Engine" sheetId="2" r:id="rId3"/>
    <sheet name="Final LCOH" sheetId="4" r:id="rId4"/>
    <sheet name="Sensibility" sheetId="5" r:id="rId5"/>
    <sheet name="Dashboard" sheetId="6" r:id="rId6"/>
    <sheet name="Foglio7" sheetId="7" r:id="rId7"/>
  </sheets>
  <definedNames>
    <definedName name="Adjusted_CAPEX">Inputs!$B$4</definedName>
    <definedName name="Annual_H2_Production_kg">Inputs!$B$9</definedName>
    <definedName name="Base_BESS_Capacity_MWh">Inputs!$B$14</definedName>
    <definedName name="Base_Electrolyzer_Consumption_kWh_kg">Inputs!$B$12</definedName>
    <definedName name="BESS_Degradation_Rate">Inputs!$B$15</definedName>
    <definedName name="BESS_Usable_Capacity_Percent">Inputs!$B$30</definedName>
    <definedName name="Consumables_Annual">Inputs!$B$22</definedName>
    <definedName name="Decommissioning_Cost_Percent">Inputs!$B$16</definedName>
    <definedName name="Discount_Rate">Inputs!$B$5</definedName>
    <definedName name="Electrolyzer_Degradation_Rate">Inputs!$B$13</definedName>
    <definedName name="FCF_Year_0">LCOH_Engine!$U$2</definedName>
    <definedName name="Grid_Electricity_Price_MWh">Inputs!$B$24</definedName>
    <definedName name="Hydrogen_Sale_Price_EUR_kg">Inputs!$B$26</definedName>
    <definedName name="Inflation_Rate">Inputs!$B$6</definedName>
    <definedName name="Initial_PV_Production_MWh">Inputs!$B$10</definedName>
    <definedName name="Insurance_Percent">Inputs!$B$20</definedName>
    <definedName name="LCOH_EUR_kg">'Final LCOH'!$B$9</definedName>
    <definedName name="Maintenance_Percent">Inputs!$B$19</definedName>
    <definedName name="Personnel_Costs_Annual">Inputs!$B$21</definedName>
    <definedName name="PNRR_Grant">Inputs!$B$3</definedName>
    <definedName name="Project_Lifetime_years">Inputs!$B$7</definedName>
    <definedName name="PV_Degradation_Rate">Inputs!$B$11</definedName>
    <definedName name="Tax_Rate">Inputs!$B$27</definedName>
    <definedName name="Total_Initial_CAPEX">Inputs!$B$2</definedName>
    <definedName name="water_cost">Inputs!$B$31</definedName>
    <definedName name="Working_Capital_Percent">Inputs!$B$17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S12" i="2" s="1"/>
  <c r="B3" i="7"/>
  <c r="C7" i="5"/>
  <c r="C8" i="5"/>
  <c r="C9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B6" i="4"/>
  <c r="B7" i="4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3" i="3"/>
  <c r="F2" i="3"/>
  <c r="R28" i="2"/>
  <c r="D2" i="3"/>
  <c r="B4" i="4"/>
  <c r="R30" i="2" l="1"/>
  <c r="C6" i="5" s="1"/>
  <c r="B2" i="3"/>
  <c r="C2" i="3"/>
  <c r="E2" i="3"/>
  <c r="N3" i="2"/>
  <c r="K3" i="2"/>
  <c r="H3" i="2"/>
  <c r="E3" i="2"/>
  <c r="D3" i="2"/>
  <c r="C3" i="2"/>
  <c r="B3" i="2"/>
  <c r="B4" i="2"/>
  <c r="G2" i="3" l="1"/>
  <c r="F3" i="2"/>
  <c r="M3" i="2"/>
  <c r="F2" i="2"/>
  <c r="J3" i="2" l="1"/>
  <c r="S2" i="2"/>
  <c r="B32" i="1"/>
  <c r="B5" i="4"/>
  <c r="B30" i="1"/>
  <c r="G3" i="2" s="1"/>
  <c r="P27" i="2"/>
  <c r="K4" i="2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E4" i="2"/>
  <c r="E5" i="2"/>
  <c r="E6" i="2"/>
  <c r="M6" i="2" s="1"/>
  <c r="E7" i="2"/>
  <c r="E8" i="2"/>
  <c r="E9" i="2"/>
  <c r="M9" i="2" s="1"/>
  <c r="E10" i="2"/>
  <c r="M10" i="2" s="1"/>
  <c r="E11" i="2"/>
  <c r="M11" i="2" s="1"/>
  <c r="E12" i="2"/>
  <c r="M12" i="2" s="1"/>
  <c r="E13" i="2"/>
  <c r="M13" i="2" s="1"/>
  <c r="E14" i="2"/>
  <c r="M14" i="2" s="1"/>
  <c r="E15" i="2"/>
  <c r="M15" i="2" s="1"/>
  <c r="E16" i="2"/>
  <c r="M16" i="2" s="1"/>
  <c r="E17" i="2"/>
  <c r="E18" i="2"/>
  <c r="E19" i="2"/>
  <c r="E20" i="2"/>
  <c r="M20" i="2" s="1"/>
  <c r="E21" i="2"/>
  <c r="E2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K2" i="2"/>
  <c r="M2" i="2"/>
  <c r="D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B3" i="4" l="1"/>
  <c r="D4" i="3"/>
  <c r="G9" i="2"/>
  <c r="G15" i="2"/>
  <c r="G20" i="2"/>
  <c r="G18" i="2"/>
  <c r="G14" i="2"/>
  <c r="G10" i="2"/>
  <c r="G8" i="2"/>
  <c r="G21" i="2"/>
  <c r="G7" i="2"/>
  <c r="G12" i="2"/>
  <c r="F22" i="2"/>
  <c r="F8" i="2"/>
  <c r="G22" i="2"/>
  <c r="G6" i="2"/>
  <c r="G11" i="2"/>
  <c r="F21" i="2"/>
  <c r="F7" i="2"/>
  <c r="G13" i="2"/>
  <c r="G19" i="2"/>
  <c r="G16" i="2"/>
  <c r="G5" i="2"/>
  <c r="G4" i="2"/>
  <c r="G17" i="2"/>
  <c r="F4" i="2"/>
  <c r="G2" i="2"/>
  <c r="F19" i="2"/>
  <c r="F5" i="2"/>
  <c r="F18" i="2"/>
  <c r="F10" i="2"/>
  <c r="F9" i="2"/>
  <c r="F17" i="2"/>
  <c r="M5" i="2"/>
  <c r="M18" i="2"/>
  <c r="M4" i="2"/>
  <c r="M17" i="2"/>
  <c r="F6" i="2"/>
  <c r="M19" i="2"/>
  <c r="M22" i="2"/>
  <c r="M8" i="2"/>
  <c r="M21" i="2"/>
  <c r="M7" i="2"/>
  <c r="F12" i="2"/>
  <c r="F20" i="2"/>
  <c r="F11" i="2"/>
  <c r="F16" i="2"/>
  <c r="F15" i="2"/>
  <c r="F14" i="2"/>
  <c r="H14" i="2" s="1"/>
  <c r="F13" i="2"/>
  <c r="H13" i="2" s="1"/>
  <c r="D5" i="3" l="1"/>
  <c r="H9" i="2"/>
  <c r="H8" i="2"/>
  <c r="H22" i="2"/>
  <c r="H15" i="2"/>
  <c r="B3" i="3"/>
  <c r="G3" i="3" s="1"/>
  <c r="J4" i="2" s="1"/>
  <c r="H4" i="2"/>
  <c r="H20" i="2"/>
  <c r="H16" i="2"/>
  <c r="H10" i="2"/>
  <c r="H18" i="2"/>
  <c r="H21" i="2"/>
  <c r="H19" i="2"/>
  <c r="H17" i="2"/>
  <c r="H6" i="2"/>
  <c r="H7" i="2"/>
  <c r="H12" i="2"/>
  <c r="H11" i="2"/>
  <c r="H5" i="2"/>
  <c r="O2" i="2"/>
  <c r="D6" i="3" l="1"/>
  <c r="L3" i="2"/>
  <c r="O3" i="2"/>
  <c r="P3" i="2" s="1"/>
  <c r="Q3" i="2" s="1"/>
  <c r="R3" i="2" s="1"/>
  <c r="B4" i="3"/>
  <c r="L4" i="2"/>
  <c r="L2" i="2"/>
  <c r="B5" i="3" l="1"/>
  <c r="G4" i="3"/>
  <c r="J5" i="2" s="1"/>
  <c r="D7" i="3"/>
  <c r="O4" i="2"/>
  <c r="P4" i="2" s="1"/>
  <c r="Q4" i="2" s="1"/>
  <c r="R4" i="2" s="1"/>
  <c r="P2" i="2"/>
  <c r="Q2" i="2" s="1"/>
  <c r="R2" i="2" s="1"/>
  <c r="B6" i="3" l="1"/>
  <c r="G5" i="3"/>
  <c r="J6" i="2" s="1"/>
  <c r="O6" i="2" s="1"/>
  <c r="D8" i="3"/>
  <c r="O5" i="2"/>
  <c r="P5" i="2" s="1"/>
  <c r="Q5" i="2" s="1"/>
  <c r="R5" i="2" s="1"/>
  <c r="L5" i="2"/>
  <c r="L6" i="2" l="1"/>
  <c r="B7" i="3"/>
  <c r="G6" i="3"/>
  <c r="J7" i="2" s="1"/>
  <c r="O7" i="2" s="1"/>
  <c r="D9" i="3"/>
  <c r="P6" i="2"/>
  <c r="Q6" i="2" s="1"/>
  <c r="R6" i="2" s="1"/>
  <c r="L7" i="2" l="1"/>
  <c r="B8" i="3"/>
  <c r="G7" i="3"/>
  <c r="J8" i="2" s="1"/>
  <c r="O8" i="2" s="1"/>
  <c r="D10" i="3"/>
  <c r="P7" i="2"/>
  <c r="Q7" i="2" s="1"/>
  <c r="R7" i="2" s="1"/>
  <c r="L8" i="2" l="1"/>
  <c r="B9" i="3"/>
  <c r="G8" i="3"/>
  <c r="J9" i="2" s="1"/>
  <c r="O9" i="2" s="1"/>
  <c r="D11" i="3"/>
  <c r="P8" i="2"/>
  <c r="Q8" i="2" s="1"/>
  <c r="R8" i="2" s="1"/>
  <c r="L9" i="2" l="1"/>
  <c r="B10" i="3"/>
  <c r="G9" i="3"/>
  <c r="J10" i="2" s="1"/>
  <c r="O10" i="2" s="1"/>
  <c r="D12" i="3"/>
  <c r="P9" i="2"/>
  <c r="Q9" i="2" s="1"/>
  <c r="R9" i="2" s="1"/>
  <c r="L10" i="2" l="1"/>
  <c r="B11" i="3"/>
  <c r="G10" i="3"/>
  <c r="J11" i="2" s="1"/>
  <c r="O11" i="2" s="1"/>
  <c r="D13" i="3"/>
  <c r="P10" i="2"/>
  <c r="Q10" i="2" s="1"/>
  <c r="R10" i="2" s="1"/>
  <c r="L11" i="2" l="1"/>
  <c r="B12" i="3"/>
  <c r="G11" i="3"/>
  <c r="J12" i="2" s="1"/>
  <c r="O12" i="2" s="1"/>
  <c r="D14" i="3"/>
  <c r="P11" i="2"/>
  <c r="Q11" i="2" s="1"/>
  <c r="R11" i="2" s="1"/>
  <c r="L12" i="2" l="1"/>
  <c r="B13" i="3"/>
  <c r="G12" i="3"/>
  <c r="J13" i="2" s="1"/>
  <c r="O13" i="2" s="1"/>
  <c r="D15" i="3"/>
  <c r="P12" i="2"/>
  <c r="Q12" i="2" s="1"/>
  <c r="R12" i="2" s="1"/>
  <c r="L13" i="2" l="1"/>
  <c r="B14" i="3"/>
  <c r="G13" i="3"/>
  <c r="J14" i="2" s="1"/>
  <c r="O14" i="2" s="1"/>
  <c r="D16" i="3"/>
  <c r="P13" i="2"/>
  <c r="Q13" i="2" s="1"/>
  <c r="R13" i="2" s="1"/>
  <c r="L14" i="2" l="1"/>
  <c r="B15" i="3"/>
  <c r="G14" i="3"/>
  <c r="J15" i="2" s="1"/>
  <c r="O15" i="2" s="1"/>
  <c r="D17" i="3"/>
  <c r="P14" i="2"/>
  <c r="Q14" i="2" s="1"/>
  <c r="R14" i="2" s="1"/>
  <c r="L15" i="2" l="1"/>
  <c r="B16" i="3"/>
  <c r="G15" i="3"/>
  <c r="J16" i="2" s="1"/>
  <c r="O16" i="2" s="1"/>
  <c r="D18" i="3"/>
  <c r="P15" i="2"/>
  <c r="Q15" i="2" s="1"/>
  <c r="R15" i="2" s="1"/>
  <c r="L16" i="2" l="1"/>
  <c r="B17" i="3"/>
  <c r="G16" i="3"/>
  <c r="J17" i="2" s="1"/>
  <c r="O17" i="2" s="1"/>
  <c r="D19" i="3"/>
  <c r="P16" i="2"/>
  <c r="Q16" i="2" s="1"/>
  <c r="R16" i="2" s="1"/>
  <c r="L17" i="2" l="1"/>
  <c r="B18" i="3"/>
  <c r="G17" i="3"/>
  <c r="J18" i="2" s="1"/>
  <c r="O18" i="2" s="1"/>
  <c r="D20" i="3"/>
  <c r="P17" i="2"/>
  <c r="Q17" i="2" s="1"/>
  <c r="R17" i="2" s="1"/>
  <c r="L18" i="2" l="1"/>
  <c r="B19" i="3"/>
  <c r="G18" i="3"/>
  <c r="J19" i="2" s="1"/>
  <c r="O19" i="2" s="1"/>
  <c r="D21" i="3"/>
  <c r="P18" i="2"/>
  <c r="Q18" i="2" s="1"/>
  <c r="R18" i="2" s="1"/>
  <c r="B20" i="3" l="1"/>
  <c r="G19" i="3"/>
  <c r="J20" i="2" s="1"/>
  <c r="O20" i="2" s="1"/>
  <c r="L19" i="2"/>
  <c r="P19" i="2"/>
  <c r="Q19" i="2" s="1"/>
  <c r="R19" i="2" s="1"/>
  <c r="L20" i="2" l="1"/>
  <c r="B21" i="3"/>
  <c r="G21" i="3" s="1"/>
  <c r="J22" i="2" s="1"/>
  <c r="O22" i="2" s="1"/>
  <c r="G20" i="3"/>
  <c r="J21" i="2" s="1"/>
  <c r="O21" i="2" s="1"/>
  <c r="P20" i="2"/>
  <c r="Q20" i="2" s="1"/>
  <c r="R20" i="2" s="1"/>
  <c r="L22" i="2" l="1"/>
  <c r="L21" i="2"/>
  <c r="B2" i="4" s="1"/>
  <c r="B8" i="4" s="1"/>
  <c r="B9" i="4" s="1"/>
  <c r="P22" i="2"/>
  <c r="Q22" i="2" s="1"/>
  <c r="R22" i="2" s="1"/>
  <c r="P21" i="2"/>
  <c r="Q21" i="2" s="1"/>
  <c r="R21" i="2" s="1"/>
  <c r="R29" i="2" l="1"/>
</calcChain>
</file>

<file path=xl/sharedStrings.xml><?xml version="1.0" encoding="utf-8"?>
<sst xmlns="http://schemas.openxmlformats.org/spreadsheetml/2006/main" count="78" uniqueCount="75">
  <si>
    <t>Value</t>
  </si>
  <si>
    <t>Total_Initial_CAPEX</t>
  </si>
  <si>
    <t>PNRR_Grant</t>
  </si>
  <si>
    <t>Adjusted_CAPEX</t>
  </si>
  <si>
    <t>Annual_H2_Production_kg</t>
  </si>
  <si>
    <t>Project_Lifetime_years</t>
  </si>
  <si>
    <t>Discount_Rate</t>
  </si>
  <si>
    <t>Grid_Electricity_Price_MWh</t>
  </si>
  <si>
    <t>Inflation_Rate</t>
  </si>
  <si>
    <t>Project &amp; Financial Inputs</t>
  </si>
  <si>
    <t>Advanced &amp; Degradation Inputs</t>
  </si>
  <si>
    <t>Initial_PV_Production_MWh</t>
  </si>
  <si>
    <t>PV_Degradation_Rate</t>
  </si>
  <si>
    <t>Base_Electrolyzer_Consumption_kWh_kg</t>
  </si>
  <si>
    <t>Electrolyzer_Degradation_Rate</t>
  </si>
  <si>
    <t>Base_BESS_Capacity_MWh</t>
  </si>
  <si>
    <t>BESS_Degradation_Rate</t>
  </si>
  <si>
    <t>Decommissioning_Cost_Percent</t>
  </si>
  <si>
    <t>Working_Capital_Percent</t>
  </si>
  <si>
    <t>OPEX Inputs (Base Year)</t>
  </si>
  <si>
    <t>Maintenance_Percent</t>
  </si>
  <si>
    <t>Insurance_Percent</t>
  </si>
  <si>
    <t>Personnel_Costs_Annual</t>
  </si>
  <si>
    <t>Consumables_Annual</t>
  </si>
  <si>
    <t>Grid Inputs</t>
  </si>
  <si>
    <t>Year</t>
  </si>
  <si>
    <t>Maintenance</t>
  </si>
  <si>
    <t>Insurance</t>
  </si>
  <si>
    <t>Personnel</t>
  </si>
  <si>
    <t>Consumables</t>
  </si>
  <si>
    <t>Total_Fixed_OPEX</t>
  </si>
  <si>
    <t>PV Prod (MWh)</t>
  </si>
  <si>
    <t>BESS Capacity (MWh)</t>
  </si>
  <si>
    <t>Electrolyzer (kWh/kg)</t>
  </si>
  <si>
    <t>H2 Prod (kg)</t>
  </si>
  <si>
    <t>Energy Demand (MWh)</t>
  </si>
  <si>
    <t>Energy Supply (MWh)</t>
  </si>
  <si>
    <t>Grid Draw (MWh)</t>
  </si>
  <si>
    <t>Total OPEX</t>
  </si>
  <si>
    <t>Discount Factor</t>
  </si>
  <si>
    <t>Discounted OPEX</t>
  </si>
  <si>
    <t>year</t>
  </si>
  <si>
    <t>Final LCOH Calculation</t>
  </si>
  <si>
    <t>Total Discounted OPEX</t>
  </si>
  <si>
    <t>Total H2 Production (kg)</t>
  </si>
  <si>
    <t>Adjusted CAPEX</t>
  </si>
  <si>
    <t>Working Capital</t>
  </si>
  <si>
    <t>Decommissioning Cost</t>
  </si>
  <si>
    <t>Discounted Decomm. Cost</t>
  </si>
  <si>
    <t>Total Lifetime Cost</t>
  </si>
  <si>
    <t>LCOH (€/kg)</t>
  </si>
  <si>
    <t xml:space="preserve">Profitability Inputs	</t>
  </si>
  <si>
    <t xml:space="preserve">Hydrogen_Sale_Price_EUR_kg	</t>
  </si>
  <si>
    <t xml:space="preserve">Tax_Rate	</t>
  </si>
  <si>
    <t xml:space="preserve">Revenue	</t>
  </si>
  <si>
    <t>Depreciation</t>
  </si>
  <si>
    <t>Profitability Results</t>
  </si>
  <si>
    <t>Value (€)</t>
  </si>
  <si>
    <t>Free Cash Flow (Year 0)</t>
  </si>
  <si>
    <t>NPV (Net Present Value)</t>
  </si>
  <si>
    <t>IRR (Internal Rate of Return)</t>
  </si>
  <si>
    <t xml:space="preserve">EBT	</t>
  </si>
  <si>
    <t xml:space="preserve">Taxes	</t>
  </si>
  <si>
    <t>Net Earnings</t>
  </si>
  <si>
    <t>Free Cash Flow</t>
  </si>
  <si>
    <t>Full_Cash_Flow</t>
  </si>
  <si>
    <t>BESS_Max_SOC</t>
  </si>
  <si>
    <t xml:space="preserve">BESS_Min_SOC	</t>
  </si>
  <si>
    <t xml:space="preserve">BESS_Usable_Capacity_Percent	</t>
  </si>
  <si>
    <t>water cost</t>
  </si>
  <si>
    <t xml:space="preserve">water cost </t>
  </si>
  <si>
    <t>Replacement_CAPEX</t>
  </si>
  <si>
    <t>working capital</t>
  </si>
  <si>
    <t>Prix de l'Électricité (€/MWh)</t>
  </si>
  <si>
    <t>Prix de Vente H₂ (€/kg)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</si>
</sst>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10]_-;\-* #,##0.00\ [$€-410]_-;_-* &quot;-&quot;??\ [$€-410]_-;_-@_-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44450</xdr:rowOff>
    </xdr:from>
    <xdr:to>
      <xdr:col>14</xdr:col>
      <xdr:colOff>406790</xdr:colOff>
      <xdr:row>7</xdr:row>
      <xdr:rowOff>2321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6D60F44-98E6-0088-5D97-885793546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1750" y="234950"/>
          <a:ext cx="7588640" cy="103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1C2D-8E6A-4733-8F84-F538C64FFD80}">
  <dimension ref="A1:B32"/>
  <sheetViews>
    <sheetView topLeftCell="A23" zoomScale="136" zoomScaleNormal="136" workbookViewId="0">
      <selection activeCell="D29" sqref="D29"/>
    </sheetView>
  </sheetViews>
  <sheetFormatPr defaultRowHeight="14.5" x14ac:dyDescent="0.35"/>
  <cols>
    <col min="1" max="1" width="26.36328125" customWidth="1"/>
    <col min="2" max="2" width="18.26953125" customWidth="1"/>
  </cols>
  <sheetData>
    <row r="1" spans="1:2" x14ac:dyDescent="0.35">
      <c r="A1" s="5" t="s">
        <v>9</v>
      </c>
      <c r="B1" s="5" t="s">
        <v>0</v>
      </c>
    </row>
    <row r="2" spans="1:2" x14ac:dyDescent="0.35">
      <c r="A2" s="5" t="s">
        <v>1</v>
      </c>
      <c r="B2" s="5">
        <v>9982000</v>
      </c>
    </row>
    <row r="3" spans="1:2" x14ac:dyDescent="0.35">
      <c r="A3" s="5" t="s">
        <v>2</v>
      </c>
      <c r="B3" s="5">
        <v>0.75</v>
      </c>
    </row>
    <row r="4" spans="1:2" x14ac:dyDescent="0.35">
      <c r="A4" s="5" t="s">
        <v>3</v>
      </c>
      <c r="B4" s="8">
        <v>2495500</v>
      </c>
    </row>
    <row r="5" spans="1:2" x14ac:dyDescent="0.35">
      <c r="A5" s="5" t="s">
        <v>6</v>
      </c>
      <c r="B5" s="5">
        <v>0.05</v>
      </c>
    </row>
    <row r="6" spans="1:2" x14ac:dyDescent="0.35">
      <c r="A6" s="5" t="s">
        <v>8</v>
      </c>
      <c r="B6" s="5">
        <v>0.02</v>
      </c>
    </row>
    <row r="7" spans="1:2" x14ac:dyDescent="0.35">
      <c r="A7" s="5" t="s">
        <v>5</v>
      </c>
      <c r="B7" s="5">
        <v>20</v>
      </c>
    </row>
    <row r="8" spans="1:2" x14ac:dyDescent="0.35">
      <c r="A8" s="26" t="s">
        <v>10</v>
      </c>
      <c r="B8" s="26"/>
    </row>
    <row r="9" spans="1:2" x14ac:dyDescent="0.35">
      <c r="A9" s="5" t="s">
        <v>4</v>
      </c>
      <c r="B9" s="5">
        <v>79840</v>
      </c>
    </row>
    <row r="10" spans="1:2" x14ac:dyDescent="0.35">
      <c r="A10" s="5" t="s">
        <v>11</v>
      </c>
      <c r="B10" s="5">
        <v>4685.1000000000004</v>
      </c>
    </row>
    <row r="11" spans="1:2" x14ac:dyDescent="0.35">
      <c r="A11" s="5" t="s">
        <v>12</v>
      </c>
      <c r="B11" s="5">
        <v>5.0000000000000001E-3</v>
      </c>
    </row>
    <row r="12" spans="1:2" ht="26" x14ac:dyDescent="0.35">
      <c r="A12" s="5" t="s">
        <v>13</v>
      </c>
      <c r="B12" s="5">
        <v>55.5</v>
      </c>
    </row>
    <row r="13" spans="1:2" x14ac:dyDescent="0.35">
      <c r="A13" s="5" t="s">
        <v>14</v>
      </c>
      <c r="B13" s="5">
        <v>7.4999999999999997E-3</v>
      </c>
    </row>
    <row r="14" spans="1:2" x14ac:dyDescent="0.35">
      <c r="A14" s="5" t="s">
        <v>15</v>
      </c>
      <c r="B14" s="5">
        <v>7.3</v>
      </c>
    </row>
    <row r="15" spans="1:2" x14ac:dyDescent="0.35">
      <c r="A15" s="5" t="s">
        <v>16</v>
      </c>
      <c r="B15" s="5">
        <v>1.4999999999999999E-2</v>
      </c>
    </row>
    <row r="16" spans="1:2" ht="26" x14ac:dyDescent="0.35">
      <c r="A16" s="5" t="s">
        <v>17</v>
      </c>
      <c r="B16" s="5">
        <v>0.05</v>
      </c>
    </row>
    <row r="17" spans="1:2" x14ac:dyDescent="0.35">
      <c r="A17" s="5" t="s">
        <v>18</v>
      </c>
      <c r="B17" s="5">
        <v>0.15</v>
      </c>
    </row>
    <row r="18" spans="1:2" x14ac:dyDescent="0.35">
      <c r="A18" s="26" t="s">
        <v>19</v>
      </c>
      <c r="B18" s="26"/>
    </row>
    <row r="19" spans="1:2" x14ac:dyDescent="0.35">
      <c r="A19" s="5" t="s">
        <v>20</v>
      </c>
      <c r="B19" s="5">
        <v>5.0000000000000001E-3</v>
      </c>
    </row>
    <row r="20" spans="1:2" x14ac:dyDescent="0.35">
      <c r="A20" s="5" t="s">
        <v>21</v>
      </c>
      <c r="B20" s="5">
        <v>2.5000000000000001E-3</v>
      </c>
    </row>
    <row r="21" spans="1:2" x14ac:dyDescent="0.35">
      <c r="A21" s="5" t="s">
        <v>22</v>
      </c>
      <c r="B21" s="5">
        <v>80000</v>
      </c>
    </row>
    <row r="22" spans="1:2" x14ac:dyDescent="0.35">
      <c r="A22" s="5" t="s">
        <v>23</v>
      </c>
      <c r="B22" s="5">
        <v>15000</v>
      </c>
    </row>
    <row r="23" spans="1:2" x14ac:dyDescent="0.35">
      <c r="A23" s="5" t="s">
        <v>24</v>
      </c>
      <c r="B23" s="5"/>
    </row>
    <row r="24" spans="1:2" x14ac:dyDescent="0.35">
      <c r="A24" s="5" t="s">
        <v>7</v>
      </c>
      <c r="B24" s="5">
        <v>118</v>
      </c>
    </row>
    <row r="25" spans="1:2" x14ac:dyDescent="0.35">
      <c r="A25" s="27" t="s">
        <v>51</v>
      </c>
      <c r="B25" s="27"/>
    </row>
    <row r="26" spans="1:2" ht="26" x14ac:dyDescent="0.35">
      <c r="A26" s="5" t="s">
        <v>52</v>
      </c>
      <c r="B26" s="6">
        <v>6</v>
      </c>
    </row>
    <row r="27" spans="1:2" x14ac:dyDescent="0.35">
      <c r="A27" s="5" t="s">
        <v>53</v>
      </c>
      <c r="B27" s="6">
        <v>0.24</v>
      </c>
    </row>
    <row r="28" spans="1:2" x14ac:dyDescent="0.35">
      <c r="A28" s="5" t="s">
        <v>66</v>
      </c>
      <c r="B28" s="6">
        <v>0.8</v>
      </c>
    </row>
    <row r="29" spans="1:2" x14ac:dyDescent="0.35">
      <c r="A29" s="5" t="s">
        <v>67</v>
      </c>
      <c r="B29" s="6">
        <v>0.2</v>
      </c>
    </row>
    <row r="30" spans="1:2" ht="26" x14ac:dyDescent="0.35">
      <c r="A30" s="5" t="s">
        <v>68</v>
      </c>
      <c r="B30" s="6">
        <f>B28-B29</f>
        <v>0.60000000000000009</v>
      </c>
    </row>
    <row r="31" spans="1:2" x14ac:dyDescent="0.35">
      <c r="A31" s="5" t="s">
        <v>70</v>
      </c>
      <c r="B31" s="6">
        <v>8000</v>
      </c>
    </row>
    <row r="32" spans="1:2" x14ac:dyDescent="0.35">
      <c r="A32" s="5" t="s">
        <v>72</v>
      </c>
      <c r="B32" s="6">
        <f>-Adjusted_CAPEX+((OPEX_Details!G2+(LCOH_Engine!H3*Grid_Electricity_Price_MWh))*Working_Capital_Percent)</f>
        <v>-2455819.423</v>
      </c>
    </row>
  </sheetData>
  <mergeCells count="3">
    <mergeCell ref="A18:B18"/>
    <mergeCell ref="A8:B8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799D-72B0-4991-A354-01A38157688F}">
  <dimension ref="A1:G21"/>
  <sheetViews>
    <sheetView zoomScale="97" zoomScaleNormal="97" workbookViewId="0">
      <selection activeCell="L20" sqref="L20"/>
    </sheetView>
  </sheetViews>
  <sheetFormatPr defaultRowHeight="14.5" x14ac:dyDescent="0.35"/>
  <cols>
    <col min="2" max="2" width="12.90625" customWidth="1"/>
    <col min="3" max="3" width="13.7265625" customWidth="1"/>
    <col min="4" max="5" width="12.08984375" customWidth="1"/>
    <col min="6" max="6" width="16.81640625" customWidth="1"/>
    <col min="7" max="7" width="19.36328125" customWidth="1"/>
  </cols>
  <sheetData>
    <row r="1" spans="1:7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69</v>
      </c>
      <c r="G1" s="24" t="s">
        <v>30</v>
      </c>
    </row>
    <row r="2" spans="1:7" x14ac:dyDescent="0.35">
      <c r="A2" s="3">
        <v>1</v>
      </c>
      <c r="B2" s="6">
        <f>Total_Initial_CAPEX*Maintenance_Percent</f>
        <v>49910</v>
      </c>
      <c r="C2" s="6">
        <f>Total_Initial_CAPEX*Insurance_Percent</f>
        <v>24955</v>
      </c>
      <c r="D2" s="6">
        <f>Personnel_Costs_Annual</f>
        <v>80000</v>
      </c>
      <c r="E2" s="6">
        <f>Consumables_Annual</f>
        <v>15000</v>
      </c>
      <c r="F2" s="6">
        <f>water_cost</f>
        <v>8000</v>
      </c>
      <c r="G2" s="6">
        <f>SUM(B2:F2)</f>
        <v>177865</v>
      </c>
    </row>
    <row r="3" spans="1:7" x14ac:dyDescent="0.35">
      <c r="A3" s="3">
        <v>2</v>
      </c>
      <c r="B3" s="6">
        <f t="shared" ref="B3:B21" si="0">B2*(1+Inflation_Rate)</f>
        <v>50908.200000000004</v>
      </c>
      <c r="C3" s="6">
        <f t="shared" ref="C3:C21" si="1">C2*(1+Inflation_Rate)</f>
        <v>25454.100000000002</v>
      </c>
      <c r="D3" s="6">
        <f t="shared" ref="D3:D21" si="2">D2*(1+Inflation_Rate)</f>
        <v>81600</v>
      </c>
      <c r="E3" s="6">
        <f t="shared" ref="E3:E21" si="3">E2*(1+Inflation_Rate)</f>
        <v>15300</v>
      </c>
      <c r="F3" s="6">
        <f t="shared" ref="F3:F21" si="4" xml:space="preserve"> F2* (1 + Inflation_Rate)</f>
        <v>8160</v>
      </c>
      <c r="G3" s="6">
        <f t="shared" ref="G3:G21" si="5">SUM(B3:F3)</f>
        <v>181422.3</v>
      </c>
    </row>
    <row r="4" spans="1:7" x14ac:dyDescent="0.35">
      <c r="A4" s="3">
        <v>3</v>
      </c>
      <c r="B4" s="6">
        <f t="shared" si="0"/>
        <v>51926.364000000009</v>
      </c>
      <c r="C4" s="6">
        <f t="shared" si="1"/>
        <v>25963.182000000004</v>
      </c>
      <c r="D4" s="6">
        <f t="shared" si="2"/>
        <v>83232</v>
      </c>
      <c r="E4" s="6">
        <f t="shared" si="3"/>
        <v>15606</v>
      </c>
      <c r="F4" s="6">
        <f t="shared" si="4"/>
        <v>8323.2000000000007</v>
      </c>
      <c r="G4" s="6">
        <f t="shared" si="5"/>
        <v>185050.74600000004</v>
      </c>
    </row>
    <row r="5" spans="1:7" x14ac:dyDescent="0.35">
      <c r="A5" s="3">
        <v>4</v>
      </c>
      <c r="B5" s="6">
        <f t="shared" si="0"/>
        <v>52964.891280000011</v>
      </c>
      <c r="C5" s="6">
        <f t="shared" si="1"/>
        <v>26482.445640000005</v>
      </c>
      <c r="D5" s="6">
        <f t="shared" si="2"/>
        <v>84896.639999999999</v>
      </c>
      <c r="E5" s="6">
        <f t="shared" si="3"/>
        <v>15918.12</v>
      </c>
      <c r="F5" s="6">
        <f t="shared" si="4"/>
        <v>8489.6640000000007</v>
      </c>
      <c r="G5" s="6">
        <f t="shared" si="5"/>
        <v>188751.76092</v>
      </c>
    </row>
    <row r="6" spans="1:7" x14ac:dyDescent="0.35">
      <c r="A6" s="3">
        <v>5</v>
      </c>
      <c r="B6" s="6">
        <f t="shared" si="0"/>
        <v>54024.189105600009</v>
      </c>
      <c r="C6" s="6">
        <f t="shared" si="1"/>
        <v>27012.094552800005</v>
      </c>
      <c r="D6" s="6">
        <f t="shared" si="2"/>
        <v>86594.572799999994</v>
      </c>
      <c r="E6" s="6">
        <f t="shared" si="3"/>
        <v>16236.482400000001</v>
      </c>
      <c r="F6" s="6">
        <f t="shared" si="4"/>
        <v>8659.4572800000005</v>
      </c>
      <c r="G6" s="6">
        <f t="shared" si="5"/>
        <v>192526.79613840004</v>
      </c>
    </row>
    <row r="7" spans="1:7" x14ac:dyDescent="0.35">
      <c r="A7" s="3">
        <v>6</v>
      </c>
      <c r="B7" s="6">
        <f t="shared" si="0"/>
        <v>55104.672887712011</v>
      </c>
      <c r="C7" s="6">
        <f t="shared" si="1"/>
        <v>27552.336443856006</v>
      </c>
      <c r="D7" s="6">
        <f t="shared" si="2"/>
        <v>88326.464255999992</v>
      </c>
      <c r="E7" s="6">
        <f t="shared" si="3"/>
        <v>16561.212048000001</v>
      </c>
      <c r="F7" s="6">
        <f t="shared" si="4"/>
        <v>8832.6464255999999</v>
      </c>
      <c r="G7" s="6">
        <f t="shared" si="5"/>
        <v>196377.33206116798</v>
      </c>
    </row>
    <row r="8" spans="1:7" x14ac:dyDescent="0.35">
      <c r="A8" s="3">
        <v>7</v>
      </c>
      <c r="B8" s="6">
        <f t="shared" si="0"/>
        <v>56206.766345466254</v>
      </c>
      <c r="C8" s="6">
        <f t="shared" si="1"/>
        <v>28103.383172733127</v>
      </c>
      <c r="D8" s="6">
        <f t="shared" si="2"/>
        <v>90092.993541119999</v>
      </c>
      <c r="E8" s="6">
        <f t="shared" si="3"/>
        <v>16892.436288960002</v>
      </c>
      <c r="F8" s="6">
        <f t="shared" si="4"/>
        <v>9009.2993541119995</v>
      </c>
      <c r="G8" s="6">
        <f t="shared" si="5"/>
        <v>200304.8787023914</v>
      </c>
    </row>
    <row r="9" spans="1:7" x14ac:dyDescent="0.35">
      <c r="A9" s="3">
        <v>8</v>
      </c>
      <c r="B9" s="6">
        <f t="shared" si="0"/>
        <v>57330.901672375578</v>
      </c>
      <c r="C9" s="6">
        <f t="shared" si="1"/>
        <v>28665.450836187789</v>
      </c>
      <c r="D9" s="6">
        <f t="shared" si="2"/>
        <v>91894.8534119424</v>
      </c>
      <c r="E9" s="6">
        <f t="shared" si="3"/>
        <v>17230.285014739202</v>
      </c>
      <c r="F9" s="6">
        <f t="shared" si="4"/>
        <v>9189.4853411942404</v>
      </c>
      <c r="G9" s="6">
        <f t="shared" si="5"/>
        <v>204310.97627643921</v>
      </c>
    </row>
    <row r="10" spans="1:7" x14ac:dyDescent="0.35">
      <c r="A10" s="3">
        <v>9</v>
      </c>
      <c r="B10" s="6">
        <f t="shared" si="0"/>
        <v>58477.519705823091</v>
      </c>
      <c r="C10" s="6">
        <f t="shared" si="1"/>
        <v>29238.759852911546</v>
      </c>
      <c r="D10" s="6">
        <f t="shared" si="2"/>
        <v>93732.750480181247</v>
      </c>
      <c r="E10" s="6">
        <f t="shared" si="3"/>
        <v>17574.890715033987</v>
      </c>
      <c r="F10" s="6">
        <f t="shared" si="4"/>
        <v>9373.2750480181257</v>
      </c>
      <c r="G10" s="6">
        <f t="shared" si="5"/>
        <v>208397.19580196796</v>
      </c>
    </row>
    <row r="11" spans="1:7" x14ac:dyDescent="0.35">
      <c r="A11" s="3">
        <v>10</v>
      </c>
      <c r="B11" s="6">
        <f t="shared" si="0"/>
        <v>59647.070099939556</v>
      </c>
      <c r="C11" s="6">
        <f t="shared" si="1"/>
        <v>29823.535049969778</v>
      </c>
      <c r="D11" s="6">
        <f t="shared" si="2"/>
        <v>95607.405489784869</v>
      </c>
      <c r="E11" s="6">
        <f t="shared" si="3"/>
        <v>17926.388529334668</v>
      </c>
      <c r="F11" s="6">
        <f t="shared" si="4"/>
        <v>9560.7405489784887</v>
      </c>
      <c r="G11" s="6">
        <f t="shared" si="5"/>
        <v>212565.13971800735</v>
      </c>
    </row>
    <row r="12" spans="1:7" x14ac:dyDescent="0.35">
      <c r="A12" s="3">
        <v>11</v>
      </c>
      <c r="B12" s="6">
        <f t="shared" si="0"/>
        <v>60840.011501938345</v>
      </c>
      <c r="C12" s="6">
        <f t="shared" si="1"/>
        <v>30420.005750969172</v>
      </c>
      <c r="D12" s="6">
        <f t="shared" si="2"/>
        <v>97519.553599580569</v>
      </c>
      <c r="E12" s="6">
        <f t="shared" si="3"/>
        <v>18284.916299921362</v>
      </c>
      <c r="F12" s="6">
        <f t="shared" si="4"/>
        <v>9751.9553599580595</v>
      </c>
      <c r="G12" s="6">
        <f t="shared" si="5"/>
        <v>216816.44251236753</v>
      </c>
    </row>
    <row r="13" spans="1:7" x14ac:dyDescent="0.35">
      <c r="A13" s="3">
        <v>12</v>
      </c>
      <c r="B13" s="6">
        <f t="shared" si="0"/>
        <v>62056.811731977112</v>
      </c>
      <c r="C13" s="6">
        <f t="shared" si="1"/>
        <v>31028.405865988556</v>
      </c>
      <c r="D13" s="6">
        <f t="shared" si="2"/>
        <v>99469.944671572186</v>
      </c>
      <c r="E13" s="6">
        <f t="shared" si="3"/>
        <v>18650.614625919789</v>
      </c>
      <c r="F13" s="6">
        <f t="shared" si="4"/>
        <v>9946.9944671572212</v>
      </c>
      <c r="G13" s="6">
        <f t="shared" si="5"/>
        <v>221152.77136261488</v>
      </c>
    </row>
    <row r="14" spans="1:7" x14ac:dyDescent="0.35">
      <c r="A14" s="3">
        <v>13</v>
      </c>
      <c r="B14" s="6">
        <f t="shared" si="0"/>
        <v>63297.947966616652</v>
      </c>
      <c r="C14" s="6">
        <f t="shared" si="1"/>
        <v>31648.973983308326</v>
      </c>
      <c r="D14" s="6">
        <f t="shared" si="2"/>
        <v>101459.34356500363</v>
      </c>
      <c r="E14" s="6">
        <f t="shared" si="3"/>
        <v>19023.626918438185</v>
      </c>
      <c r="F14" s="6">
        <f t="shared" si="4"/>
        <v>10145.934356500366</v>
      </c>
      <c r="G14" s="6">
        <f t="shared" si="5"/>
        <v>225575.82678986716</v>
      </c>
    </row>
    <row r="15" spans="1:7" x14ac:dyDescent="0.35">
      <c r="A15" s="3">
        <v>14</v>
      </c>
      <c r="B15" s="6">
        <f t="shared" si="0"/>
        <v>64563.906925948984</v>
      </c>
      <c r="C15" s="6">
        <f t="shared" si="1"/>
        <v>32281.953462974492</v>
      </c>
      <c r="D15" s="6">
        <f t="shared" si="2"/>
        <v>103488.5304363037</v>
      </c>
      <c r="E15" s="6">
        <f t="shared" si="3"/>
        <v>19404.099456806951</v>
      </c>
      <c r="F15" s="6">
        <f t="shared" si="4"/>
        <v>10348.853043630374</v>
      </c>
      <c r="G15" s="6">
        <f t="shared" si="5"/>
        <v>230087.34332566452</v>
      </c>
    </row>
    <row r="16" spans="1:7" x14ac:dyDescent="0.35">
      <c r="A16" s="3">
        <v>15</v>
      </c>
      <c r="B16" s="6">
        <f t="shared" si="0"/>
        <v>65855.185064467965</v>
      </c>
      <c r="C16" s="6">
        <f t="shared" si="1"/>
        <v>32927.592532233983</v>
      </c>
      <c r="D16" s="6">
        <f t="shared" si="2"/>
        <v>105558.30104502977</v>
      </c>
      <c r="E16" s="6">
        <f t="shared" si="3"/>
        <v>19792.18144594309</v>
      </c>
      <c r="F16" s="6">
        <f t="shared" si="4"/>
        <v>10555.830104502982</v>
      </c>
      <c r="G16" s="6">
        <f t="shared" si="5"/>
        <v>234689.09019217783</v>
      </c>
    </row>
    <row r="17" spans="1:7" x14ac:dyDescent="0.35">
      <c r="A17" s="3">
        <v>16</v>
      </c>
      <c r="B17" s="6">
        <f t="shared" si="0"/>
        <v>67172.28876575733</v>
      </c>
      <c r="C17" s="6">
        <f t="shared" si="1"/>
        <v>33586.144382878665</v>
      </c>
      <c r="D17" s="6">
        <f t="shared" si="2"/>
        <v>107669.46706593037</v>
      </c>
      <c r="E17" s="6">
        <f t="shared" si="3"/>
        <v>20188.025074861951</v>
      </c>
      <c r="F17" s="6">
        <f t="shared" si="4"/>
        <v>10766.946706593042</v>
      </c>
      <c r="G17" s="6">
        <f t="shared" si="5"/>
        <v>239382.87199602133</v>
      </c>
    </row>
    <row r="18" spans="1:7" x14ac:dyDescent="0.35">
      <c r="A18" s="3">
        <v>17</v>
      </c>
      <c r="B18" s="6">
        <f t="shared" si="0"/>
        <v>68515.734541072481</v>
      </c>
      <c r="C18" s="6">
        <f t="shared" si="1"/>
        <v>34257.867270536241</v>
      </c>
      <c r="D18" s="6">
        <f t="shared" si="2"/>
        <v>109822.85640724898</v>
      </c>
      <c r="E18" s="6">
        <f t="shared" si="3"/>
        <v>20591.785576359191</v>
      </c>
      <c r="F18" s="6">
        <f t="shared" si="4"/>
        <v>10982.285640724904</v>
      </c>
      <c r="G18" s="6">
        <f t="shared" si="5"/>
        <v>244170.5294359418</v>
      </c>
    </row>
    <row r="19" spans="1:7" x14ac:dyDescent="0.35">
      <c r="A19" s="3">
        <v>18</v>
      </c>
      <c r="B19" s="6">
        <f t="shared" si="0"/>
        <v>69886.049231893936</v>
      </c>
      <c r="C19" s="6">
        <f t="shared" si="1"/>
        <v>34943.024615946968</v>
      </c>
      <c r="D19" s="6">
        <f t="shared" si="2"/>
        <v>112019.31353539396</v>
      </c>
      <c r="E19" s="6">
        <f t="shared" si="3"/>
        <v>21003.621287886373</v>
      </c>
      <c r="F19" s="6">
        <f t="shared" si="4"/>
        <v>11201.931353539401</v>
      </c>
      <c r="G19" s="6">
        <f t="shared" si="5"/>
        <v>249053.94002466064</v>
      </c>
    </row>
    <row r="20" spans="1:7" x14ac:dyDescent="0.35">
      <c r="A20" s="3">
        <v>19</v>
      </c>
      <c r="B20" s="6">
        <f t="shared" si="0"/>
        <v>71283.770216531819</v>
      </c>
      <c r="C20" s="6">
        <f t="shared" si="1"/>
        <v>35641.885108265909</v>
      </c>
      <c r="D20" s="6">
        <f t="shared" si="2"/>
        <v>114259.69980610184</v>
      </c>
      <c r="E20" s="6">
        <f t="shared" si="3"/>
        <v>21423.693713644101</v>
      </c>
      <c r="F20" s="6">
        <f t="shared" si="4"/>
        <v>11425.969980610189</v>
      </c>
      <c r="G20" s="6">
        <f t="shared" si="5"/>
        <v>254035.01882515388</v>
      </c>
    </row>
    <row r="21" spans="1:7" x14ac:dyDescent="0.35">
      <c r="A21" s="3">
        <v>20</v>
      </c>
      <c r="B21" s="6">
        <f t="shared" si="0"/>
        <v>72709.445620862462</v>
      </c>
      <c r="C21" s="6">
        <f t="shared" si="1"/>
        <v>36354.722810431231</v>
      </c>
      <c r="D21" s="6">
        <f t="shared" si="2"/>
        <v>116544.89380222387</v>
      </c>
      <c r="E21" s="6">
        <f t="shared" si="3"/>
        <v>21852.167587916985</v>
      </c>
      <c r="F21" s="6">
        <f t="shared" si="4"/>
        <v>11654.489380222392</v>
      </c>
      <c r="G21" s="6">
        <f t="shared" si="5"/>
        <v>259115.71920165693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642A-2379-4887-9D68-E85335FEA13F}">
  <dimension ref="A1:Z30"/>
  <sheetViews>
    <sheetView tabSelected="1" zoomScale="45" zoomScaleNormal="45" workbookViewId="0">
      <selection activeCell="I12" sqref="I12"/>
    </sheetView>
  </sheetViews>
  <sheetFormatPr defaultRowHeight="14.5" x14ac:dyDescent="0.35"/>
  <cols>
    <col min="1" max="1" width="16.6328125" style="6" customWidth="1"/>
    <col min="2" max="2" width="15.54296875" style="6" customWidth="1"/>
    <col min="3" max="3" width="13.453125" style="6" customWidth="1"/>
    <col min="4" max="4" width="14.7265625" style="6" customWidth="1"/>
    <col min="5" max="5" width="14.453125" style="6" customWidth="1"/>
    <col min="6" max="6" width="14.90625" style="6" customWidth="1"/>
    <col min="7" max="7" width="17.26953125" style="6" customWidth="1"/>
    <col min="8" max="8" width="14.1796875" style="6" customWidth="1"/>
    <col min="9" max="10" width="14.08984375" style="6" customWidth="1"/>
    <col min="11" max="11" width="20.36328125" style="6" customWidth="1"/>
    <col min="12" max="12" width="25.26953125" style="6" customWidth="1"/>
    <col min="13" max="13" width="11.36328125" style="6" customWidth="1"/>
    <col min="14" max="14" width="14.81640625" style="6" customWidth="1"/>
    <col min="15" max="15" width="11.90625" style="6" customWidth="1"/>
    <col min="16" max="16" width="12.90625" style="6" customWidth="1"/>
    <col min="17" max="17" width="13.453125" style="6" customWidth="1"/>
    <col min="18" max="18" width="17.08984375" style="6" customWidth="1"/>
    <col min="19" max="19" width="27.08984375" style="6" customWidth="1"/>
    <col min="21" max="21" width="12.1796875" customWidth="1"/>
    <col min="24" max="24" width="20.08984375" customWidth="1"/>
  </cols>
  <sheetData>
    <row r="1" spans="1:26" ht="26.5" thickBot="1" x14ac:dyDescent="0.4">
      <c r="A1" s="6" t="s">
        <v>41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4" t="s">
        <v>71</v>
      </c>
      <c r="J1" s="1" t="s">
        <v>38</v>
      </c>
      <c r="K1" s="1" t="s">
        <v>39</v>
      </c>
      <c r="L1" s="2" t="s">
        <v>40</v>
      </c>
      <c r="M1" s="4" t="s">
        <v>54</v>
      </c>
      <c r="N1" s="4" t="s">
        <v>55</v>
      </c>
      <c r="O1" s="4" t="s">
        <v>61</v>
      </c>
      <c r="P1" s="4" t="s">
        <v>62</v>
      </c>
      <c r="Q1" s="4" t="s">
        <v>63</v>
      </c>
      <c r="R1" s="11" t="s">
        <v>64</v>
      </c>
      <c r="S1" s="13" t="s">
        <v>65</v>
      </c>
      <c r="T1" s="6"/>
      <c r="U1" s="6"/>
      <c r="V1" s="6"/>
      <c r="W1" s="6"/>
      <c r="X1" s="6"/>
      <c r="Y1" s="6"/>
      <c r="Z1" s="6"/>
    </row>
    <row r="2" spans="1:26" x14ac:dyDescent="0.35">
      <c r="A2" s="3">
        <v>0</v>
      </c>
      <c r="B2" s="6">
        <v>0</v>
      </c>
      <c r="C2" s="6">
        <v>0</v>
      </c>
      <c r="D2" s="6">
        <v>0</v>
      </c>
      <c r="E2" s="6">
        <v>0</v>
      </c>
      <c r="F2" s="6">
        <f t="shared" ref="F2:F22" si="0">(E2*D2)/1000</f>
        <v>0</v>
      </c>
      <c r="G2" s="6">
        <f t="shared" ref="G2:G22" si="1">B2+(C2*BESS_Usable_Capacity_Percent)</f>
        <v>0</v>
      </c>
      <c r="H2" s="6">
        <v>0</v>
      </c>
      <c r="I2" s="6">
        <v>0</v>
      </c>
      <c r="J2" s="6">
        <v>0</v>
      </c>
      <c r="K2" s="6">
        <f t="shared" ref="K2:K22" si="2">1/((1+Discount_Rate)^A2)</f>
        <v>1</v>
      </c>
      <c r="L2" s="6">
        <f t="shared" ref="L2:L22" si="3">J2*K2</f>
        <v>0</v>
      </c>
      <c r="M2" s="6">
        <f t="shared" ref="M2:M22" si="4">E2*Hydrogen_Sale_Price_EUR_kg</f>
        <v>0</v>
      </c>
      <c r="N2" s="6">
        <v>0</v>
      </c>
      <c r="O2" s="6">
        <f t="shared" ref="O2:O22" si="5">M2-J2-N2</f>
        <v>0</v>
      </c>
      <c r="P2" s="6">
        <f t="shared" ref="P2:P22" si="6">MAX(0,O2*Tax_Rate)</f>
        <v>0</v>
      </c>
      <c r="Q2" s="6">
        <f>O2-P2</f>
        <v>0</v>
      </c>
      <c r="R2" s="6">
        <f>Q2+N2</f>
        <v>0</v>
      </c>
      <c r="S2" s="18">
        <f>-Adjusted_CAPEX+((OPEX_Details!G2+(LCOH_Engine!H3*Grid_Electricity_Price_MWh))*Working_Capital_Percent)</f>
        <v>-2455819.423</v>
      </c>
      <c r="T2" s="6"/>
      <c r="U2" s="6"/>
      <c r="V2" s="6"/>
      <c r="W2" s="6"/>
      <c r="X2" s="6"/>
      <c r="Y2" s="6"/>
      <c r="Z2" s="6"/>
    </row>
    <row r="3" spans="1:26" x14ac:dyDescent="0.35">
      <c r="A3" s="3">
        <v>1</v>
      </c>
      <c r="B3" s="6">
        <f t="shared" ref="B3:B22" si="7">Initial_PV_Production_MWh*(1-PV_Degradation_Rate)^(A3-1)</f>
        <v>4685.1000000000004</v>
      </c>
      <c r="C3" s="6">
        <f t="shared" ref="C3:C22" si="8">Base_BESS_Capacity_MWh*(1-BESS_Degradation_Rate)^(A3-1)</f>
        <v>7.3</v>
      </c>
      <c r="D3" s="6">
        <f t="shared" ref="D3:D22" si="9">Base_Electrolyzer_Consumption_kWh_kg*(1+Electrolyzer_Degradation_Rate)^(A3-1)</f>
        <v>55.5</v>
      </c>
      <c r="E3" s="6">
        <f t="shared" ref="E3:E22" si="10">Annual_H2_Production_kg</f>
        <v>79840</v>
      </c>
      <c r="F3" s="6">
        <f t="shared" si="0"/>
        <v>4431.12</v>
      </c>
      <c r="G3" s="6">
        <f t="shared" si="1"/>
        <v>4689.4800000000005</v>
      </c>
      <c r="H3" s="6">
        <f>734.51</f>
        <v>734.51</v>
      </c>
      <c r="I3" s="6">
        <v>0</v>
      </c>
      <c r="J3" s="6">
        <f>OPEX_Details!G2+(H3*Grid_Electricity_Price_MWh)</f>
        <v>264537.18</v>
      </c>
      <c r="K3" s="6">
        <f t="shared" si="2"/>
        <v>0.95238095238095233</v>
      </c>
      <c r="L3" s="6">
        <f t="shared" si="3"/>
        <v>251940.1714285714</v>
      </c>
      <c r="M3" s="6">
        <f t="shared" si="4"/>
        <v>479040</v>
      </c>
      <c r="N3" s="6">
        <f t="shared" ref="N3:N22" si="11">Total_Initial_CAPEX/Project_Lifetime_years</f>
        <v>499100</v>
      </c>
      <c r="O3" s="6">
        <f t="shared" si="5"/>
        <v>-284597.18</v>
      </c>
      <c r="P3" s="6">
        <f t="shared" si="6"/>
        <v>0</v>
      </c>
      <c r="Q3" s="6">
        <f>O3-P3</f>
        <v>-284597.18</v>
      </c>
      <c r="R3" s="12">
        <f>Q3+N3</f>
        <v>214502.82</v>
      </c>
      <c r="S3" s="18">
        <v>221309.05000000005</v>
      </c>
      <c r="T3" s="6"/>
      <c r="U3" s="6"/>
      <c r="V3" s="6"/>
      <c r="W3" s="6"/>
      <c r="X3" s="6"/>
      <c r="Y3" s="6"/>
      <c r="Z3" s="6"/>
    </row>
    <row r="4" spans="1:26" x14ac:dyDescent="0.35">
      <c r="A4" s="3">
        <v>2</v>
      </c>
      <c r="B4" s="6">
        <f t="shared" si="7"/>
        <v>4661.6745000000001</v>
      </c>
      <c r="C4" s="6">
        <f t="shared" si="8"/>
        <v>7.1905000000000001</v>
      </c>
      <c r="D4" s="6">
        <f t="shared" si="9"/>
        <v>55.916250000000005</v>
      </c>
      <c r="E4" s="6">
        <f t="shared" si="10"/>
        <v>79840</v>
      </c>
      <c r="F4" s="6">
        <f t="shared" si="0"/>
        <v>4464.3534</v>
      </c>
      <c r="G4" s="6">
        <f t="shared" si="1"/>
        <v>4665.9888000000001</v>
      </c>
      <c r="H4" s="6">
        <f t="shared" ref="H4:H22" si="12">MAX(0, F4-G4)+734.51</f>
        <v>734.51</v>
      </c>
      <c r="I4" s="6">
        <v>0</v>
      </c>
      <c r="J4" s="6">
        <f>OPEX_Details!G3+(H4*Grid_Electricity_Price_MWh)</f>
        <v>268094.48</v>
      </c>
      <c r="K4" s="6">
        <f t="shared" si="2"/>
        <v>0.90702947845804982</v>
      </c>
      <c r="L4" s="6">
        <f t="shared" si="3"/>
        <v>243169.59637188204</v>
      </c>
      <c r="M4" s="6">
        <f t="shared" si="4"/>
        <v>479040</v>
      </c>
      <c r="N4" s="6">
        <f t="shared" si="11"/>
        <v>499100</v>
      </c>
      <c r="O4" s="6">
        <f t="shared" si="5"/>
        <v>-288154.48</v>
      </c>
      <c r="P4" s="6">
        <f t="shared" si="6"/>
        <v>0</v>
      </c>
      <c r="Q4" s="6">
        <f t="shared" ref="Q4:Q22" si="13">O4-P4</f>
        <v>-288154.48</v>
      </c>
      <c r="R4" s="12">
        <f>Q4+N4</f>
        <v>210945.52000000002</v>
      </c>
      <c r="S4" s="18">
        <v>221309.05000000005</v>
      </c>
      <c r="T4" s="6"/>
      <c r="U4" s="6"/>
      <c r="V4" s="6"/>
      <c r="W4" s="6"/>
      <c r="X4" s="6"/>
      <c r="Y4" s="6"/>
      <c r="Z4" s="6"/>
    </row>
    <row r="5" spans="1:26" x14ac:dyDescent="0.35">
      <c r="A5" s="3">
        <v>3</v>
      </c>
      <c r="B5" s="6">
        <f t="shared" si="7"/>
        <v>4638.3661275000004</v>
      </c>
      <c r="C5" s="6">
        <f t="shared" si="8"/>
        <v>7.0826424999999995</v>
      </c>
      <c r="D5" s="6">
        <f t="shared" si="9"/>
        <v>56.335621875000015</v>
      </c>
      <c r="E5" s="6">
        <f t="shared" si="10"/>
        <v>79840</v>
      </c>
      <c r="F5" s="6">
        <f t="shared" si="0"/>
        <v>4497.836050500001</v>
      </c>
      <c r="G5" s="6">
        <f t="shared" si="1"/>
        <v>4642.6157130000001</v>
      </c>
      <c r="H5" s="6">
        <f t="shared" si="12"/>
        <v>734.51</v>
      </c>
      <c r="I5" s="6">
        <v>0</v>
      </c>
      <c r="J5" s="6">
        <f>OPEX_Details!G4+(H5*Grid_Electricity_Price_MWh)</f>
        <v>271722.92600000004</v>
      </c>
      <c r="K5" s="6">
        <f t="shared" si="2"/>
        <v>0.86383759853147601</v>
      </c>
      <c r="L5" s="6">
        <f t="shared" si="3"/>
        <v>234724.47986178601</v>
      </c>
      <c r="M5" s="6">
        <f t="shared" si="4"/>
        <v>479040</v>
      </c>
      <c r="N5" s="6">
        <f t="shared" si="11"/>
        <v>499100</v>
      </c>
      <c r="O5" s="6">
        <f t="shared" si="5"/>
        <v>-291782.92600000004</v>
      </c>
      <c r="P5" s="6">
        <f t="shared" si="6"/>
        <v>0</v>
      </c>
      <c r="Q5" s="6">
        <f t="shared" si="13"/>
        <v>-291782.92600000004</v>
      </c>
      <c r="R5" s="12">
        <f t="shared" ref="R5:R22" si="14">Q5+N5</f>
        <v>207317.07399999996</v>
      </c>
      <c r="S5" s="18">
        <v>217843.804</v>
      </c>
      <c r="T5" s="6"/>
      <c r="U5" s="6"/>
      <c r="V5" s="6"/>
      <c r="W5" s="6"/>
      <c r="X5" s="6"/>
      <c r="Y5" s="6"/>
      <c r="Z5" s="6"/>
    </row>
    <row r="6" spans="1:26" x14ac:dyDescent="0.35">
      <c r="A6" s="3">
        <v>4</v>
      </c>
      <c r="B6" s="6">
        <f t="shared" si="7"/>
        <v>4615.1742968625003</v>
      </c>
      <c r="C6" s="6">
        <f t="shared" si="8"/>
        <v>6.9764028624999996</v>
      </c>
      <c r="D6" s="6">
        <f t="shared" si="9"/>
        <v>56.758139039062513</v>
      </c>
      <c r="E6" s="6">
        <f t="shared" si="10"/>
        <v>79840</v>
      </c>
      <c r="F6" s="6">
        <f t="shared" si="0"/>
        <v>4531.5698208787508</v>
      </c>
      <c r="G6" s="6">
        <f t="shared" si="1"/>
        <v>4619.3601385800002</v>
      </c>
      <c r="H6" s="6">
        <f t="shared" si="12"/>
        <v>734.51</v>
      </c>
      <c r="I6" s="6">
        <v>0</v>
      </c>
      <c r="J6" s="6">
        <f>OPEX_Details!G5+(H6*Grid_Electricity_Price_MWh)</f>
        <v>275423.94091999996</v>
      </c>
      <c r="K6" s="6">
        <f t="shared" si="2"/>
        <v>0.82270247479188197</v>
      </c>
      <c r="L6" s="6">
        <f t="shared" si="3"/>
        <v>226591.95781181706</v>
      </c>
      <c r="M6" s="6">
        <f t="shared" si="4"/>
        <v>479040</v>
      </c>
      <c r="N6" s="6">
        <f t="shared" si="11"/>
        <v>499100</v>
      </c>
      <c r="O6" s="6">
        <f t="shared" si="5"/>
        <v>-295483.94091999996</v>
      </c>
      <c r="P6" s="6">
        <f t="shared" si="6"/>
        <v>0</v>
      </c>
      <c r="Q6" s="6">
        <f t="shared" si="13"/>
        <v>-295483.94091999996</v>
      </c>
      <c r="R6" s="12">
        <f t="shared" si="14"/>
        <v>203616.05908000004</v>
      </c>
      <c r="S6" s="18">
        <v>214309.25307999999</v>
      </c>
      <c r="T6" s="6"/>
      <c r="U6" s="6"/>
      <c r="V6" s="6"/>
      <c r="W6" s="6"/>
      <c r="X6" s="6"/>
      <c r="Y6" s="6"/>
      <c r="Z6" s="6"/>
    </row>
    <row r="7" spans="1:26" x14ac:dyDescent="0.35">
      <c r="A7" s="3">
        <v>5</v>
      </c>
      <c r="B7" s="6">
        <f t="shared" si="7"/>
        <v>4592.098425378188</v>
      </c>
      <c r="C7" s="6">
        <f t="shared" si="8"/>
        <v>6.8717568195625001</v>
      </c>
      <c r="D7" s="6">
        <f t="shared" si="9"/>
        <v>57.183825081855488</v>
      </c>
      <c r="E7" s="6">
        <f t="shared" si="10"/>
        <v>79840</v>
      </c>
      <c r="F7" s="6">
        <f t="shared" si="0"/>
        <v>4565.5565945353428</v>
      </c>
      <c r="G7" s="6">
        <f t="shared" si="1"/>
        <v>4596.2214794699257</v>
      </c>
      <c r="H7" s="6">
        <f t="shared" si="12"/>
        <v>734.51</v>
      </c>
      <c r="I7" s="6">
        <v>0</v>
      </c>
      <c r="J7" s="6">
        <f>OPEX_Details!G6+(H7*Grid_Electricity_Price_MWh)</f>
        <v>279198.97613840003</v>
      </c>
      <c r="K7" s="6">
        <f t="shared" si="2"/>
        <v>0.78352616646845896</v>
      </c>
      <c r="L7" s="6">
        <f t="shared" si="3"/>
        <v>218759.70345563933</v>
      </c>
      <c r="M7" s="6">
        <f t="shared" si="4"/>
        <v>479040</v>
      </c>
      <c r="N7" s="6">
        <f t="shared" si="11"/>
        <v>499100</v>
      </c>
      <c r="O7" s="6">
        <f t="shared" si="5"/>
        <v>-299258.97613840003</v>
      </c>
      <c r="P7" s="6">
        <f t="shared" si="6"/>
        <v>0</v>
      </c>
      <c r="Q7" s="6">
        <f t="shared" si="13"/>
        <v>-299258.97613840003</v>
      </c>
      <c r="R7" s="12">
        <f t="shared" si="14"/>
        <v>199841.02386159997</v>
      </c>
      <c r="S7" s="18">
        <v>210704.01114159997</v>
      </c>
      <c r="T7" s="6"/>
      <c r="U7" s="6"/>
      <c r="V7" s="6"/>
      <c r="Y7" s="6"/>
      <c r="Z7" s="6"/>
    </row>
    <row r="8" spans="1:26" x14ac:dyDescent="0.35">
      <c r="A8" s="3">
        <v>6</v>
      </c>
      <c r="B8" s="6">
        <f t="shared" si="7"/>
        <v>4569.137933251297</v>
      </c>
      <c r="C8" s="6">
        <f t="shared" si="8"/>
        <v>6.7686804672690624</v>
      </c>
      <c r="D8" s="6">
        <f t="shared" si="9"/>
        <v>57.6127037699694</v>
      </c>
      <c r="E8" s="6">
        <f t="shared" si="10"/>
        <v>79840</v>
      </c>
      <c r="F8" s="6">
        <f t="shared" si="0"/>
        <v>4599.7982689943565</v>
      </c>
      <c r="G8" s="6">
        <f t="shared" si="1"/>
        <v>4573.1991415316588</v>
      </c>
      <c r="H8" s="6">
        <f t="shared" si="12"/>
        <v>761.10912746269764</v>
      </c>
      <c r="I8" s="6">
        <v>0</v>
      </c>
      <c r="J8" s="6">
        <f>OPEX_Details!G7+(H8*Grid_Electricity_Price_MWh)</f>
        <v>286188.20910176629</v>
      </c>
      <c r="K8" s="6">
        <f t="shared" si="2"/>
        <v>0.74621539663662761</v>
      </c>
      <c r="L8" s="6">
        <f t="shared" si="3"/>
        <v>213558.04796760067</v>
      </c>
      <c r="M8" s="6">
        <f t="shared" si="4"/>
        <v>479040</v>
      </c>
      <c r="N8" s="6">
        <f t="shared" si="11"/>
        <v>499100</v>
      </c>
      <c r="O8" s="6">
        <f t="shared" si="5"/>
        <v>-306248.20910176629</v>
      </c>
      <c r="P8" s="6">
        <f t="shared" si="6"/>
        <v>0</v>
      </c>
      <c r="Q8" s="6">
        <f t="shared" si="13"/>
        <v>-306248.20910176629</v>
      </c>
      <c r="R8" s="12">
        <f t="shared" si="14"/>
        <v>192851.79089823371</v>
      </c>
      <c r="S8" s="18">
        <v>203967.76470622176</v>
      </c>
      <c r="T8" s="6"/>
      <c r="U8" s="6"/>
      <c r="V8" s="6"/>
      <c r="Y8" s="6"/>
      <c r="Z8" s="6"/>
    </row>
    <row r="9" spans="1:26" x14ac:dyDescent="0.35">
      <c r="A9" s="3">
        <v>7</v>
      </c>
      <c r="B9" s="6">
        <f t="shared" si="7"/>
        <v>4546.2922435850405</v>
      </c>
      <c r="C9" s="6">
        <f t="shared" si="8"/>
        <v>6.6671502602600263</v>
      </c>
      <c r="D9" s="6">
        <f t="shared" si="9"/>
        <v>58.044799048244187</v>
      </c>
      <c r="E9" s="6">
        <f t="shared" si="10"/>
        <v>79840</v>
      </c>
      <c r="F9" s="6">
        <f t="shared" si="0"/>
        <v>4634.2967560118159</v>
      </c>
      <c r="G9" s="6">
        <f t="shared" si="1"/>
        <v>4550.2925337411962</v>
      </c>
      <c r="H9" s="6">
        <f t="shared" si="12"/>
        <v>818.51422227061971</v>
      </c>
      <c r="I9" s="6">
        <v>0</v>
      </c>
      <c r="J9" s="6">
        <f>OPEX_Details!G8+(H9*Grid_Electricity_Price_MWh)</f>
        <v>296889.55693032453</v>
      </c>
      <c r="K9" s="6">
        <f t="shared" si="2"/>
        <v>0.71068133013012147</v>
      </c>
      <c r="L9" s="6">
        <f t="shared" si="3"/>
        <v>210993.86522098546</v>
      </c>
      <c r="M9" s="6">
        <f t="shared" si="4"/>
        <v>479040</v>
      </c>
      <c r="N9" s="6">
        <f t="shared" si="11"/>
        <v>499100</v>
      </c>
      <c r="O9" s="6">
        <f t="shared" si="5"/>
        <v>-316949.55693032453</v>
      </c>
      <c r="P9" s="6">
        <f t="shared" si="6"/>
        <v>0</v>
      </c>
      <c r="Q9" s="6">
        <f t="shared" si="13"/>
        <v>-316949.55693032453</v>
      </c>
      <c r="R9" s="12">
        <f t="shared" si="14"/>
        <v>182150.44306967547</v>
      </c>
      <c r="S9" s="18">
        <v>193615.28509059933</v>
      </c>
      <c r="T9" s="6"/>
      <c r="U9" s="6"/>
      <c r="V9" s="6"/>
      <c r="Y9" s="6"/>
      <c r="Z9" s="6"/>
    </row>
    <row r="10" spans="1:26" x14ac:dyDescent="0.35">
      <c r="A10" s="3">
        <v>8</v>
      </c>
      <c r="B10" s="6">
        <f t="shared" si="7"/>
        <v>4523.5607823671153</v>
      </c>
      <c r="C10" s="6">
        <f t="shared" si="8"/>
        <v>6.567143006356126</v>
      </c>
      <c r="D10" s="6">
        <f t="shared" si="9"/>
        <v>58.480135041106024</v>
      </c>
      <c r="E10" s="6">
        <f t="shared" si="10"/>
        <v>79840</v>
      </c>
      <c r="F10" s="6">
        <f t="shared" si="0"/>
        <v>4669.0539816819046</v>
      </c>
      <c r="G10" s="6">
        <f t="shared" si="1"/>
        <v>4527.5010681709291</v>
      </c>
      <c r="H10" s="6">
        <f t="shared" si="12"/>
        <v>876.06291351097548</v>
      </c>
      <c r="I10" s="6">
        <v>0</v>
      </c>
      <c r="J10" s="6">
        <f>OPEX_Details!G9+(H10*Grid_Electricity_Price_MWh)</f>
        <v>307686.40007073432</v>
      </c>
      <c r="K10" s="6">
        <f t="shared" si="2"/>
        <v>0.67683936202868722</v>
      </c>
      <c r="L10" s="6">
        <f t="shared" si="3"/>
        <v>208254.26672877924</v>
      </c>
      <c r="M10" s="6">
        <f t="shared" si="4"/>
        <v>479040</v>
      </c>
      <c r="N10" s="6">
        <f t="shared" si="11"/>
        <v>499100</v>
      </c>
      <c r="O10" s="6">
        <f t="shared" si="5"/>
        <v>-327746.40007073432</v>
      </c>
      <c r="P10" s="6">
        <f t="shared" si="6"/>
        <v>0</v>
      </c>
      <c r="Q10" s="6">
        <f t="shared" si="13"/>
        <v>-327746.40007073432</v>
      </c>
      <c r="R10" s="12">
        <f t="shared" si="14"/>
        <v>171353.59992926568</v>
      </c>
      <c r="S10" s="18">
        <v>183171.27401099284</v>
      </c>
      <c r="T10" s="6"/>
      <c r="U10" s="6"/>
      <c r="V10" s="6"/>
      <c r="Y10" s="6"/>
      <c r="Z10" s="6"/>
    </row>
    <row r="11" spans="1:26" x14ac:dyDescent="0.35">
      <c r="A11" s="3">
        <v>9</v>
      </c>
      <c r="B11" s="6">
        <f t="shared" si="7"/>
        <v>4500.9429784552804</v>
      </c>
      <c r="C11" s="6">
        <f t="shared" si="8"/>
        <v>6.4686358612607844</v>
      </c>
      <c r="D11" s="6">
        <f t="shared" si="9"/>
        <v>58.918736053914323</v>
      </c>
      <c r="E11" s="6">
        <f t="shared" si="10"/>
        <v>79840</v>
      </c>
      <c r="F11" s="6">
        <f t="shared" si="0"/>
        <v>4704.0718865445187</v>
      </c>
      <c r="G11" s="6">
        <f t="shared" si="1"/>
        <v>4504.8241599720368</v>
      </c>
      <c r="H11" s="6">
        <f t="shared" si="12"/>
        <v>933.75772657248194</v>
      </c>
      <c r="I11" s="6">
        <v>0</v>
      </c>
      <c r="J11" s="6">
        <f>OPEX_Details!G10+(H11*Grid_Electricity_Price_MWh)</f>
        <v>318580.60753752082</v>
      </c>
      <c r="K11" s="6">
        <f t="shared" si="2"/>
        <v>0.64460891621779726</v>
      </c>
      <c r="L11" s="6">
        <f t="shared" si="3"/>
        <v>205359.90015276871</v>
      </c>
      <c r="M11" s="6">
        <f t="shared" si="4"/>
        <v>479040</v>
      </c>
      <c r="N11" s="6">
        <f t="shared" si="11"/>
        <v>499100</v>
      </c>
      <c r="O11" s="6">
        <f t="shared" si="5"/>
        <v>-338640.60753752082</v>
      </c>
      <c r="P11" s="6">
        <f t="shared" si="6"/>
        <v>0</v>
      </c>
      <c r="Q11" s="6">
        <f t="shared" si="13"/>
        <v>-338640.60753752082</v>
      </c>
      <c r="R11" s="12">
        <f t="shared" si="14"/>
        <v>160459.39246247918</v>
      </c>
      <c r="S11" s="18">
        <v>172633.94069021475</v>
      </c>
      <c r="T11" s="6"/>
      <c r="U11" s="6"/>
      <c r="V11" s="6"/>
      <c r="W11" s="6"/>
      <c r="X11" s="6"/>
      <c r="Y11" s="6"/>
      <c r="Z11" s="6"/>
    </row>
    <row r="12" spans="1:26" s="16" customFormat="1" x14ac:dyDescent="0.35">
      <c r="A12" s="15">
        <v>10</v>
      </c>
      <c r="B12" s="14">
        <f t="shared" si="7"/>
        <v>4478.4382635630036</v>
      </c>
      <c r="C12" s="14">
        <f t="shared" si="8"/>
        <v>6.3716063233418723</v>
      </c>
      <c r="D12" s="14">
        <f t="shared" si="9"/>
        <v>59.36062657431868</v>
      </c>
      <c r="E12" s="14">
        <f t="shared" si="10"/>
        <v>79840</v>
      </c>
      <c r="F12" s="14">
        <f t="shared" si="0"/>
        <v>4739.3524256936034</v>
      </c>
      <c r="G12" s="14">
        <f t="shared" si="1"/>
        <v>4482.2612273570085</v>
      </c>
      <c r="H12" s="14">
        <f t="shared" si="12"/>
        <v>991.60119833659496</v>
      </c>
      <c r="I12" s="14">
        <f xml:space="preserve"> 350000+ 135000</f>
        <v>485000</v>
      </c>
      <c r="J12" s="14">
        <f>OPEX_Details!G11+(H12*Grid_Electricity_Price_MWh)</f>
        <v>329574.08112172555</v>
      </c>
      <c r="K12" s="14">
        <f t="shared" si="2"/>
        <v>0.61391325354075932</v>
      </c>
      <c r="L12" s="14">
        <f t="shared" si="3"/>
        <v>202329.89642414468</v>
      </c>
      <c r="M12" s="14">
        <f t="shared" si="4"/>
        <v>479040</v>
      </c>
      <c r="N12" s="14">
        <f t="shared" si="11"/>
        <v>499100</v>
      </c>
      <c r="O12" s="14">
        <f t="shared" si="5"/>
        <v>-349634.08112172555</v>
      </c>
      <c r="P12" s="14">
        <f t="shared" si="6"/>
        <v>0</v>
      </c>
      <c r="Q12" s="14">
        <f t="shared" si="13"/>
        <v>-349634.08112172555</v>
      </c>
      <c r="R12" s="17">
        <f>Q12+N12</f>
        <v>149465.91887827445</v>
      </c>
      <c r="S12" s="18">
        <f>162001.463022263-I12</f>
        <v>-322998.53697773698</v>
      </c>
      <c r="T12" s="14"/>
      <c r="U12" s="14"/>
      <c r="V12" s="14"/>
      <c r="W12" s="14"/>
      <c r="X12" s="14"/>
      <c r="Y12" s="14"/>
      <c r="Z12" s="14"/>
    </row>
    <row r="13" spans="1:26" x14ac:dyDescent="0.35">
      <c r="A13" s="3">
        <v>11</v>
      </c>
      <c r="B13" s="6">
        <f t="shared" si="7"/>
        <v>4456.046072245189</v>
      </c>
      <c r="C13" s="6">
        <f t="shared" si="8"/>
        <v>6.2760322284917445</v>
      </c>
      <c r="D13" s="6">
        <f t="shared" si="9"/>
        <v>59.805831273626083</v>
      </c>
      <c r="E13" s="6">
        <f t="shared" si="10"/>
        <v>79840</v>
      </c>
      <c r="F13" s="6">
        <f t="shared" si="0"/>
        <v>4774.8975688863065</v>
      </c>
      <c r="G13" s="6">
        <f t="shared" si="1"/>
        <v>4459.8116915822839</v>
      </c>
      <c r="H13" s="6">
        <f t="shared" si="12"/>
        <v>1049.5958773040227</v>
      </c>
      <c r="I13" s="6">
        <v>0</v>
      </c>
      <c r="J13" s="6">
        <f>OPEX_Details!G12+(H13*Grid_Electricity_Price_MWh)</f>
        <v>340668.75603424222</v>
      </c>
      <c r="K13" s="6">
        <f t="shared" si="2"/>
        <v>0.5846792890864374</v>
      </c>
      <c r="L13" s="6">
        <f t="shared" si="3"/>
        <v>199181.96609206172</v>
      </c>
      <c r="M13" s="6">
        <f t="shared" si="4"/>
        <v>479040</v>
      </c>
      <c r="N13" s="6">
        <f t="shared" si="11"/>
        <v>499100</v>
      </c>
      <c r="O13" s="6">
        <f t="shared" si="5"/>
        <v>-360728.75603424222</v>
      </c>
      <c r="P13" s="6">
        <f t="shared" si="6"/>
        <v>0</v>
      </c>
      <c r="Q13" s="6">
        <f t="shared" si="13"/>
        <v>-360728.75603424222</v>
      </c>
      <c r="R13" s="12">
        <f t="shared" si="14"/>
        <v>138371.24396575778</v>
      </c>
      <c r="S13" s="18">
        <v>151271.98695762793</v>
      </c>
      <c r="T13" s="6"/>
      <c r="U13" s="6"/>
      <c r="V13" s="6"/>
      <c r="W13" s="6"/>
      <c r="X13" s="6"/>
      <c r="Y13" s="6"/>
      <c r="Z13" s="6"/>
    </row>
    <row r="14" spans="1:26" x14ac:dyDescent="0.35">
      <c r="A14" s="3">
        <v>12</v>
      </c>
      <c r="B14" s="6">
        <f t="shared" si="7"/>
        <v>4433.7658418839628</v>
      </c>
      <c r="C14" s="6">
        <f t="shared" si="8"/>
        <v>6.1818917450643687</v>
      </c>
      <c r="D14" s="6">
        <f t="shared" si="9"/>
        <v>60.254375008178286</v>
      </c>
      <c r="E14" s="6">
        <f t="shared" si="10"/>
        <v>79840</v>
      </c>
      <c r="F14" s="6">
        <f t="shared" si="0"/>
        <v>4810.7093006529549</v>
      </c>
      <c r="G14" s="6">
        <f t="shared" si="1"/>
        <v>4437.474976931001</v>
      </c>
      <c r="H14" s="6">
        <f t="shared" si="12"/>
        <v>1107.7443237219538</v>
      </c>
      <c r="I14" s="6">
        <v>0</v>
      </c>
      <c r="J14" s="6">
        <f>OPEX_Details!G13+(H14*Grid_Electricity_Price_MWh)</f>
        <v>351866.60156180541</v>
      </c>
      <c r="K14" s="6">
        <f t="shared" si="2"/>
        <v>0.5568374181775595</v>
      </c>
      <c r="L14" s="6">
        <f t="shared" si="3"/>
        <v>195932.48995658776</v>
      </c>
      <c r="M14" s="6">
        <f t="shared" si="4"/>
        <v>479040</v>
      </c>
      <c r="N14" s="6">
        <f t="shared" si="11"/>
        <v>499100</v>
      </c>
      <c r="O14" s="6">
        <f t="shared" si="5"/>
        <v>-371926.60156180541</v>
      </c>
      <c r="P14" s="6">
        <f t="shared" si="6"/>
        <v>0</v>
      </c>
      <c r="Q14" s="6">
        <f t="shared" si="13"/>
        <v>-371926.60156180541</v>
      </c>
      <c r="R14" s="12">
        <f t="shared" si="14"/>
        <v>127173.39843819459</v>
      </c>
      <c r="S14" s="18">
        <v>140443.62587651768</v>
      </c>
      <c r="T14" s="6"/>
      <c r="U14" s="6"/>
      <c r="V14" s="6"/>
      <c r="W14" s="6"/>
      <c r="X14" s="6"/>
      <c r="Y14" s="6"/>
      <c r="Z14" s="6"/>
    </row>
    <row r="15" spans="1:26" x14ac:dyDescent="0.35">
      <c r="A15" s="3">
        <v>13</v>
      </c>
      <c r="B15" s="6">
        <f t="shared" si="7"/>
        <v>4411.5970126745433</v>
      </c>
      <c r="C15" s="6">
        <f t="shared" si="8"/>
        <v>6.0891633688884026</v>
      </c>
      <c r="D15" s="6">
        <f t="shared" si="9"/>
        <v>60.706282820739624</v>
      </c>
      <c r="E15" s="6">
        <f t="shared" si="10"/>
        <v>79840</v>
      </c>
      <c r="F15" s="6">
        <f t="shared" si="0"/>
        <v>4846.7896204078515</v>
      </c>
      <c r="G15" s="6">
        <f t="shared" si="1"/>
        <v>4415.2505106958761</v>
      </c>
      <c r="H15" s="6">
        <f t="shared" si="12"/>
        <v>1166.0491097119755</v>
      </c>
      <c r="I15" s="6">
        <v>0</v>
      </c>
      <c r="J15" s="6">
        <f>OPEX_Details!G14+(H15*Grid_Electricity_Price_MWh)</f>
        <v>363169.62173588027</v>
      </c>
      <c r="K15" s="6">
        <f t="shared" si="2"/>
        <v>0.53032135064529462</v>
      </c>
      <c r="L15" s="6">
        <f t="shared" si="3"/>
        <v>192596.60431231276</v>
      </c>
      <c r="M15" s="6">
        <f t="shared" si="4"/>
        <v>479040</v>
      </c>
      <c r="N15" s="6">
        <f t="shared" si="11"/>
        <v>499100</v>
      </c>
      <c r="O15" s="6">
        <f t="shared" si="5"/>
        <v>-383229.62173588027</v>
      </c>
      <c r="P15" s="6">
        <f t="shared" si="6"/>
        <v>0</v>
      </c>
      <c r="Q15" s="6">
        <f t="shared" si="13"/>
        <v>-383229.62173588027</v>
      </c>
      <c r="R15" s="12">
        <f t="shared" si="14"/>
        <v>115870.37826411973</v>
      </c>
      <c r="S15" s="18">
        <v>129514.45994975604</v>
      </c>
      <c r="T15" s="6"/>
      <c r="U15" s="6"/>
      <c r="V15" s="6"/>
      <c r="W15" s="6"/>
      <c r="X15" s="6"/>
      <c r="Y15" s="6"/>
      <c r="Z15" s="6"/>
    </row>
    <row r="16" spans="1:26" x14ac:dyDescent="0.35">
      <c r="A16" s="3">
        <v>14</v>
      </c>
      <c r="B16" s="6">
        <f t="shared" si="7"/>
        <v>4389.5390276111702</v>
      </c>
      <c r="C16" s="6">
        <f t="shared" si="8"/>
        <v>5.9978259183550762</v>
      </c>
      <c r="D16" s="6">
        <f t="shared" si="9"/>
        <v>61.16157994189517</v>
      </c>
      <c r="E16" s="6">
        <f t="shared" si="10"/>
        <v>79840</v>
      </c>
      <c r="F16" s="6">
        <f t="shared" si="0"/>
        <v>4883.14054256091</v>
      </c>
      <c r="G16" s="6">
        <f t="shared" si="1"/>
        <v>4393.1377231621836</v>
      </c>
      <c r="H16" s="6">
        <f t="shared" si="12"/>
        <v>1224.5128193987264</v>
      </c>
      <c r="I16" s="6">
        <v>0</v>
      </c>
      <c r="J16" s="6">
        <f>OPEX_Details!G15+(H16*Grid_Electricity_Price_MWh)</f>
        <v>374579.85601471423</v>
      </c>
      <c r="K16" s="6">
        <f t="shared" si="2"/>
        <v>0.50506795299551888</v>
      </c>
      <c r="L16" s="6">
        <f t="shared" si="3"/>
        <v>189188.2811107079</v>
      </c>
      <c r="M16" s="6">
        <f t="shared" si="4"/>
        <v>479040</v>
      </c>
      <c r="N16" s="6">
        <f t="shared" si="11"/>
        <v>499100</v>
      </c>
      <c r="O16" s="6">
        <f t="shared" si="5"/>
        <v>-394639.85601471423</v>
      </c>
      <c r="P16" s="6">
        <f t="shared" si="6"/>
        <v>0</v>
      </c>
      <c r="Q16" s="6">
        <f t="shared" si="13"/>
        <v>-394639.85601471423</v>
      </c>
      <c r="R16" s="12">
        <f t="shared" si="14"/>
        <v>104460.14398528577</v>
      </c>
      <c r="S16" s="18">
        <v>118482.53548711236</v>
      </c>
      <c r="T16" s="6"/>
      <c r="U16" s="6"/>
      <c r="V16" s="6"/>
      <c r="W16" s="6"/>
      <c r="X16" s="6"/>
      <c r="Y16" s="6"/>
      <c r="Z16" s="6"/>
    </row>
    <row r="17" spans="1:26" x14ac:dyDescent="0.35">
      <c r="A17" s="3">
        <v>15</v>
      </c>
      <c r="B17" s="6">
        <f t="shared" si="7"/>
        <v>4367.5913324731146</v>
      </c>
      <c r="C17" s="6">
        <f t="shared" si="8"/>
        <v>5.9078585295797508</v>
      </c>
      <c r="D17" s="6">
        <f t="shared" si="9"/>
        <v>61.620291791459401</v>
      </c>
      <c r="E17" s="6">
        <f t="shared" si="10"/>
        <v>79840</v>
      </c>
      <c r="F17" s="6">
        <f t="shared" si="0"/>
        <v>4919.7640966301187</v>
      </c>
      <c r="G17" s="6">
        <f t="shared" si="1"/>
        <v>4371.1360475908623</v>
      </c>
      <c r="H17" s="6">
        <f t="shared" si="12"/>
        <v>1283.1380490392564</v>
      </c>
      <c r="I17" s="6">
        <v>0</v>
      </c>
      <c r="J17" s="6">
        <f>OPEX_Details!G16+(H17*Grid_Electricity_Price_MWh)</f>
        <v>386099.37997881009</v>
      </c>
      <c r="K17" s="6">
        <f t="shared" si="2"/>
        <v>0.48101709809097021</v>
      </c>
      <c r="L17" s="6">
        <f t="shared" si="3"/>
        <v>185720.40333213008</v>
      </c>
      <c r="M17" s="6">
        <f t="shared" si="4"/>
        <v>479040</v>
      </c>
      <c r="N17" s="6">
        <f t="shared" si="11"/>
        <v>499100</v>
      </c>
      <c r="O17" s="6">
        <f t="shared" si="5"/>
        <v>-406159.37997881009</v>
      </c>
      <c r="P17" s="6">
        <f t="shared" si="6"/>
        <v>0</v>
      </c>
      <c r="Q17" s="6">
        <f t="shared" si="13"/>
        <v>-406159.37997881009</v>
      </c>
      <c r="R17" s="12">
        <f t="shared" si="14"/>
        <v>92940.620021189912</v>
      </c>
      <c r="S17" s="18">
        <v>107345.86427281064</v>
      </c>
      <c r="T17" s="6"/>
      <c r="U17" s="6"/>
      <c r="V17" s="6"/>
      <c r="W17" s="6"/>
      <c r="X17" s="6"/>
      <c r="Y17" s="6"/>
      <c r="Z17" s="6"/>
    </row>
    <row r="18" spans="1:26" x14ac:dyDescent="0.35">
      <c r="A18" s="3">
        <v>16</v>
      </c>
      <c r="B18" s="6">
        <f t="shared" si="7"/>
        <v>4345.7533758107493</v>
      </c>
      <c r="C18" s="6">
        <f t="shared" si="8"/>
        <v>5.8192406516360542</v>
      </c>
      <c r="D18" s="6">
        <f t="shared" si="9"/>
        <v>62.082443979895359</v>
      </c>
      <c r="E18" s="6">
        <f t="shared" si="10"/>
        <v>79840</v>
      </c>
      <c r="F18" s="6">
        <f t="shared" si="0"/>
        <v>4956.6623273548457</v>
      </c>
      <c r="G18" s="6">
        <f t="shared" si="1"/>
        <v>4349.2449202017306</v>
      </c>
      <c r="H18" s="6">
        <f t="shared" si="12"/>
        <v>1341.9274071531152</v>
      </c>
      <c r="I18" s="6">
        <v>0</v>
      </c>
      <c r="J18" s="6">
        <f>OPEX_Details!G17+(H18*Grid_Electricity_Price_MWh)</f>
        <v>397730.30604008894</v>
      </c>
      <c r="K18" s="6">
        <f t="shared" si="2"/>
        <v>0.45811152199140021</v>
      </c>
      <c r="L18" s="6">
        <f t="shared" si="3"/>
        <v>182204.83584213053</v>
      </c>
      <c r="M18" s="6">
        <f t="shared" si="4"/>
        <v>479040</v>
      </c>
      <c r="N18" s="6">
        <f t="shared" si="11"/>
        <v>499100</v>
      </c>
      <c r="O18" s="6">
        <f t="shared" si="5"/>
        <v>-417790.30604008894</v>
      </c>
      <c r="P18" s="6">
        <f t="shared" si="6"/>
        <v>0</v>
      </c>
      <c r="Q18" s="6">
        <f t="shared" si="13"/>
        <v>-417790.30604008894</v>
      </c>
      <c r="R18" s="12">
        <f t="shared" si="14"/>
        <v>81309.693959911063</v>
      </c>
      <c r="S18" s="18">
        <v>96102.422887963476</v>
      </c>
      <c r="T18" s="6"/>
      <c r="U18" s="6"/>
      <c r="V18" s="6"/>
      <c r="W18" s="6"/>
      <c r="X18" s="6"/>
      <c r="Y18" s="6"/>
      <c r="Z18" s="6"/>
    </row>
    <row r="19" spans="1:26" x14ac:dyDescent="0.35">
      <c r="A19" s="3">
        <v>17</v>
      </c>
      <c r="B19" s="6">
        <f t="shared" si="7"/>
        <v>4324.0246089316952</v>
      </c>
      <c r="C19" s="6">
        <f t="shared" si="8"/>
        <v>5.7319520418615131</v>
      </c>
      <c r="D19" s="6">
        <f t="shared" si="9"/>
        <v>62.548062309744566</v>
      </c>
      <c r="E19" s="6">
        <f t="shared" si="10"/>
        <v>79840</v>
      </c>
      <c r="F19" s="6">
        <f t="shared" si="0"/>
        <v>4993.8372948100068</v>
      </c>
      <c r="G19" s="6">
        <f t="shared" si="1"/>
        <v>4327.4637801568124</v>
      </c>
      <c r="H19" s="6">
        <f t="shared" si="12"/>
        <v>1400.8835146531944</v>
      </c>
      <c r="I19" s="6">
        <v>0</v>
      </c>
      <c r="J19" s="6">
        <f>OPEX_Details!G18+(H19*Grid_Electricity_Price_MWh)</f>
        <v>409474.7841650187</v>
      </c>
      <c r="K19" s="6">
        <f t="shared" si="2"/>
        <v>0.43629668761085727</v>
      </c>
      <c r="L19" s="6">
        <f t="shared" si="3"/>
        <v>178652.49199136838</v>
      </c>
      <c r="M19" s="6">
        <f t="shared" si="4"/>
        <v>479040</v>
      </c>
      <c r="N19" s="6">
        <f t="shared" si="11"/>
        <v>499100</v>
      </c>
      <c r="O19" s="6">
        <f t="shared" si="5"/>
        <v>-429534.7841650187</v>
      </c>
      <c r="P19" s="6">
        <f t="shared" si="6"/>
        <v>0</v>
      </c>
      <c r="Q19" s="6">
        <f t="shared" si="13"/>
        <v>-429534.7841650187</v>
      </c>
      <c r="R19" s="12">
        <f t="shared" si="14"/>
        <v>69565.215834981296</v>
      </c>
      <c r="S19" s="18">
        <v>84750.152019665751</v>
      </c>
      <c r="T19" s="6"/>
      <c r="U19" s="6"/>
      <c r="V19" s="6"/>
      <c r="W19" s="6"/>
      <c r="X19" s="6"/>
      <c r="Y19" s="6"/>
      <c r="Z19" s="6"/>
    </row>
    <row r="20" spans="1:26" x14ac:dyDescent="0.35">
      <c r="A20" s="3">
        <v>18</v>
      </c>
      <c r="B20" s="6">
        <f t="shared" si="7"/>
        <v>4302.4044858870366</v>
      </c>
      <c r="C20" s="6">
        <f t="shared" si="8"/>
        <v>5.6459727612335904</v>
      </c>
      <c r="D20" s="6">
        <f t="shared" si="9"/>
        <v>63.017172777067657</v>
      </c>
      <c r="E20" s="6">
        <f t="shared" si="10"/>
        <v>79840</v>
      </c>
      <c r="F20" s="6">
        <f t="shared" si="0"/>
        <v>5031.2910745210811</v>
      </c>
      <c r="G20" s="6">
        <f t="shared" si="1"/>
        <v>4305.792069543777</v>
      </c>
      <c r="H20" s="6">
        <f t="shared" si="12"/>
        <v>1460.0090049773041</v>
      </c>
      <c r="I20" s="6">
        <v>0</v>
      </c>
      <c r="J20" s="6">
        <f>OPEX_Details!G19+(H20*Grid_Electricity_Price_MWh)</f>
        <v>421335.00261198252</v>
      </c>
      <c r="K20" s="6">
        <f t="shared" si="2"/>
        <v>0.41552065486748313</v>
      </c>
      <c r="L20" s="6">
        <f t="shared" si="3"/>
        <v>175073.39620392368</v>
      </c>
      <c r="M20" s="6">
        <f t="shared" si="4"/>
        <v>479040</v>
      </c>
      <c r="N20" s="6">
        <f t="shared" si="11"/>
        <v>499100</v>
      </c>
      <c r="O20" s="6">
        <f t="shared" si="5"/>
        <v>-441395.00261198252</v>
      </c>
      <c r="P20" s="6">
        <f t="shared" si="6"/>
        <v>0</v>
      </c>
      <c r="Q20" s="6">
        <f t="shared" si="13"/>
        <v>-441395.00261198252</v>
      </c>
      <c r="R20" s="12">
        <f t="shared" si="14"/>
        <v>57704.99738801748</v>
      </c>
      <c r="S20" s="18">
        <v>73286.95575648878</v>
      </c>
      <c r="T20" s="6"/>
      <c r="U20" s="6"/>
      <c r="V20" s="6"/>
      <c r="W20" s="6"/>
      <c r="X20" s="6"/>
      <c r="Y20" s="6"/>
      <c r="Z20" s="6"/>
    </row>
    <row r="21" spans="1:26" x14ac:dyDescent="0.35">
      <c r="A21" s="3">
        <v>19</v>
      </c>
      <c r="B21" s="6">
        <f t="shared" si="7"/>
        <v>4280.8924634576015</v>
      </c>
      <c r="C21" s="6">
        <f t="shared" si="8"/>
        <v>5.5612831698150869</v>
      </c>
      <c r="D21" s="6">
        <f t="shared" si="9"/>
        <v>63.489801572895672</v>
      </c>
      <c r="E21" s="6">
        <f t="shared" si="10"/>
        <v>79840</v>
      </c>
      <c r="F21" s="6">
        <f t="shared" si="0"/>
        <v>5069.0257575799906</v>
      </c>
      <c r="G21" s="6">
        <f t="shared" si="1"/>
        <v>4284.2292333594905</v>
      </c>
      <c r="H21" s="6">
        <f t="shared" si="12"/>
        <v>1519.3065242205</v>
      </c>
      <c r="I21" s="6">
        <v>0</v>
      </c>
      <c r="J21" s="6">
        <f>OPEX_Details!G20+(H21*Grid_Electricity_Price_MWh)</f>
        <v>433313.18868317292</v>
      </c>
      <c r="K21" s="6">
        <f t="shared" si="2"/>
        <v>0.39573395701665059</v>
      </c>
      <c r="L21" s="6">
        <f t="shared" si="3"/>
        <v>171476.74278509457</v>
      </c>
      <c r="M21" s="6">
        <f t="shared" si="4"/>
        <v>479040</v>
      </c>
      <c r="N21" s="6">
        <f t="shared" si="11"/>
        <v>499100</v>
      </c>
      <c r="O21" s="6">
        <f t="shared" si="5"/>
        <v>-453373.18868317292</v>
      </c>
      <c r="P21" s="6">
        <f t="shared" si="6"/>
        <v>0</v>
      </c>
      <c r="Q21" s="6">
        <f t="shared" si="13"/>
        <v>-453373.18868317292</v>
      </c>
      <c r="R21" s="12">
        <f t="shared" si="14"/>
        <v>45726.811316827079</v>
      </c>
      <c r="S21" s="18">
        <v>61710.700870098779</v>
      </c>
      <c r="T21" s="6"/>
      <c r="U21" s="6"/>
      <c r="V21" s="6"/>
      <c r="W21" s="6"/>
      <c r="X21" s="6"/>
      <c r="Y21" s="6"/>
      <c r="Z21" s="6"/>
    </row>
    <row r="22" spans="1:26" x14ac:dyDescent="0.35">
      <c r="A22" s="3">
        <v>20</v>
      </c>
      <c r="B22" s="6">
        <f t="shared" si="7"/>
        <v>4259.4880011403138</v>
      </c>
      <c r="C22" s="6">
        <f t="shared" si="8"/>
        <v>5.4778639222678605</v>
      </c>
      <c r="D22" s="6">
        <f t="shared" si="9"/>
        <v>63.965975084692388</v>
      </c>
      <c r="E22" s="6">
        <f t="shared" si="10"/>
        <v>79840</v>
      </c>
      <c r="F22" s="6">
        <f t="shared" si="0"/>
        <v>5107.0434507618411</v>
      </c>
      <c r="G22" s="6">
        <f t="shared" si="1"/>
        <v>4262.7747194936746</v>
      </c>
      <c r="H22" s="6">
        <f t="shared" si="12"/>
        <v>1578.7787312681664</v>
      </c>
      <c r="I22" s="6">
        <v>0</v>
      </c>
      <c r="J22" s="6">
        <f>OPEX_Details!G21+(H22*Grid_Electricity_Price_MWh)</f>
        <v>445411.60949130054</v>
      </c>
      <c r="K22" s="6">
        <f t="shared" si="2"/>
        <v>0.37688948287300061</v>
      </c>
      <c r="L22" s="6">
        <f t="shared" si="3"/>
        <v>167870.95116680715</v>
      </c>
      <c r="M22" s="6">
        <f t="shared" si="4"/>
        <v>479040</v>
      </c>
      <c r="N22" s="6">
        <f t="shared" si="11"/>
        <v>499100</v>
      </c>
      <c r="O22" s="6">
        <f t="shared" si="5"/>
        <v>-465471.60949130054</v>
      </c>
      <c r="P22" s="6">
        <f t="shared" si="6"/>
        <v>0</v>
      </c>
      <c r="Q22" s="6">
        <f t="shared" si="13"/>
        <v>-465471.60949130054</v>
      </c>
      <c r="R22" s="12">
        <f t="shared" si="14"/>
        <v>33628.390508699464</v>
      </c>
      <c r="S22" s="18">
        <v>50019.216082726314</v>
      </c>
      <c r="T22" s="6"/>
      <c r="U22" s="6"/>
      <c r="V22" s="6"/>
      <c r="W22" s="6"/>
      <c r="X22" s="6"/>
      <c r="Y22" s="6"/>
      <c r="Z22" s="6"/>
    </row>
    <row r="24" spans="1:26" x14ac:dyDescent="0.35">
      <c r="S24" s="19"/>
    </row>
    <row r="27" spans="1:26" ht="29" x14ac:dyDescent="0.35">
      <c r="P27" s="6">
        <f>1/((1+Discount_Rate)^F27)</f>
        <v>1</v>
      </c>
      <c r="Q27" s="7" t="s">
        <v>56</v>
      </c>
      <c r="R27" s="7" t="s">
        <v>57</v>
      </c>
    </row>
    <row r="28" spans="1:26" ht="29" x14ac:dyDescent="0.35">
      <c r="Q28" s="3" t="s">
        <v>58</v>
      </c>
      <c r="R28" s="9">
        <f>-(Adjusted_CAPEX + Working_Capital_Percent)</f>
        <v>-2495500.15</v>
      </c>
    </row>
    <row r="29" spans="1:26" ht="29" x14ac:dyDescent="0.35">
      <c r="Q29" s="3" t="s">
        <v>59</v>
      </c>
      <c r="R29" s="10">
        <f>NPV(Discount_Rate,R1:R22)+S2</f>
        <v>-630755.42845404334</v>
      </c>
    </row>
    <row r="30" spans="1:26" ht="43.5" x14ac:dyDescent="0.35">
      <c r="Q30" s="3" t="s">
        <v>60</v>
      </c>
      <c r="R30" s="20">
        <f>IRR(S2:S22)</f>
        <v>3.6685335163013644E-3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0FDD-779D-4310-A34A-3F54DB23447C}">
  <dimension ref="A1:B9"/>
  <sheetViews>
    <sheetView zoomScale="112" zoomScaleNormal="112" workbookViewId="0">
      <selection activeCell="B15" sqref="B15"/>
    </sheetView>
  </sheetViews>
  <sheetFormatPr defaultRowHeight="14.5" x14ac:dyDescent="0.35"/>
  <cols>
    <col min="1" max="1" width="22.54296875" customWidth="1"/>
    <col min="2" max="2" width="18.26953125" customWidth="1"/>
    <col min="5" max="5" width="21" customWidth="1"/>
  </cols>
  <sheetData>
    <row r="1" spans="1:2" x14ac:dyDescent="0.35">
      <c r="A1" s="25" t="s">
        <v>42</v>
      </c>
      <c r="B1" s="5" t="s">
        <v>0</v>
      </c>
    </row>
    <row r="2" spans="1:2" x14ac:dyDescent="0.35">
      <c r="A2" s="25" t="s">
        <v>43</v>
      </c>
      <c r="B2" s="5">
        <f>SUM(LCOH_Engine!L2:L22)</f>
        <v>4053580.0482170992</v>
      </c>
    </row>
    <row r="3" spans="1:2" x14ac:dyDescent="0.35">
      <c r="A3" s="25" t="s">
        <v>44</v>
      </c>
      <c r="B3" s="5">
        <f>SUM(LCOH_Engine!E2:E22)</f>
        <v>1596800</v>
      </c>
    </row>
    <row r="4" spans="1:2" x14ac:dyDescent="0.35">
      <c r="A4" s="25" t="s">
        <v>45</v>
      </c>
      <c r="B4" s="5">
        <f>Total_Initial_CAPEX*(1-PNRR_Grant)</f>
        <v>2495500</v>
      </c>
    </row>
    <row r="5" spans="1:2" x14ac:dyDescent="0.35">
      <c r="A5" s="25" t="s">
        <v>46</v>
      </c>
      <c r="B5" s="5">
        <f xml:space="preserve"> (OPEX_Details!G2 + (LCOH_Engine!H3*Grid_Electricity_Price_MWh)) * Working_Capital_Percent</f>
        <v>39680.576999999997</v>
      </c>
    </row>
    <row r="6" spans="1:2" x14ac:dyDescent="0.35">
      <c r="A6" s="25" t="s">
        <v>47</v>
      </c>
      <c r="B6" s="5">
        <f>Total_Initial_CAPEX*Decommissioning_Cost_Percent</f>
        <v>499100</v>
      </c>
    </row>
    <row r="7" spans="1:2" x14ac:dyDescent="0.35">
      <c r="A7" s="25" t="s">
        <v>48</v>
      </c>
      <c r="B7" s="5">
        <f>B6/((1+Discount_Rate)^Project_Lifetime_years)</f>
        <v>188105.54090191459</v>
      </c>
    </row>
    <row r="8" spans="1:2" x14ac:dyDescent="0.35">
      <c r="A8" s="25" t="s">
        <v>49</v>
      </c>
      <c r="B8" s="5">
        <f>B2+B4+B5+B7</f>
        <v>6776866.166119013</v>
      </c>
    </row>
    <row r="9" spans="1:2" x14ac:dyDescent="0.35">
      <c r="A9" s="25" t="s">
        <v>50</v>
      </c>
      <c r="B9" s="6">
        <f>B8/B3</f>
        <v>4.2440294126496827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0C5F-DE1A-441D-A8B8-A63A06E69C6E}">
  <dimension ref="B3:F10"/>
  <sheetViews>
    <sheetView workbookViewId="0">
      <selection activeCell="N11" sqref="N11"/>
    </sheetView>
  </sheetViews>
  <sheetFormatPr defaultRowHeight="14.5" x14ac:dyDescent="0.35"/>
  <cols>
    <col min="1" max="1" width="16" customWidth="1"/>
    <col min="2" max="2" width="15" customWidth="1"/>
    <col min="4" max="4" width="32.6328125" customWidth="1"/>
  </cols>
  <sheetData>
    <row r="3" spans="2:6" x14ac:dyDescent="0.35">
      <c r="B3" s="21"/>
      <c r="C3" s="22" t="s">
        <v>73</v>
      </c>
      <c r="D3" s="21"/>
      <c r="E3" s="21"/>
      <c r="F3" s="21"/>
    </row>
    <row r="4" spans="2:6" ht="26" x14ac:dyDescent="0.35">
      <c r="B4" s="5" t="s">
        <v>74</v>
      </c>
      <c r="C4" s="5">
        <v>100</v>
      </c>
      <c r="D4" s="5">
        <v>118</v>
      </c>
      <c r="E4" s="5">
        <v>150</v>
      </c>
      <c r="F4" s="5">
        <v>175</v>
      </c>
    </row>
    <row r="5" spans="2:6" x14ac:dyDescent="0.35">
      <c r="B5" s="5">
        <v>6</v>
      </c>
      <c r="D5" s="23">
        <f>LCOH_Engine!R29</f>
        <v>-630755.42845404334</v>
      </c>
      <c r="E5" s="23">
        <f>LCOH_Engine!T29</f>
        <v>0</v>
      </c>
      <c r="F5" s="23">
        <f>LCOH_Engine!U29</f>
        <v>0</v>
      </c>
    </row>
    <row r="6" spans="2:6" x14ac:dyDescent="0.35">
      <c r="B6" s="5">
        <v>6.5</v>
      </c>
      <c r="C6" s="23">
        <f>LCOH_Engine!R30</f>
        <v>3.6685335163013644E-3</v>
      </c>
      <c r="D6" s="23">
        <f>Sensibility!S30</f>
        <v>0</v>
      </c>
      <c r="E6" s="23">
        <f>Sensibility!T30</f>
        <v>0</v>
      </c>
      <c r="F6" s="23">
        <f>Sensibility!U30</f>
        <v>0</v>
      </c>
    </row>
    <row r="7" spans="2:6" x14ac:dyDescent="0.35">
      <c r="B7" s="5">
        <v>7</v>
      </c>
      <c r="C7" s="23">
        <f>LCOH_Engine!R31</f>
        <v>0</v>
      </c>
      <c r="D7" s="23">
        <f>Sensibility!S31</f>
        <v>0</v>
      </c>
      <c r="E7" s="23">
        <f>Sensibility!T31</f>
        <v>0</v>
      </c>
      <c r="F7" s="23">
        <f>Sensibility!U31</f>
        <v>0</v>
      </c>
    </row>
    <row r="8" spans="2:6" x14ac:dyDescent="0.35">
      <c r="B8" s="5">
        <v>7.5</v>
      </c>
      <c r="C8" s="23">
        <f>LCOH_Engine!R32</f>
        <v>0</v>
      </c>
      <c r="D8" s="23">
        <f>Sensibility!S32</f>
        <v>0</v>
      </c>
      <c r="E8" s="23">
        <f>Sensibility!T32</f>
        <v>0</v>
      </c>
      <c r="F8" s="23">
        <f>Sensibility!U32</f>
        <v>0</v>
      </c>
    </row>
    <row r="9" spans="2:6" x14ac:dyDescent="0.35">
      <c r="B9" s="5">
        <v>8</v>
      </c>
      <c r="C9" s="23">
        <f>LCOH_Engine!R33</f>
        <v>0</v>
      </c>
      <c r="D9" s="23">
        <f>Sensibility!S33</f>
        <v>0</v>
      </c>
      <c r="E9" s="23">
        <f>Sensibility!T33</f>
        <v>0</v>
      </c>
      <c r="F9" s="23">
        <f>Sensibility!U33</f>
        <v>0</v>
      </c>
    </row>
    <row r="10" spans="2:6" x14ac:dyDescent="0.35">
      <c r="B10" s="21"/>
      <c r="C10" s="21"/>
      <c r="D10" s="21"/>
      <c r="E10" s="21"/>
      <c r="F1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8AC5-64D6-4E08-A487-D1B577AA2134}">
  <dimension ref="A1"/>
  <sheetViews>
    <sheetView workbookViewId="0">
      <selection activeCell="J12" sqref="J12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6C0F-374A-40D3-ADD4-99727BE3A6B7}">
  <dimension ref="A1:E7"/>
  <sheetViews>
    <sheetView workbookViewId="0">
      <selection activeCell="D3" sqref="D3"/>
    </sheetView>
  </sheetViews>
  <sheetFormatPr defaultRowHeight="14.5" x14ac:dyDescent="0.35"/>
  <sheetData>
    <row r="1" spans="1:5" x14ac:dyDescent="0.35">
      <c r="A1" s="21"/>
      <c r="B1" s="22" t="s">
        <v>73</v>
      </c>
      <c r="C1" s="21"/>
      <c r="D1" s="21"/>
      <c r="E1" s="21"/>
    </row>
    <row r="2" spans="1:5" ht="38.5" x14ac:dyDescent="0.35">
      <c r="A2" s="5" t="s">
        <v>74</v>
      </c>
      <c r="B2" s="5">
        <v>100</v>
      </c>
      <c r="C2" s="5">
        <v>118</v>
      </c>
      <c r="D2" s="5">
        <v>150</v>
      </c>
      <c r="E2" s="5">
        <v>175</v>
      </c>
    </row>
    <row r="3" spans="1:5" x14ac:dyDescent="0.35">
      <c r="A3" s="5">
        <v>6</v>
      </c>
      <c r="B3">
        <f>LCOH_Engine!R29</f>
        <v>-630755.42845404334</v>
      </c>
      <c r="C3" s="23"/>
      <c r="D3" s="23"/>
      <c r="E3" s="23"/>
    </row>
    <row r="4" spans="1:5" x14ac:dyDescent="0.35">
      <c r="A4" s="5">
        <v>6.5</v>
      </c>
      <c r="B4" s="23"/>
      <c r="C4" s="23"/>
      <c r="D4" s="23"/>
      <c r="E4" s="23"/>
    </row>
    <row r="5" spans="1:5" x14ac:dyDescent="0.35">
      <c r="A5" s="5">
        <v>7</v>
      </c>
      <c r="B5" s="23"/>
      <c r="C5" s="23"/>
      <c r="D5" s="23"/>
      <c r="E5" s="23"/>
    </row>
    <row r="6" spans="1:5" x14ac:dyDescent="0.35">
      <c r="A6" s="5">
        <v>7.5</v>
      </c>
      <c r="B6" s="23"/>
      <c r="C6" s="23"/>
      <c r="D6" s="23"/>
      <c r="E6" s="23"/>
    </row>
    <row r="7" spans="1:5" x14ac:dyDescent="0.35">
      <c r="A7" s="5">
        <v>8</v>
      </c>
      <c r="B7" s="23"/>
      <c r="C7" s="23"/>
      <c r="D7" s="23"/>
      <c r="E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828196D049314EB83A49798E2C6FCE" ma:contentTypeVersion="5" ma:contentTypeDescription="Create a new document." ma:contentTypeScope="" ma:versionID="767cb8d2959b815bbf9169806456823f">
  <xsd:schema xmlns:xsd="http://www.w3.org/2001/XMLSchema" xmlns:xs="http://www.w3.org/2001/XMLSchema" xmlns:p="http://schemas.microsoft.com/office/2006/metadata/properties" xmlns:ns3="b4bf6899-fa1f-44ad-b3ff-10f98858d96e" targetNamespace="http://schemas.microsoft.com/office/2006/metadata/properties" ma:root="true" ma:fieldsID="217589b83df0e31ea36ef1d5da2fdee3" ns3:_="">
    <xsd:import namespace="b4bf6899-fa1f-44ad-b3ff-10f98858d96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f6899-fa1f-44ad-b3ff-10f98858d96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bf6899-fa1f-44ad-b3ff-10f98858d96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0734CA-0341-43E2-8710-2605C80D84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bf6899-fa1f-44ad-b3ff-10f98858d9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28D2F-A6E9-4B08-94F2-F6D7542D6432}">
  <ds:schemaRefs>
    <ds:schemaRef ds:uri="http://schemas.microsoft.com/office/2006/metadata/properties"/>
    <ds:schemaRef ds:uri="http://purl.org/dc/elements/1.1/"/>
    <ds:schemaRef ds:uri="http://purl.org/dc/terms/"/>
    <ds:schemaRef ds:uri="b4bf6899-fa1f-44ad-b3ff-10f98858d96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1A3C93-5A49-4990-828D-73CB06536D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Inputs</vt:lpstr>
      <vt:lpstr>OPEX_Details</vt:lpstr>
      <vt:lpstr>LCOH_Engine</vt:lpstr>
      <vt:lpstr>Final LCOH</vt:lpstr>
      <vt:lpstr>Sensibility</vt:lpstr>
      <vt:lpstr>Dashboard</vt:lpstr>
      <vt:lpstr>Foglio7</vt:lpstr>
      <vt:lpstr>Adjusted_CAPEX</vt:lpstr>
      <vt:lpstr>Annual_H2_Production_kg</vt:lpstr>
      <vt:lpstr>Base_BESS_Capacity_MWh</vt:lpstr>
      <vt:lpstr>Base_Electrolyzer_Consumption_kWh_kg</vt:lpstr>
      <vt:lpstr>BESS_Degradation_Rate</vt:lpstr>
      <vt:lpstr>BESS_Usable_Capacity_Percent</vt:lpstr>
      <vt:lpstr>Consumables_Annual</vt:lpstr>
      <vt:lpstr>Decommissioning_Cost_Percent</vt:lpstr>
      <vt:lpstr>Discount_Rate</vt:lpstr>
      <vt:lpstr>Electrolyzer_Degradation_Rate</vt:lpstr>
      <vt:lpstr>FCF_Year_0</vt:lpstr>
      <vt:lpstr>Grid_Electricity_Price_MWh</vt:lpstr>
      <vt:lpstr>Hydrogen_Sale_Price_EUR_kg</vt:lpstr>
      <vt:lpstr>Inflation_Rate</vt:lpstr>
      <vt:lpstr>Initial_PV_Production_MWh</vt:lpstr>
      <vt:lpstr>Insurance_Percent</vt:lpstr>
      <vt:lpstr>LCOH_EUR_kg</vt:lpstr>
      <vt:lpstr>Maintenance_Percent</vt:lpstr>
      <vt:lpstr>Personnel_Costs_Annual</vt:lpstr>
      <vt:lpstr>PNRR_Grant</vt:lpstr>
      <vt:lpstr>Project_Lifetime_years</vt:lpstr>
      <vt:lpstr>PV_Degradation_Rate</vt:lpstr>
      <vt:lpstr>Tax_Rate</vt:lpstr>
      <vt:lpstr>Total_Initial_CAPEX</vt:lpstr>
      <vt:lpstr>water_cost</vt:lpstr>
      <vt:lpstr>Working_Capital_Percent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Oumayma Hassar</dc:creator>
  <cp:lastModifiedBy>Oumayma Hassar</cp:lastModifiedBy>
  <dcterms:created xsi:type="dcterms:W3CDTF">2025-08-12T13:58:06Z</dcterms:created>
  <dcterms:modified xsi:type="dcterms:W3CDTF">2025-08-19T10:55:05Z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0x01010025828196D049314EB83A49798E2C6FCE</vt:lpwstr>
  </property>
</Properties>
</file>