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KernelPerceptron\"/>
    </mc:Choice>
  </mc:AlternateContent>
  <xr:revisionPtr revIDLastSave="0" documentId="13_ncr:1_{1B9C268B-1A5A-4B7F-A09E-748757B3BB61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GenError" sheetId="1" r:id="rId1"/>
    <sheet name="GenErrorCalc" sheetId="2" r:id="rId2"/>
    <sheet name="Timing" sheetId="3" r:id="rId3"/>
    <sheet name="Timing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4" l="1"/>
  <c r="G29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Q47" i="4" l="1"/>
  <c r="R47" i="4" s="1"/>
  <c r="Q46" i="4"/>
  <c r="R46" i="4" s="1"/>
  <c r="P45" i="4"/>
  <c r="Q44" i="4"/>
  <c r="R44" i="4" s="1"/>
  <c r="P44" i="4"/>
  <c r="Q43" i="4"/>
  <c r="R43" i="4" s="1"/>
  <c r="Q42" i="4"/>
  <c r="R42" i="4" s="1"/>
  <c r="P41" i="4"/>
  <c r="Q40" i="4"/>
  <c r="R40" i="4" s="1"/>
  <c r="P40" i="4"/>
  <c r="Q39" i="4"/>
  <c r="R39" i="4" s="1"/>
  <c r="P38" i="4"/>
  <c r="Q38" i="4"/>
  <c r="R38" i="4" s="1"/>
  <c r="P37" i="4"/>
  <c r="Q36" i="4"/>
  <c r="R36" i="4" s="1"/>
  <c r="P36" i="4"/>
  <c r="P35" i="4"/>
  <c r="P34" i="4"/>
  <c r="Q34" i="4"/>
  <c r="R34" i="4" s="1"/>
  <c r="P33" i="4"/>
  <c r="Q32" i="4"/>
  <c r="R32" i="4" s="1"/>
  <c r="P32" i="4"/>
  <c r="Q31" i="4"/>
  <c r="R31" i="4" s="1"/>
  <c r="Q30" i="4"/>
  <c r="R30" i="4" s="1"/>
  <c r="P29" i="4"/>
  <c r="Q28" i="4"/>
  <c r="R28" i="4" s="1"/>
  <c r="P28" i="4"/>
  <c r="H47" i="4"/>
  <c r="I47" i="4" s="1"/>
  <c r="H46" i="4"/>
  <c r="I46" i="4" s="1"/>
  <c r="H44" i="4"/>
  <c r="I44" i="4" s="1"/>
  <c r="H43" i="4"/>
  <c r="I43" i="4" s="1"/>
  <c r="H42" i="4"/>
  <c r="I42" i="4" s="1"/>
  <c r="H40" i="4"/>
  <c r="I40" i="4" s="1"/>
  <c r="H39" i="4"/>
  <c r="I39" i="4" s="1"/>
  <c r="H38" i="4"/>
  <c r="I38" i="4" s="1"/>
  <c r="H36" i="4"/>
  <c r="I36" i="4" s="1"/>
  <c r="H35" i="4"/>
  <c r="I35" i="4" s="1"/>
  <c r="H34" i="4"/>
  <c r="I34" i="4" s="1"/>
  <c r="H32" i="4"/>
  <c r="I32" i="4" s="1"/>
  <c r="H31" i="4"/>
  <c r="I31" i="4" s="1"/>
  <c r="H30" i="4"/>
  <c r="I30" i="4" s="1"/>
  <c r="H29" i="4"/>
  <c r="I29" i="4" s="1"/>
  <c r="G28" i="4"/>
  <c r="H28" i="4"/>
  <c r="I28" i="4" s="1"/>
  <c r="P30" i="4" l="1"/>
  <c r="Q35" i="4"/>
  <c r="R35" i="4" s="1"/>
  <c r="Q29" i="4"/>
  <c r="R29" i="4" s="1"/>
  <c r="Q33" i="4"/>
  <c r="R33" i="4" s="1"/>
  <c r="Q37" i="4"/>
  <c r="R37" i="4" s="1"/>
  <c r="Q41" i="4"/>
  <c r="R41" i="4" s="1"/>
  <c r="Q45" i="4"/>
  <c r="R45" i="4" s="1"/>
  <c r="P31" i="4"/>
  <c r="P43" i="4"/>
  <c r="P47" i="4"/>
  <c r="P39" i="4"/>
  <c r="P42" i="4"/>
  <c r="P46" i="4"/>
  <c r="H33" i="4"/>
  <c r="I33" i="4" s="1"/>
  <c r="H37" i="4"/>
  <c r="I37" i="4" s="1"/>
  <c r="H41" i="4"/>
  <c r="I41" i="4" s="1"/>
  <c r="H45" i="4"/>
  <c r="I45" i="4" s="1"/>
  <c r="I2" i="4"/>
  <c r="C2" i="4" l="1"/>
  <c r="X24" i="4"/>
  <c r="X23" i="4"/>
  <c r="X22" i="4"/>
  <c r="X21" i="4"/>
  <c r="X20" i="4"/>
  <c r="X19" i="4"/>
  <c r="X18" i="4"/>
  <c r="X17" i="4"/>
  <c r="X16" i="4"/>
  <c r="X14" i="4"/>
  <c r="X12" i="4"/>
  <c r="X10" i="4"/>
  <c r="X9" i="4"/>
  <c r="X8" i="4"/>
  <c r="Y8" i="4" s="1"/>
  <c r="X6" i="4"/>
  <c r="X5" i="4"/>
  <c r="X4" i="4"/>
  <c r="X3" i="4"/>
  <c r="X2" i="4"/>
  <c r="W25" i="4"/>
  <c r="W24" i="4"/>
  <c r="W23" i="4"/>
  <c r="W22" i="4"/>
  <c r="W21" i="4"/>
  <c r="Z20" i="4"/>
  <c r="AA20" i="4" s="1"/>
  <c r="W19" i="4"/>
  <c r="W18" i="4"/>
  <c r="W17" i="4"/>
  <c r="W16" i="4"/>
  <c r="W12" i="4"/>
  <c r="W11" i="4"/>
  <c r="W8" i="4"/>
  <c r="W7" i="4"/>
  <c r="W6" i="4"/>
  <c r="W5" i="4"/>
  <c r="W4" i="4"/>
  <c r="W3" i="4"/>
  <c r="V25" i="4"/>
  <c r="V24" i="4"/>
  <c r="V23" i="4"/>
  <c r="Y23" i="4" s="1"/>
  <c r="V22" i="4"/>
  <c r="V21" i="4"/>
  <c r="V20" i="4"/>
  <c r="V19" i="4"/>
  <c r="V18" i="4"/>
  <c r="V17" i="4"/>
  <c r="Y17" i="4" s="1"/>
  <c r="V16" i="4"/>
  <c r="Z16" i="4" s="1"/>
  <c r="AA16" i="4" s="1"/>
  <c r="V15" i="4"/>
  <c r="V14" i="4"/>
  <c r="V13" i="4"/>
  <c r="V12" i="4"/>
  <c r="Z12" i="4" s="1"/>
  <c r="AA12" i="4" s="1"/>
  <c r="V11" i="4"/>
  <c r="V10" i="4"/>
  <c r="V9" i="4"/>
  <c r="V8" i="4"/>
  <c r="V7" i="4"/>
  <c r="Y7" i="4" s="1"/>
  <c r="V6" i="4"/>
  <c r="V5" i="4"/>
  <c r="V4" i="4"/>
  <c r="V3" i="4"/>
  <c r="V2" i="4"/>
  <c r="U25" i="4"/>
  <c r="U24" i="4"/>
  <c r="U23" i="4"/>
  <c r="U22" i="4"/>
  <c r="U21" i="4"/>
  <c r="Z21" i="4" s="1"/>
  <c r="AA21" i="4" s="1"/>
  <c r="U20" i="4"/>
  <c r="U19" i="4"/>
  <c r="U18" i="4"/>
  <c r="U17" i="4"/>
  <c r="U16" i="4"/>
  <c r="U15" i="4"/>
  <c r="Y15" i="4" s="1"/>
  <c r="U14" i="4"/>
  <c r="U13" i="4"/>
  <c r="U12" i="4"/>
  <c r="Y12" i="4" s="1"/>
  <c r="U11" i="4"/>
  <c r="U10" i="4"/>
  <c r="U9" i="4"/>
  <c r="U8" i="4"/>
  <c r="U7" i="4"/>
  <c r="U6" i="4"/>
  <c r="Y6" i="4" s="1"/>
  <c r="U5" i="4"/>
  <c r="U4" i="4"/>
  <c r="U3" i="4"/>
  <c r="Y3" i="4" s="1"/>
  <c r="U2" i="4"/>
  <c r="Z2" i="4" s="1"/>
  <c r="AA2" i="4" s="1"/>
  <c r="T25" i="4"/>
  <c r="Z25" i="4" s="1"/>
  <c r="AA25" i="4" s="1"/>
  <c r="T24" i="4"/>
  <c r="Z24" i="4" s="1"/>
  <c r="AA24" i="4" s="1"/>
  <c r="T23" i="4"/>
  <c r="Z23" i="4" s="1"/>
  <c r="AA23" i="4" s="1"/>
  <c r="T22" i="4"/>
  <c r="Z22" i="4" s="1"/>
  <c r="AA22" i="4" s="1"/>
  <c r="T21" i="4"/>
  <c r="T20" i="4"/>
  <c r="T19" i="4"/>
  <c r="Y19" i="4" s="1"/>
  <c r="T18" i="4"/>
  <c r="Z18" i="4" s="1"/>
  <c r="AA18" i="4" s="1"/>
  <c r="T17" i="4"/>
  <c r="Z17" i="4" s="1"/>
  <c r="AA17" i="4" s="1"/>
  <c r="T16" i="4"/>
  <c r="T15" i="4"/>
  <c r="T14" i="4"/>
  <c r="Z14" i="4" s="1"/>
  <c r="AA14" i="4" s="1"/>
  <c r="T13" i="4"/>
  <c r="Y13" i="4" s="1"/>
  <c r="T12" i="4"/>
  <c r="T11" i="4"/>
  <c r="Z11" i="4" s="1"/>
  <c r="AA11" i="4" s="1"/>
  <c r="T10" i="4"/>
  <c r="Z10" i="4" s="1"/>
  <c r="AA10" i="4" s="1"/>
  <c r="T9" i="4"/>
  <c r="Z9" i="4" s="1"/>
  <c r="AA9" i="4" s="1"/>
  <c r="T8" i="4"/>
  <c r="Z8" i="4" s="1"/>
  <c r="AA8" i="4" s="1"/>
  <c r="T7" i="4"/>
  <c r="Z7" i="4" s="1"/>
  <c r="AA7" i="4" s="1"/>
  <c r="T6" i="4"/>
  <c r="Z6" i="4" s="1"/>
  <c r="AA6" i="4" s="1"/>
  <c r="T5" i="4"/>
  <c r="Y5" i="4" s="1"/>
  <c r="T4" i="4"/>
  <c r="Y4" i="4" s="1"/>
  <c r="T3" i="4"/>
  <c r="T2" i="4"/>
  <c r="Z13" i="4"/>
  <c r="AA13" i="4" s="1"/>
  <c r="Z15" i="4"/>
  <c r="AA15" i="4" s="1"/>
  <c r="Y9" i="4"/>
  <c r="Y10" i="4"/>
  <c r="Y11" i="4"/>
  <c r="Y18" i="4"/>
  <c r="Y24" i="4"/>
  <c r="Y25" i="4"/>
  <c r="O25" i="4"/>
  <c r="P25" i="4" s="1"/>
  <c r="O24" i="4"/>
  <c r="O23" i="4"/>
  <c r="O22" i="4"/>
  <c r="O21" i="4"/>
  <c r="O20" i="4"/>
  <c r="O19" i="4"/>
  <c r="O18" i="4"/>
  <c r="O17" i="4"/>
  <c r="O16" i="4"/>
  <c r="O15" i="4"/>
  <c r="O14" i="4"/>
  <c r="O13" i="4"/>
  <c r="Q13" i="4" s="1"/>
  <c r="R13" i="4" s="1"/>
  <c r="O12" i="4"/>
  <c r="O11" i="4"/>
  <c r="P11" i="4" s="1"/>
  <c r="O10" i="4"/>
  <c r="O9" i="4"/>
  <c r="O8" i="4"/>
  <c r="O7" i="4"/>
  <c r="O6" i="4"/>
  <c r="O5" i="4"/>
  <c r="O4" i="4"/>
  <c r="O3" i="4"/>
  <c r="O2" i="4"/>
  <c r="N25" i="4"/>
  <c r="Q25" i="4" s="1"/>
  <c r="R25" i="4" s="1"/>
  <c r="N24" i="4"/>
  <c r="N23" i="4"/>
  <c r="N22" i="4"/>
  <c r="N21" i="4"/>
  <c r="N20" i="4"/>
  <c r="Q20" i="4" s="1"/>
  <c r="R20" i="4" s="1"/>
  <c r="N19" i="4"/>
  <c r="N18" i="4"/>
  <c r="Q18" i="4" s="1"/>
  <c r="R18" i="4" s="1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P5" i="4" s="1"/>
  <c r="N4" i="4"/>
  <c r="N3" i="4"/>
  <c r="N2" i="4"/>
  <c r="Q2" i="4" s="1"/>
  <c r="R2" i="4" s="1"/>
  <c r="M25" i="4"/>
  <c r="M24" i="4"/>
  <c r="P24" i="4" s="1"/>
  <c r="M23" i="4"/>
  <c r="M22" i="4"/>
  <c r="M21" i="4"/>
  <c r="M20" i="4"/>
  <c r="M19" i="4"/>
  <c r="M18" i="4"/>
  <c r="P18" i="4" s="1"/>
  <c r="M17" i="4"/>
  <c r="M16" i="4"/>
  <c r="Q16" i="4" s="1"/>
  <c r="R16" i="4" s="1"/>
  <c r="M15" i="4"/>
  <c r="M14" i="4"/>
  <c r="Q14" i="4" s="1"/>
  <c r="R14" i="4" s="1"/>
  <c r="M13" i="4"/>
  <c r="M12" i="4"/>
  <c r="M11" i="4"/>
  <c r="M10" i="4"/>
  <c r="M9" i="4"/>
  <c r="M8" i="4"/>
  <c r="P8" i="4" s="1"/>
  <c r="M7" i="4"/>
  <c r="M6" i="4"/>
  <c r="M5" i="4"/>
  <c r="M4" i="4"/>
  <c r="M3" i="4"/>
  <c r="M2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5" i="4"/>
  <c r="K24" i="4"/>
  <c r="K23" i="4"/>
  <c r="K22" i="4"/>
  <c r="P22" i="4" s="1"/>
  <c r="K21" i="4"/>
  <c r="P21" i="4" s="1"/>
  <c r="K20" i="4"/>
  <c r="K19" i="4"/>
  <c r="K18" i="4"/>
  <c r="K17" i="4"/>
  <c r="K16" i="4"/>
  <c r="K15" i="4"/>
  <c r="P15" i="4" s="1"/>
  <c r="K14" i="4"/>
  <c r="K13" i="4"/>
  <c r="K12" i="4"/>
  <c r="Q12" i="4" s="1"/>
  <c r="R12" i="4" s="1"/>
  <c r="K11" i="4"/>
  <c r="K10" i="4"/>
  <c r="K9" i="4"/>
  <c r="P9" i="4" s="1"/>
  <c r="K8" i="4"/>
  <c r="K7" i="4"/>
  <c r="K6" i="4"/>
  <c r="Q3" i="4"/>
  <c r="R3" i="4" s="1"/>
  <c r="Q4" i="4"/>
  <c r="R4" i="4" s="1"/>
  <c r="Q9" i="4"/>
  <c r="R9" i="4" s="1"/>
  <c r="Q17" i="4"/>
  <c r="R17" i="4" s="1"/>
  <c r="P3" i="4"/>
  <c r="P4" i="4"/>
  <c r="P12" i="4"/>
  <c r="P13" i="4"/>
  <c r="P17" i="4"/>
  <c r="K5" i="4"/>
  <c r="K4" i="4"/>
  <c r="K3" i="4"/>
  <c r="D23" i="4"/>
  <c r="K2" i="4"/>
  <c r="I6" i="4"/>
  <c r="I23" i="4"/>
  <c r="H3" i="4"/>
  <c r="I3" i="4" s="1"/>
  <c r="H4" i="4"/>
  <c r="I4" i="4" s="1"/>
  <c r="H5" i="4"/>
  <c r="I5" i="4" s="1"/>
  <c r="H6" i="4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2" i="4"/>
  <c r="I22" i="4" s="1"/>
  <c r="H23" i="4"/>
  <c r="H24" i="4"/>
  <c r="I24" i="4" s="1"/>
  <c r="H25" i="4"/>
  <c r="I25" i="4" s="1"/>
  <c r="D85" i="1"/>
  <c r="H2" i="4"/>
  <c r="F25" i="4"/>
  <c r="F24" i="4"/>
  <c r="F23" i="4"/>
  <c r="G23" i="4" s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5" i="4"/>
  <c r="E24" i="4"/>
  <c r="E23" i="4"/>
  <c r="E22" i="4"/>
  <c r="E21" i="4"/>
  <c r="E20" i="4"/>
  <c r="E19" i="4"/>
  <c r="E18" i="4"/>
  <c r="E17" i="4"/>
  <c r="G17" i="4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5" i="4"/>
  <c r="D24" i="4"/>
  <c r="D22" i="4"/>
  <c r="D21" i="4"/>
  <c r="D20" i="4"/>
  <c r="D19" i="4"/>
  <c r="G19" i="4" s="1"/>
  <c r="D18" i="4"/>
  <c r="D17" i="4"/>
  <c r="D16" i="4"/>
  <c r="D15" i="4"/>
  <c r="G15" i="4" s="1"/>
  <c r="D14" i="4"/>
  <c r="D13" i="4"/>
  <c r="D12" i="4"/>
  <c r="D11" i="4"/>
  <c r="D10" i="4"/>
  <c r="D9" i="4"/>
  <c r="D8" i="4"/>
  <c r="D7" i="4"/>
  <c r="D6" i="4"/>
  <c r="D5" i="4"/>
  <c r="D4" i="4"/>
  <c r="D3" i="4"/>
  <c r="D2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G18" i="4"/>
  <c r="G20" i="4"/>
  <c r="G22" i="4"/>
  <c r="G24" i="4"/>
  <c r="G25" i="4"/>
  <c r="G2" i="4"/>
  <c r="Y20" i="4" l="1"/>
  <c r="Y16" i="4"/>
  <c r="Y21" i="4"/>
  <c r="Z3" i="4"/>
  <c r="AA3" i="4" s="1"/>
  <c r="Y22" i="4"/>
  <c r="Z19" i="4"/>
  <c r="AA19" i="4" s="1"/>
  <c r="Y14" i="4"/>
  <c r="Z5" i="4"/>
  <c r="AA5" i="4" s="1"/>
  <c r="Z4" i="4"/>
  <c r="AA4" i="4" s="1"/>
  <c r="Y2" i="4"/>
  <c r="P20" i="4"/>
  <c r="P6" i="4"/>
  <c r="Q5" i="4"/>
  <c r="R5" i="4" s="1"/>
  <c r="Q19" i="4"/>
  <c r="R19" i="4" s="1"/>
  <c r="P16" i="4"/>
  <c r="P14" i="4"/>
  <c r="Q11" i="4"/>
  <c r="R11" i="4" s="1"/>
  <c r="Q10" i="4"/>
  <c r="R10" i="4" s="1"/>
  <c r="Q8" i="4"/>
  <c r="R8" i="4" s="1"/>
  <c r="P7" i="4"/>
  <c r="P2" i="4"/>
  <c r="Q24" i="4"/>
  <c r="R24" i="4" s="1"/>
  <c r="P23" i="4"/>
  <c r="Q23" i="4"/>
  <c r="R23" i="4" s="1"/>
  <c r="Q22" i="4"/>
  <c r="R22" i="4" s="1"/>
  <c r="Q21" i="4"/>
  <c r="R21" i="4" s="1"/>
  <c r="P19" i="4"/>
  <c r="Q15" i="4"/>
  <c r="R15" i="4" s="1"/>
  <c r="P10" i="4"/>
  <c r="Q7" i="4"/>
  <c r="R7" i="4" s="1"/>
  <c r="Q6" i="4"/>
  <c r="R6" i="4" s="1"/>
  <c r="F81" i="1"/>
  <c r="G81" i="1"/>
  <c r="H81" i="1"/>
  <c r="I81" i="1"/>
  <c r="J81" i="1"/>
  <c r="E81" i="1"/>
  <c r="D83" i="1"/>
  <c r="D86" i="1" s="1"/>
  <c r="D82" i="1"/>
  <c r="G61" i="1"/>
  <c r="D70" i="2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E84" i="2" l="1"/>
  <c r="E82" i="2"/>
  <c r="E83" i="2"/>
  <c r="E85" i="2"/>
  <c r="E86" i="2"/>
  <c r="E87" i="2"/>
  <c r="E88" i="2"/>
  <c r="E89" i="2"/>
  <c r="E90" i="2"/>
  <c r="E91" i="2"/>
  <c r="E92" i="2"/>
  <c r="E81" i="2"/>
  <c r="D68" i="2"/>
  <c r="D69" i="2"/>
  <c r="D71" i="2"/>
  <c r="D72" i="2"/>
  <c r="D73" i="2"/>
  <c r="D74" i="2"/>
  <c r="D75" i="2"/>
  <c r="D76" i="2"/>
  <c r="D77" i="2"/>
  <c r="D78" i="2"/>
  <c r="D67" i="2"/>
  <c r="D25" i="3" l="1"/>
  <c r="D24" i="3"/>
  <c r="C25" i="3"/>
  <c r="C24" i="3"/>
  <c r="B25" i="3"/>
  <c r="B24" i="3"/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3" i="3"/>
  <c r="D22" i="3"/>
  <c r="C23" i="3"/>
  <c r="C22" i="3"/>
  <c r="B23" i="3"/>
  <c r="B22" i="3"/>
  <c r="G34" i="1" l="1"/>
  <c r="G35" i="1"/>
  <c r="G36" i="1"/>
  <c r="G33" i="1"/>
  <c r="D31" i="1"/>
  <c r="D32" i="1"/>
  <c r="J29" i="1" l="1"/>
  <c r="J28" i="1"/>
  <c r="G29" i="1"/>
  <c r="G28" i="1"/>
  <c r="D29" i="1"/>
  <c r="D28" i="1"/>
  <c r="D47" i="1" l="1"/>
  <c r="D46" i="1"/>
  <c r="D43" i="1"/>
  <c r="D42" i="1"/>
  <c r="D39" i="1"/>
  <c r="D38" i="1"/>
  <c r="D2" i="1" l="1"/>
  <c r="D3" i="1"/>
  <c r="J2" i="1"/>
  <c r="J3" i="1"/>
  <c r="G2" i="1"/>
  <c r="G3" i="1"/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7" i="1"/>
  <c r="D8" i="1"/>
  <c r="D9" i="1"/>
  <c r="D10" i="1"/>
  <c r="D52" i="1" l="1"/>
  <c r="D56" i="1" s="1"/>
  <c r="D40" i="1"/>
  <c r="D53" i="1"/>
  <c r="D57" i="1" s="1"/>
  <c r="D44" i="1"/>
  <c r="D54" i="1"/>
  <c r="D58" i="1" s="1"/>
  <c r="D48" i="1"/>
  <c r="H21" i="4"/>
  <c r="I21" i="4" s="1"/>
  <c r="G21" i="4"/>
</calcChain>
</file>

<file path=xl/sharedStrings.xml><?xml version="1.0" encoding="utf-8"?>
<sst xmlns="http://schemas.openxmlformats.org/spreadsheetml/2006/main" count="322" uniqueCount="273">
  <si>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</si>
  <si>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</si>
  <si>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</si>
  <si>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</si>
  <si>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</si>
  <si>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</si>
  <si>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</si>
  <si>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</si>
  <si>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</si>
  <si>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</si>
  <si>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</si>
  <si>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</si>
  <si>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</si>
  <si>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</si>
  <si>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</si>
  <si>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</si>
  <si>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</si>
  <si>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</si>
  <si>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</si>
  <si>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</si>
  <si>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</si>
  <si>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</si>
  <si>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</si>
  <si>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</si>
  <si>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</si>
  <si>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</si>
  <si>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</si>
  <si>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</si>
  <si>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</si>
  <si>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</si>
  <si>
    <t>sonar 157/51 10k</t>
  </si>
  <si>
    <t>sonar 116/92 10k</t>
  </si>
  <si>
    <t>eps</t>
  </si>
  <si>
    <t>KP</t>
  </si>
  <si>
    <t>KPB</t>
  </si>
  <si>
    <t>KPD</t>
  </si>
  <si>
    <t>sonar 157/51 10k norm</t>
  </si>
  <si>
    <t>sonar 116/92 10k norm</t>
  </si>
  <si>
    <t>58 support vectors</t>
  </si>
  <si>
    <t>29 support vectors</t>
  </si>
  <si>
    <t>39 support vectors</t>
  </si>
  <si>
    <t>91 support vectors</t>
  </si>
  <si>
    <t>10% mistakes</t>
  </si>
  <si>
    <t>Iris50</t>
  </si>
  <si>
    <t>Iris75</t>
  </si>
  <si>
    <t>Sonar50</t>
  </si>
  <si>
    <t>Sonar75</t>
  </si>
  <si>
    <t>Kernel Perceptron</t>
  </si>
  <si>
    <t>Budget Kernel Perceptron</t>
  </si>
  <si>
    <t>Description Kernel Perceptron</t>
  </si>
  <si>
    <t>1000 Training Examples</t>
  </si>
  <si>
    <t>100 Budget/Mistakes</t>
  </si>
  <si>
    <t>6.90947E+38531</t>
  </si>
  <si>
    <t>1.42415E+38523</t>
  </si>
  <si>
    <t>1.24706E+38497</t>
  </si>
  <si>
    <t>4.63915E+38453</t>
  </si>
  <si>
    <t>7.33180E+38392</t>
  </si>
  <si>
    <t>4.92271E+38314</t>
  </si>
  <si>
    <t>1.40416E+38219</t>
  </si>
  <si>
    <t>1.70158E+38106</t>
  </si>
  <si>
    <t>8.76008E+37975</t>
  </si>
  <si>
    <t>1.91595E+37828</t>
  </si>
  <si>
    <t>1.78025E+37663</t>
  </si>
  <si>
    <t>KP: ((2^64)/e^(eps^2))^2000</t>
  </si>
  <si>
    <t>n = 3</t>
  </si>
  <si>
    <t>1.93617E+3883</t>
  </si>
  <si>
    <t>3.99075E+3874</t>
  </si>
  <si>
    <t>3.49450E+3848</t>
  </si>
  <si>
    <t>1.29998E+3805</t>
  </si>
  <si>
    <t>2.05452E+3744</t>
  </si>
  <si>
    <t>1.37944E+3666</t>
  </si>
  <si>
    <t>3.93475E+3570</t>
  </si>
  <si>
    <t>4.76817E+3457</t>
  </si>
  <si>
    <t>2.45475E+3327</t>
  </si>
  <si>
    <t>5.36888E+3179</t>
  </si>
  <si>
    <t>4.98862E+3014</t>
  </si>
  <si>
    <t>KPB: ((2^645)/e^(100*(eps^2)))^20</t>
  </si>
  <si>
    <t>4.20647E+2929</t>
  </si>
  <si>
    <t>8.67018E+2920</t>
  </si>
  <si>
    <t>7.59205E+2894</t>
  </si>
  <si>
    <t>2.82430E+2851</t>
  </si>
  <si>
    <t>4.46358E+2790</t>
  </si>
  <si>
    <t>2.99693E+2712</t>
  </si>
  <si>
    <t>8.54852E+2616</t>
  </si>
  <si>
    <t>1.03592E+2504</t>
  </si>
  <si>
    <t>5.33312E+2373</t>
  </si>
  <si>
    <t>1.16643E+2226</t>
  </si>
  <si>
    <t>1.08381E+2061</t>
  </si>
  <si>
    <t>KPD: (2^9732)/e^(2000*(eps^2))</t>
  </si>
  <si>
    <t>77 Training Examples</t>
  </si>
  <si>
    <t>7 Budget/Mistakes</t>
  </si>
  <si>
    <t>n = 4</t>
  </si>
  <si>
    <t>3.08721E+3036</t>
  </si>
  <si>
    <t>6.61840E+3035</t>
  </si>
  <si>
    <t>6.52097E+3033</t>
  </si>
  <si>
    <t>2.95287E+3030</t>
  </si>
  <si>
    <t>6.14540E+3025</t>
  </si>
  <si>
    <t>5.87799E+3019</t>
  </si>
  <si>
    <t>2.58393E+3012</t>
  </si>
  <si>
    <t>5.22041E+3003</t>
  </si>
  <si>
    <t>4.84732E+2993</t>
  </si>
  <si>
    <t>2.06858E+2982</t>
  </si>
  <si>
    <t>4.05710E+2969</t>
  </si>
  <si>
    <t>KP: ((2^131)/e^(2*(eps^2)))^77</t>
  </si>
  <si>
    <t>Synthetic Datasets</t>
  </si>
  <si>
    <t>Iris Dataset 50/50 Split</t>
  </si>
  <si>
    <t>KPB: ((2^129)/e^(22*(eps^2)))^7</t>
  </si>
  <si>
    <t>KPD: (2^711)/e^(154*(eps^2))</t>
  </si>
  <si>
    <t>Iris Dataset 75/25 Split</t>
  </si>
  <si>
    <t>116 Training Examples</t>
  </si>
  <si>
    <t>11 Budget/Mistakes</t>
  </si>
  <si>
    <t>1.33083E+533</t>
  </si>
  <si>
    <t>6.23051E+436</t>
  </si>
  <si>
    <t>Sonar Dataset 50/50 Split</t>
  </si>
  <si>
    <t>113 Training Examples</t>
  </si>
  <si>
    <t>n = 60</t>
  </si>
  <si>
    <t>4.19104E+5442</t>
  </si>
  <si>
    <t>4.37337E+5441</t>
  </si>
  <si>
    <t>4.96935E+5438</t>
  </si>
  <si>
    <t>6.14854E+5433</t>
  </si>
  <si>
    <t>8.28387E+5426</t>
  </si>
  <si>
    <t>1.21530E+5418</t>
  </si>
  <si>
    <t>1.94143E+5407</t>
  </si>
  <si>
    <t>3.37715E+5394</t>
  </si>
  <si>
    <t>6.39687E+5379</t>
  </si>
  <si>
    <t>1.31939E+5363</t>
  </si>
  <si>
    <t>2.96325E+5344</t>
  </si>
  <si>
    <t>KP: ((2^80)/e^(eps^2))^226</t>
  </si>
  <si>
    <t>1.38873E+532</t>
  </si>
  <si>
    <t>1.57798E+529</t>
  </si>
  <si>
    <t>1.95242E+524</t>
  </si>
  <si>
    <t>2.63047E+517</t>
  </si>
  <si>
    <t>3.85908E+508</t>
  </si>
  <si>
    <t>6.16486E+497</t>
  </si>
  <si>
    <t>1.07239E+485</t>
  </si>
  <si>
    <t>2.03127E+470</t>
  </si>
  <si>
    <t>4.18962E+453</t>
  </si>
  <si>
    <t>9.40956E+434</t>
  </si>
  <si>
    <t>KPB: (2^1771)/e^(226*(eps^2))</t>
  </si>
  <si>
    <t>6.50157E+435</t>
  </si>
  <si>
    <t>7.38757E+432</t>
  </si>
  <si>
    <t>9.14058E+427</t>
  </si>
  <si>
    <t>1.23150E+421</t>
  </si>
  <si>
    <t>1.80670E+412</t>
  </si>
  <si>
    <t>2.88619E+401</t>
  </si>
  <si>
    <t>5.02057E+388</t>
  </si>
  <si>
    <t>9.50977E+373</t>
  </si>
  <si>
    <t>1.96144E+357</t>
  </si>
  <si>
    <t>4.40525E+338</t>
  </si>
  <si>
    <t>6.66773E+68162</t>
  </si>
  <si>
    <t>6.55262E+68161</t>
  </si>
  <si>
    <t>6.21907E+68158</t>
  </si>
  <si>
    <t>5.70045E+68153</t>
  </si>
  <si>
    <t>5.04623E+68146</t>
  </si>
  <si>
    <t>4.31418E+68137</t>
  </si>
  <si>
    <t>3.56207E+68126</t>
  </si>
  <si>
    <t>2.84041E+68113</t>
  </si>
  <si>
    <t>2.18743E+68098</t>
  </si>
  <si>
    <t>1.62689E+68081</t>
  </si>
  <si>
    <t>Would not compute</t>
  </si>
  <si>
    <t>KP: ((2^976)/e^(eps^2))^232</t>
  </si>
  <si>
    <t>1.06512E+6467</t>
  </si>
  <si>
    <t>1.04673E+6466</t>
  </si>
  <si>
    <t>9.93446E+6462</t>
  </si>
  <si>
    <t>9.10601E+6457</t>
  </si>
  <si>
    <t>8.06094E+6450</t>
  </si>
  <si>
    <t>6.89155E+6441</t>
  </si>
  <si>
    <t>5.69012E+6430</t>
  </si>
  <si>
    <t>4.53733E+6417</t>
  </si>
  <si>
    <t>3.49424E+6402</t>
  </si>
  <si>
    <t>2.59883E+6385</t>
  </si>
  <si>
    <t>1.86671E+6366</t>
  </si>
  <si>
    <t>KPB: (2^21483)/e^(232*(eps^2))</t>
  </si>
  <si>
    <t>4.98653E+6370</t>
  </si>
  <si>
    <t>4.90044E+6369</t>
  </si>
  <si>
    <t>4.65099E+6366</t>
  </si>
  <si>
    <t>4.26314E+6361</t>
  </si>
  <si>
    <t>3.77387E+6354</t>
  </si>
  <si>
    <t>3.22640E+6345</t>
  </si>
  <si>
    <t>2.66393E+6334</t>
  </si>
  <si>
    <t>2.12423E+6321</t>
  </si>
  <si>
    <t>1.63589E+6306</t>
  </si>
  <si>
    <t>1.21669E+6289</t>
  </si>
  <si>
    <t>8.73934E+6269</t>
  </si>
  <si>
    <t>KPD: (2^21163)/e^(232*(eps^2))</t>
  </si>
  <si>
    <t>Sonar Dataset 75/25 Split</t>
  </si>
  <si>
    <t>157 Training Examples</t>
  </si>
  <si>
    <t>15 Budget/Mistakes</t>
  </si>
  <si>
    <t>7.18772E+92254</t>
  </si>
  <si>
    <t>3.11105E+92253</t>
  </si>
  <si>
    <t>2.52262E+92249</t>
  </si>
  <si>
    <t>3.83203E+92242</t>
  </si>
  <si>
    <t>1.09053E+92233</t>
  </si>
  <si>
    <t>5.81399E+92220</t>
  </si>
  <si>
    <t>5.80688E+92205</t>
  </si>
  <si>
    <t>1.08653E+92188</t>
  </si>
  <si>
    <t>3.80866E+92167</t>
  </si>
  <si>
    <t>2.50111E+92144</t>
  </si>
  <si>
    <t>KP: ((2^976)/e^(eps^2))^314</t>
  </si>
  <si>
    <t>4.71762E+8818</t>
  </si>
  <si>
    <t>2.04192E+8817</t>
  </si>
  <si>
    <t>1.65571E+8813</t>
  </si>
  <si>
    <t>2.51513E+8806</t>
  </si>
  <si>
    <t>7.15761E+8796</t>
  </si>
  <si>
    <t>3.81598E+8784</t>
  </si>
  <si>
    <t>3.81131E+8769</t>
  </si>
  <si>
    <t>7.13139E+8751</t>
  </si>
  <si>
    <t>2.49979E+8731</t>
  </si>
  <si>
    <t>1.64159E+8708</t>
  </si>
  <si>
    <t>2.01955E+8682</t>
  </si>
  <si>
    <t>KPB: (2^29295)/e^(314*(eps^2))</t>
  </si>
  <si>
    <t>KPD: (2^28847)/e^(314*(eps^2))</t>
  </si>
  <si>
    <t>6.49060E+8683</t>
  </si>
  <si>
    <t>2.80931E+8682</t>
  </si>
  <si>
    <t>2.27796E+8678</t>
  </si>
  <si>
    <t>3.46037E+8671</t>
  </si>
  <si>
    <t>9.84759E+8661</t>
  </si>
  <si>
    <t>5.25011E+8649</t>
  </si>
  <si>
    <t>5.24369E+8634</t>
  </si>
  <si>
    <t>9.81151E+8616</t>
  </si>
  <si>
    <t>3.43927E+8596</t>
  </si>
  <si>
    <t>2.25853E+8573</t>
  </si>
  <si>
    <t>2.77855E+8547</t>
  </si>
  <si>
    <t>1000 training examples</t>
  </si>
  <si>
    <t>2 support vectors</t>
  </si>
  <si>
    <t>2 mistakes</t>
  </si>
  <si>
    <t>KPB Training 2</t>
  </si>
  <si>
    <t>KPB Test</t>
  </si>
  <si>
    <t>KPD Training 2</t>
  </si>
  <si>
    <t>KPD Test</t>
  </si>
  <si>
    <t>KPD Generalization &lt; .09</t>
  </si>
  <si>
    <t>KPB Generalization &lt; .09</t>
  </si>
  <si>
    <t>Synthetic Gen Err Run</t>
  </si>
  <si>
    <t>KP_1</t>
  </si>
  <si>
    <t>KP_2</t>
  </si>
  <si>
    <t>KP_3</t>
  </si>
  <si>
    <t>KP_4</t>
  </si>
  <si>
    <t>KP_5</t>
  </si>
  <si>
    <t>KP_Ave</t>
  </si>
  <si>
    <t>KP_STD</t>
  </si>
  <si>
    <t>KP_CI</t>
  </si>
  <si>
    <t>KPB_1</t>
  </si>
  <si>
    <t>KPB_2</t>
  </si>
  <si>
    <t>KPB_3</t>
  </si>
  <si>
    <t>KPB_4</t>
  </si>
  <si>
    <t>KPB_5</t>
  </si>
  <si>
    <t>KPB_Ave</t>
  </si>
  <si>
    <t>KPB_STD</t>
  </si>
  <si>
    <t>KPB_CI</t>
  </si>
  <si>
    <t>KPD_1</t>
  </si>
  <si>
    <t>KPD_2</t>
  </si>
  <si>
    <t>KPD_3</t>
  </si>
  <si>
    <t>KPD_4</t>
  </si>
  <si>
    <t>KPD_5</t>
  </si>
  <si>
    <t>KPD_Ave</t>
  </si>
  <si>
    <t>KPD_STD</t>
  </si>
  <si>
    <t>KPD_CI</t>
  </si>
  <si>
    <t>PyB_1</t>
  </si>
  <si>
    <t>PyB_2</t>
  </si>
  <si>
    <t>PyB_3</t>
  </si>
  <si>
    <t>PyB_4</t>
  </si>
  <si>
    <t>PyB_5</t>
  </si>
  <si>
    <t>PyB_Ave</t>
  </si>
  <si>
    <t>PyB_STD</t>
  </si>
  <si>
    <t>PyB_CI</t>
  </si>
  <si>
    <t>PyBN_1</t>
  </si>
  <si>
    <t>PyBN_2</t>
  </si>
  <si>
    <t>PyBN_3</t>
  </si>
  <si>
    <t>PyBN_4</t>
  </si>
  <si>
    <t>PyBN_5</t>
  </si>
  <si>
    <t>PyBN_Ave</t>
  </si>
  <si>
    <t>PyBN_STD</t>
  </si>
  <si>
    <t>PyBN_CI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</si>
</sst>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GenError!$D$7:$D$26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GenError!$G$7:$G$26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GenError!$J$7:$J$26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3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GenError!$B$7:$B$26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GenError!$F$7:$F$26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GenError!$I$7:$I$26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 Kernel Perceptron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GenError!$G$61:$G$80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2.6999999999999913E-2</c:v>
                </c:pt>
                <c:pt idx="2">
                  <c:v>1.19999999999999E-2</c:v>
                </c:pt>
                <c:pt idx="3">
                  <c:v>2.7000000000000024E-2</c:v>
                </c:pt>
                <c:pt idx="4">
                  <c:v>1.9000000000000017E-2</c:v>
                </c:pt>
                <c:pt idx="5">
                  <c:v>1.7000000000000015E-2</c:v>
                </c:pt>
                <c:pt idx="6">
                  <c:v>3.0000000000000027E-3</c:v>
                </c:pt>
                <c:pt idx="7">
                  <c:v>1.2000000000000011E-2</c:v>
                </c:pt>
                <c:pt idx="8">
                  <c:v>1.4000000000000012E-2</c:v>
                </c:pt>
                <c:pt idx="9">
                  <c:v>2.1000000000000019E-2</c:v>
                </c:pt>
                <c:pt idx="10">
                  <c:v>2.1000000000000019E-2</c:v>
                </c:pt>
                <c:pt idx="11">
                  <c:v>2.5000000000000022E-2</c:v>
                </c:pt>
                <c:pt idx="12">
                  <c:v>1.2000000000000011E-2</c:v>
                </c:pt>
                <c:pt idx="13">
                  <c:v>1.0000000000000009E-3</c:v>
                </c:pt>
                <c:pt idx="14">
                  <c:v>3.0000000000000027E-2</c:v>
                </c:pt>
                <c:pt idx="15">
                  <c:v>5.0000000000000044E-3</c:v>
                </c:pt>
                <c:pt idx="16">
                  <c:v>5.699999999999994E-2</c:v>
                </c:pt>
                <c:pt idx="17">
                  <c:v>1.3000000000000012E-2</c:v>
                </c:pt>
                <c:pt idx="18">
                  <c:v>3.3000000000000029E-2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3B1-85CB-49E1B6D3096E}"/>
            </c:ext>
          </c:extLst>
        </c:ser>
        <c:ser>
          <c:idx val="1"/>
          <c:order val="1"/>
          <c:tx>
            <c:v>Description Kernel Perceptron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GenError!$J$61:$J$80</c:f>
              <c:numCache>
                <c:formatCode>General</c:formatCode>
                <c:ptCount val="20"/>
                <c:pt idx="0">
                  <c:v>2.0000000000000018E-3</c:v>
                </c:pt>
                <c:pt idx="1">
                  <c:v>1.7000000000000015E-2</c:v>
                </c:pt>
                <c:pt idx="2">
                  <c:v>9.000000000000008E-3</c:v>
                </c:pt>
                <c:pt idx="3">
                  <c:v>1.2000000000000011E-2</c:v>
                </c:pt>
                <c:pt idx="4">
                  <c:v>1.5000000000000013E-2</c:v>
                </c:pt>
                <c:pt idx="5">
                  <c:v>1.0000000000000009E-3</c:v>
                </c:pt>
                <c:pt idx="6">
                  <c:v>4.2999999999999927E-2</c:v>
                </c:pt>
                <c:pt idx="7">
                  <c:v>3.0000000000000027E-3</c:v>
                </c:pt>
                <c:pt idx="8">
                  <c:v>1.4999999999999902E-2</c:v>
                </c:pt>
                <c:pt idx="9">
                  <c:v>4.599999999999993E-2</c:v>
                </c:pt>
                <c:pt idx="10">
                  <c:v>6.0000000000000053E-3</c:v>
                </c:pt>
                <c:pt idx="11">
                  <c:v>2.5000000000000022E-2</c:v>
                </c:pt>
                <c:pt idx="12">
                  <c:v>2.0000000000000018E-3</c:v>
                </c:pt>
                <c:pt idx="13">
                  <c:v>1.100000000000001E-2</c:v>
                </c:pt>
                <c:pt idx="14">
                  <c:v>2.4999999999999911E-2</c:v>
                </c:pt>
                <c:pt idx="15">
                  <c:v>4.0000000000000036E-3</c:v>
                </c:pt>
                <c:pt idx="16">
                  <c:v>4.7999999999999932E-2</c:v>
                </c:pt>
                <c:pt idx="17">
                  <c:v>4.4999999999999929E-2</c:v>
                </c:pt>
                <c:pt idx="18">
                  <c:v>7.0000000000000062E-3</c:v>
                </c:pt>
                <c:pt idx="19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3-43B1-85CB-49E1B6D3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204144"/>
        <c:axId val="430205456"/>
      </c:barChart>
      <c:catAx>
        <c:axId val="43020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5456"/>
        <c:crosses val="autoZero"/>
        <c:auto val="1"/>
        <c:lblAlgn val="ctr"/>
        <c:lblOffset val="100"/>
        <c:noMultiLvlLbl val="0"/>
      </c:catAx>
      <c:valAx>
        <c:axId val="4302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</a:t>
            </a:r>
            <a:r>
              <a:rPr lang="en-US" baseline="0"/>
              <a:t> Data Set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Kernel Perceptron</c:v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Timing!$B$22:$B$23</c:f>
              <c:numCache>
                <c:formatCode>General</c:formatCode>
                <c:ptCount val="2"/>
                <c:pt idx="0">
                  <c:v>8.7200000000000014E-2</c:v>
                </c:pt>
                <c:pt idx="1">
                  <c:v>0.22080000000000002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E93-A0B6-D5891ED1787B}"/>
            </c:ext>
          </c:extLst>
        </c:ser>
        <c:ser>
          <c:idx val="1"/>
          <c:order val="1"/>
          <c:tx>
            <c:v>Budget 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Timing!$C$22:$C$23</c:f>
              <c:numCache>
                <c:formatCode>General</c:formatCode>
                <c:ptCount val="2"/>
                <c:pt idx="0">
                  <c:v>4.9999999999999992E-3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D-4E93-A0B6-D5891ED1787B}"/>
            </c:ext>
          </c:extLst>
        </c:ser>
        <c:ser>
          <c:idx val="2"/>
          <c:order val="2"/>
          <c:tx>
            <c:v>Description Kernel Perceptron</c:v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Timing!$D$22:$D$23</c:f>
              <c:numCache>
                <c:formatCode>General</c:formatCode>
                <c:ptCount val="2"/>
                <c:pt idx="0">
                  <c:v>4.2000000000000006E-3</c:v>
                </c:pt>
                <c:pt idx="1">
                  <c:v>6.8000000000000005E-3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D-4E93-A0B6-D5891ED178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909840"/>
        <c:axId val="308911152"/>
      </c:barChart>
      <c:catAx>
        <c:axId val="308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11152"/>
        <c:crosses val="autoZero"/>
        <c:auto val="1"/>
        <c:lblAlgn val="ctr"/>
        <c:lblOffset val="100"/>
        <c:noMultiLvlLbl val="0"/>
      </c:catAx>
      <c:valAx>
        <c:axId val="30891115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and Description Kernel Perceptron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 Kernel Perceptron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Timing!$C$2:$C$21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3-4F37-B43E-3DBE27DF882C}"/>
            </c:ext>
          </c:extLst>
        </c:ser>
        <c:ser>
          <c:idx val="1"/>
          <c:order val="1"/>
          <c:tx>
            <c:v>Description Kernel Perceptron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Timing!$D$2:$D$21</c:f>
              <c:numCache>
                <c:formatCode>General</c:formatCode>
                <c:ptCount val="20"/>
                <c:pt idx="0">
                  <c:v>0.29459999999999997</c:v>
                </c:pt>
                <c:pt idx="1">
                  <c:v>0.29380000000000006</c:v>
                </c:pt>
                <c:pt idx="2">
                  <c:v>0.29320000000000002</c:v>
                </c:pt>
                <c:pt idx="3">
                  <c:v>0.29399999999999998</c:v>
                </c:pt>
                <c:pt idx="4">
                  <c:v>0.29459999999999997</c:v>
                </c:pt>
                <c:pt idx="5">
                  <c:v>0.2944</c:v>
                </c:pt>
                <c:pt idx="6">
                  <c:v>0.29339999999999999</c:v>
                </c:pt>
                <c:pt idx="7">
                  <c:v>0.29500000000000004</c:v>
                </c:pt>
                <c:pt idx="8">
                  <c:v>0.29360000000000003</c:v>
                </c:pt>
                <c:pt idx="9">
                  <c:v>0.29380000000000006</c:v>
                </c:pt>
                <c:pt idx="10">
                  <c:v>0.29420000000000002</c:v>
                </c:pt>
                <c:pt idx="11">
                  <c:v>0.29400000000000004</c:v>
                </c:pt>
                <c:pt idx="12">
                  <c:v>0.29480000000000001</c:v>
                </c:pt>
                <c:pt idx="13">
                  <c:v>0.29339999999999999</c:v>
                </c:pt>
                <c:pt idx="14">
                  <c:v>0.29399999999999998</c:v>
                </c:pt>
                <c:pt idx="15">
                  <c:v>0.29500000000000004</c:v>
                </c:pt>
                <c:pt idx="16">
                  <c:v>0.29420000000000002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3-4F37-B43E-3DBE27DF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0112"/>
        <c:axId val="418247592"/>
      </c:barChart>
      <c:catAx>
        <c:axId val="4208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7592"/>
        <c:crosses val="autoZero"/>
        <c:auto val="1"/>
        <c:lblAlgn val="ctr"/>
        <c:lblOffset val="100"/>
        <c:noMultiLvlLbl val="0"/>
      </c:catAx>
      <c:valAx>
        <c:axId val="418247592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Perceptron Synthetic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Kernel Perceptron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Timing!$B$2:$B$21</c:f>
              <c:numCache>
                <c:formatCode>General</c:formatCode>
                <c:ptCount val="20"/>
                <c:pt idx="0">
                  <c:v>199.9434</c:v>
                </c:pt>
                <c:pt idx="1">
                  <c:v>202.02459999999999</c:v>
                </c:pt>
                <c:pt idx="2">
                  <c:v>202.14519999999999</c:v>
                </c:pt>
                <c:pt idx="3">
                  <c:v>200.9006</c:v>
                </c:pt>
                <c:pt idx="4">
                  <c:v>202.012</c:v>
                </c:pt>
                <c:pt idx="5">
                  <c:v>201.78599999999997</c:v>
                </c:pt>
                <c:pt idx="6">
                  <c:v>199.99579999999997</c:v>
                </c:pt>
                <c:pt idx="7">
                  <c:v>201.45499999999998</c:v>
                </c:pt>
                <c:pt idx="8">
                  <c:v>201.36160000000001</c:v>
                </c:pt>
                <c:pt idx="9">
                  <c:v>202.54619999999994</c:v>
                </c:pt>
                <c:pt idx="10">
                  <c:v>200.0514</c:v>
                </c:pt>
                <c:pt idx="11">
                  <c:v>200.60939999999999</c:v>
                </c:pt>
                <c:pt idx="12">
                  <c:v>200.47879999999998</c:v>
                </c:pt>
                <c:pt idx="13">
                  <c:v>203.65479999999999</c:v>
                </c:pt>
                <c:pt idx="14">
                  <c:v>202.86579999999998</c:v>
                </c:pt>
                <c:pt idx="15">
                  <c:v>201.82739999999998</c:v>
                </c:pt>
                <c:pt idx="16">
                  <c:v>200.62719999999999</c:v>
                </c:pt>
                <c:pt idx="17">
                  <c:v>202.40899999999999</c:v>
                </c:pt>
                <c:pt idx="18">
                  <c:v>201.20320000000001</c:v>
                </c:pt>
                <c:pt idx="19">
                  <c:v>201.6052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4AE0-AE04-242D1C92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1752"/>
        <c:axId val="414859992"/>
      </c:barChart>
      <c:catAx>
        <c:axId val="42087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9992"/>
        <c:crosses val="autoZero"/>
        <c:auto val="1"/>
        <c:lblAlgn val="ctr"/>
        <c:lblOffset val="100"/>
        <c:noMultiLvlLbl val="0"/>
      </c:catAx>
      <c:valAx>
        <c:axId val="4148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Haskel KPB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TimingCalc!$P$2:$P$21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FF0-8904-EECBE1B1AA0A}"/>
            </c:ext>
          </c:extLst>
        </c:ser>
        <c:ser>
          <c:idx val="1"/>
          <c:order val="1"/>
          <c:tx>
            <c:v>Naive Python KPB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TimingCalc!$G$28:$G$47</c:f>
              <c:numCache>
                <c:formatCode>General</c:formatCode>
                <c:ptCount val="20"/>
                <c:pt idx="0">
                  <c:v>0.82</c:v>
                </c:pt>
                <c:pt idx="1">
                  <c:v>0.82159999999999989</c:v>
                </c:pt>
                <c:pt idx="2">
                  <c:v>0.81899999999999995</c:v>
                </c:pt>
                <c:pt idx="3">
                  <c:v>0.81980000000000008</c:v>
                </c:pt>
                <c:pt idx="4">
                  <c:v>0.82159999999999989</c:v>
                </c:pt>
                <c:pt idx="5">
                  <c:v>0.82199999999999984</c:v>
                </c:pt>
                <c:pt idx="6">
                  <c:v>0.8206</c:v>
                </c:pt>
                <c:pt idx="7">
                  <c:v>0.82479999999999998</c:v>
                </c:pt>
                <c:pt idx="8">
                  <c:v>0.82</c:v>
                </c:pt>
                <c:pt idx="9">
                  <c:v>0.82319999999999993</c:v>
                </c:pt>
                <c:pt idx="10">
                  <c:v>0.82199999999999984</c:v>
                </c:pt>
                <c:pt idx="11">
                  <c:v>0.8206</c:v>
                </c:pt>
                <c:pt idx="12">
                  <c:v>0.82319999999999993</c:v>
                </c:pt>
                <c:pt idx="13">
                  <c:v>0.81899999999999973</c:v>
                </c:pt>
                <c:pt idx="14">
                  <c:v>0.82340000000000002</c:v>
                </c:pt>
                <c:pt idx="15">
                  <c:v>0.82360000000000011</c:v>
                </c:pt>
                <c:pt idx="16">
                  <c:v>0.82079999999999986</c:v>
                </c:pt>
                <c:pt idx="17">
                  <c:v>0.82</c:v>
                </c:pt>
                <c:pt idx="18">
                  <c:v>0.81799999999999995</c:v>
                </c:pt>
                <c:pt idx="19">
                  <c:v>0.81899999999999995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3-4FF0-8904-EECBE1B1AA0A}"/>
            </c:ext>
          </c:extLst>
        </c:ser>
        <c:ser>
          <c:idx val="2"/>
          <c:order val="2"/>
          <c:tx>
            <c:v>Numpy Python KPB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TimingCalc!$P$28:$P$47</c:f>
              <c:numCache>
                <c:formatCode>General</c:formatCode>
                <c:ptCount val="20"/>
                <c:pt idx="0">
                  <c:v>0.42659999999999998</c:v>
                </c:pt>
                <c:pt idx="1">
                  <c:v>0.40240000000000009</c:v>
                </c:pt>
                <c:pt idx="2">
                  <c:v>0.40879999999999994</c:v>
                </c:pt>
                <c:pt idx="3">
                  <c:v>0.42080000000000001</c:v>
                </c:pt>
                <c:pt idx="4">
                  <c:v>0.42359999999999998</c:v>
                </c:pt>
                <c:pt idx="5">
                  <c:v>0.42180000000000001</c:v>
                </c:pt>
                <c:pt idx="6">
                  <c:v>0.42180000000000001</c:v>
                </c:pt>
                <c:pt idx="7">
                  <c:v>0.41920000000000002</c:v>
                </c:pt>
                <c:pt idx="8">
                  <c:v>0.41459999999999997</c:v>
                </c:pt>
                <c:pt idx="9">
                  <c:v>0.41839999999999999</c:v>
                </c:pt>
                <c:pt idx="10">
                  <c:v>0.42099999999999999</c:v>
                </c:pt>
                <c:pt idx="11">
                  <c:v>0.41879999999999995</c:v>
                </c:pt>
                <c:pt idx="12">
                  <c:v>0.43260000000000004</c:v>
                </c:pt>
                <c:pt idx="13">
                  <c:v>0.39600000000000002</c:v>
                </c:pt>
                <c:pt idx="14">
                  <c:v>0.41360000000000002</c:v>
                </c:pt>
                <c:pt idx="15">
                  <c:v>0.41039999999999993</c:v>
                </c:pt>
                <c:pt idx="16">
                  <c:v>0.4204</c:v>
                </c:pt>
                <c:pt idx="17">
                  <c:v>0.42399999999999993</c:v>
                </c:pt>
                <c:pt idx="18">
                  <c:v>0.42259999999999998</c:v>
                </c:pt>
                <c:pt idx="19">
                  <c:v>0.42219999999999996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3-4FF0-8904-EECBE1B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615880"/>
        <c:axId val="330618176"/>
      </c:barChart>
      <c:catAx>
        <c:axId val="33061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18176"/>
        <c:crosses val="autoZero"/>
        <c:auto val="1"/>
        <c:lblAlgn val="ctr"/>
        <c:lblOffset val="100"/>
        <c:noMultiLvlLbl val="0"/>
      </c:catAx>
      <c:valAx>
        <c:axId val="330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1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36</xdr:row>
      <xdr:rowOff>147636</xdr:rowOff>
    </xdr:from>
    <xdr:to>
      <xdr:col>9</xdr:col>
      <xdr:colOff>790575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82</xdr:row>
      <xdr:rowOff>23812</xdr:rowOff>
    </xdr:from>
    <xdr:to>
      <xdr:col>9</xdr:col>
      <xdr:colOff>323850</xdr:colOff>
      <xdr:row>98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50601-605C-46C8-AA20-774768BC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128587</xdr:rowOff>
    </xdr:from>
    <xdr:to>
      <xdr:col>13</xdr:col>
      <xdr:colOff>200026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DFE07-BE06-442C-AB26-EFC0FB638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476249</xdr:colOff>
      <xdr:row>26</xdr:row>
      <xdr:rowOff>176211</xdr:rowOff>
    </xdr:from>
    <xdr:to>
      <xdr:col>9</xdr:col>
      <xdr:colOff>466725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8DEFD-3B97-4511-AD5D-C93209D5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26</xdr:row>
      <xdr:rowOff>185736</xdr:rowOff>
    </xdr:from>
    <xdr:to>
      <xdr:col>19</xdr:col>
      <xdr:colOff>180975</xdr:colOff>
      <xdr:row>46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B96EA-9E82-4D1E-A1E2-1F4F0EED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47</xdr:row>
      <xdr:rowOff>166686</xdr:rowOff>
    </xdr:from>
    <xdr:to>
      <xdr:col>15</xdr:col>
      <xdr:colOff>514349</xdr:colOff>
      <xdr:row>65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C285D-9DC1-4D20-9CBD-1382F19B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opLeftCell="A6" workbookViewId="0">
      <selection activeCell="B27" sqref="B27"/>
    </sheetView>
  </sheetViews>
  <sheetFormatPr defaultRowHeight="15" x14ac:dyDescent="0.25"/>
  <cols>
    <col min="1" max="1" width="21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9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6" si="3">ABS(E5-F5)</f>
        <v>4.0799999999999947E-2</v>
      </c>
      <c r="H5" s="2">
        <v>0.55169999999999997</v>
      </c>
      <c r="I5" s="2">
        <v>0.51090000000000002</v>
      </c>
      <c r="J5" s="2">
        <f t="shared" ref="J5:J26" si="4">ABS(H5-I5)</f>
        <v>4.0799999999999947E-2</v>
      </c>
    </row>
    <row r="6" spans="1:10" s="2" customFormat="1" x14ac:dyDescent="0.25"/>
    <row r="7" spans="1:10" x14ac:dyDescent="0.25">
      <c r="A7">
        <v>1</v>
      </c>
      <c r="B7">
        <v>0.96599999999999997</v>
      </c>
      <c r="C7">
        <v>0.96299999999999997</v>
      </c>
      <c r="D7">
        <f t="shared" si="0"/>
        <v>3.0000000000000027E-3</v>
      </c>
      <c r="E7">
        <v>0.96599999999999997</v>
      </c>
      <c r="F7">
        <v>0.96299999999999997</v>
      </c>
      <c r="G7">
        <f t="shared" si="3"/>
        <v>3.0000000000000027E-3</v>
      </c>
      <c r="H7">
        <v>0.96199999999999997</v>
      </c>
      <c r="I7">
        <v>0.97099999999999997</v>
      </c>
      <c r="J7">
        <f t="shared" si="4"/>
        <v>9.000000000000008E-3</v>
      </c>
    </row>
    <row r="8" spans="1:10" x14ac:dyDescent="0.25">
      <c r="A8">
        <v>2</v>
      </c>
      <c r="B8">
        <v>1</v>
      </c>
      <c r="C8">
        <v>0.997</v>
      </c>
      <c r="D8">
        <f t="shared" si="0"/>
        <v>3.0000000000000027E-3</v>
      </c>
      <c r="E8">
        <v>1</v>
      </c>
      <c r="F8">
        <v>0.997</v>
      </c>
      <c r="G8">
        <f t="shared" si="3"/>
        <v>3.0000000000000027E-3</v>
      </c>
      <c r="H8">
        <v>0.93600000000000005</v>
      </c>
      <c r="I8">
        <v>0.94199999999999995</v>
      </c>
      <c r="J8">
        <f t="shared" si="4"/>
        <v>5.9999999999998943E-3</v>
      </c>
    </row>
    <row r="9" spans="1:10" s="1" customFormat="1" x14ac:dyDescent="0.25">
      <c r="A9" s="1">
        <v>3</v>
      </c>
      <c r="B9" s="1">
        <v>0.99399999999999999</v>
      </c>
      <c r="C9" s="1">
        <v>0.99299999999999999</v>
      </c>
      <c r="D9" s="1">
        <f t="shared" si="0"/>
        <v>1.0000000000000009E-3</v>
      </c>
      <c r="E9" s="1">
        <v>0.99399999999999999</v>
      </c>
      <c r="F9" s="1">
        <v>0.99299999999999999</v>
      </c>
      <c r="G9" s="1">
        <f t="shared" si="3"/>
        <v>1.0000000000000009E-3</v>
      </c>
      <c r="H9" s="1">
        <v>0.99399999999999999</v>
      </c>
      <c r="I9" s="1">
        <v>0.99299999999999999</v>
      </c>
      <c r="J9" s="1">
        <f t="shared" si="4"/>
        <v>1.0000000000000009E-3</v>
      </c>
    </row>
    <row r="10" spans="1:10" x14ac:dyDescent="0.25">
      <c r="A10">
        <v>4</v>
      </c>
      <c r="B10">
        <v>0.98899999999999999</v>
      </c>
      <c r="C10">
        <v>0.999</v>
      </c>
      <c r="D10">
        <f>ABS(B10-C10)</f>
        <v>1.0000000000000009E-2</v>
      </c>
      <c r="E10">
        <v>0.98899999999999999</v>
      </c>
      <c r="F10">
        <v>0.999</v>
      </c>
      <c r="G10">
        <f t="shared" si="3"/>
        <v>1.0000000000000009E-2</v>
      </c>
      <c r="H10">
        <v>0.96199999999999997</v>
      </c>
      <c r="I10">
        <v>0.96099999999999997</v>
      </c>
      <c r="J10">
        <f t="shared" si="4"/>
        <v>1.0000000000000009E-3</v>
      </c>
    </row>
    <row r="11" spans="1:10" x14ac:dyDescent="0.25">
      <c r="A11">
        <v>5</v>
      </c>
      <c r="B11">
        <v>0.96699999999999997</v>
      </c>
      <c r="C11">
        <v>0.97799999999999998</v>
      </c>
      <c r="D11">
        <f t="shared" ref="D11:D26" si="5">ABS(B11-C11)</f>
        <v>1.100000000000001E-2</v>
      </c>
      <c r="E11">
        <v>0.96699999999999997</v>
      </c>
      <c r="F11">
        <v>0.97799999999999998</v>
      </c>
      <c r="G11">
        <f t="shared" si="3"/>
        <v>1.100000000000001E-2</v>
      </c>
      <c r="H11">
        <v>0.96899999999999997</v>
      </c>
      <c r="I11">
        <v>0.97899999999999998</v>
      </c>
      <c r="J11">
        <f t="shared" si="4"/>
        <v>1.0000000000000009E-2</v>
      </c>
    </row>
    <row r="12" spans="1:10" x14ac:dyDescent="0.25">
      <c r="A12">
        <v>6</v>
      </c>
      <c r="B12">
        <v>0.98399999999999999</v>
      </c>
      <c r="C12">
        <v>0.98899999999999999</v>
      </c>
      <c r="D12">
        <f t="shared" si="5"/>
        <v>5.0000000000000044E-3</v>
      </c>
      <c r="E12">
        <v>0.98399999999999999</v>
      </c>
      <c r="F12">
        <v>0.98899999999999999</v>
      </c>
      <c r="G12">
        <f t="shared" si="3"/>
        <v>5.0000000000000044E-3</v>
      </c>
      <c r="H12">
        <v>0.98299999999999998</v>
      </c>
      <c r="I12">
        <v>0.99</v>
      </c>
      <c r="J12">
        <f t="shared" si="4"/>
        <v>7.0000000000000062E-3</v>
      </c>
    </row>
    <row r="13" spans="1:10" x14ac:dyDescent="0.25">
      <c r="A13">
        <v>7</v>
      </c>
      <c r="B13">
        <v>0.98799999999999999</v>
      </c>
      <c r="C13">
        <v>0.98599999999999999</v>
      </c>
      <c r="D13">
        <f t="shared" si="5"/>
        <v>2.0000000000000018E-3</v>
      </c>
      <c r="E13">
        <v>0.98799999999999999</v>
      </c>
      <c r="F13">
        <v>0.98599999999999999</v>
      </c>
      <c r="G13">
        <f t="shared" si="3"/>
        <v>2.0000000000000018E-3</v>
      </c>
      <c r="H13">
        <v>0.97299999999999998</v>
      </c>
      <c r="I13">
        <v>0.96199999999999997</v>
      </c>
      <c r="J13">
        <f t="shared" si="4"/>
        <v>1.100000000000001E-2</v>
      </c>
    </row>
    <row r="14" spans="1:10" x14ac:dyDescent="0.25">
      <c r="A14">
        <v>8</v>
      </c>
      <c r="B14">
        <v>0.996</v>
      </c>
      <c r="C14">
        <v>0.996</v>
      </c>
      <c r="D14">
        <f t="shared" si="5"/>
        <v>0</v>
      </c>
      <c r="E14">
        <v>0.996</v>
      </c>
      <c r="F14">
        <v>0.996</v>
      </c>
      <c r="G14">
        <f t="shared" si="3"/>
        <v>0</v>
      </c>
      <c r="H14">
        <v>0.95799999999999996</v>
      </c>
      <c r="I14">
        <v>0.97199999999999998</v>
      </c>
      <c r="J14">
        <f t="shared" si="4"/>
        <v>1.4000000000000012E-2</v>
      </c>
    </row>
    <row r="15" spans="1:10" x14ac:dyDescent="0.25">
      <c r="A15">
        <v>9</v>
      </c>
      <c r="B15">
        <v>0.97399999999999998</v>
      </c>
      <c r="C15">
        <v>0.97299999999999998</v>
      </c>
      <c r="D15">
        <f t="shared" si="5"/>
        <v>1.0000000000000009E-3</v>
      </c>
      <c r="E15">
        <v>0.97399999999999998</v>
      </c>
      <c r="F15">
        <v>0.97299999999999998</v>
      </c>
      <c r="G15">
        <f t="shared" si="3"/>
        <v>1.0000000000000009E-3</v>
      </c>
      <c r="H15">
        <v>0.98799999999999999</v>
      </c>
      <c r="I15">
        <v>0.98199999999999998</v>
      </c>
      <c r="J15">
        <f t="shared" si="4"/>
        <v>6.0000000000000053E-3</v>
      </c>
    </row>
    <row r="16" spans="1:10" x14ac:dyDescent="0.25">
      <c r="A16">
        <v>10</v>
      </c>
      <c r="B16">
        <v>0.998</v>
      </c>
      <c r="C16">
        <v>0.999</v>
      </c>
      <c r="D16">
        <f t="shared" si="5"/>
        <v>1.0000000000000009E-3</v>
      </c>
      <c r="E16">
        <v>0.998</v>
      </c>
      <c r="F16">
        <v>0.999</v>
      </c>
      <c r="G16">
        <f t="shared" si="3"/>
        <v>1.0000000000000009E-3</v>
      </c>
      <c r="H16">
        <v>0.95399999999999996</v>
      </c>
      <c r="I16">
        <v>0.94799999999999995</v>
      </c>
      <c r="J16">
        <f t="shared" si="4"/>
        <v>6.0000000000000053E-3</v>
      </c>
    </row>
    <row r="17" spans="1:10" x14ac:dyDescent="0.25">
      <c r="A17">
        <v>11</v>
      </c>
      <c r="B17">
        <v>0.98199999999999998</v>
      </c>
      <c r="C17">
        <v>0.97699999999999998</v>
      </c>
      <c r="D17">
        <f t="shared" si="5"/>
        <v>5.0000000000000044E-3</v>
      </c>
      <c r="E17">
        <v>0.98199999999999998</v>
      </c>
      <c r="F17">
        <v>0.97699999999999998</v>
      </c>
      <c r="G17">
        <f t="shared" si="3"/>
        <v>5.0000000000000044E-3</v>
      </c>
      <c r="H17">
        <v>0.95399999999999996</v>
      </c>
      <c r="I17">
        <v>0.95599999999999996</v>
      </c>
      <c r="J17">
        <f t="shared" si="4"/>
        <v>2.0000000000000018E-3</v>
      </c>
    </row>
    <row r="18" spans="1:10" x14ac:dyDescent="0.25">
      <c r="A18">
        <v>12</v>
      </c>
      <c r="B18">
        <v>0.98799999999999999</v>
      </c>
      <c r="C18">
        <v>0.98199999999999998</v>
      </c>
      <c r="D18">
        <f t="shared" si="5"/>
        <v>6.0000000000000053E-3</v>
      </c>
      <c r="E18">
        <v>0.98799999999999999</v>
      </c>
      <c r="F18">
        <v>0.98199999999999998</v>
      </c>
      <c r="G18">
        <f t="shared" si="3"/>
        <v>6.0000000000000053E-3</v>
      </c>
      <c r="H18">
        <v>0.95199999999999996</v>
      </c>
      <c r="I18">
        <v>0.95</v>
      </c>
      <c r="J18">
        <f t="shared" si="4"/>
        <v>2.0000000000000018E-3</v>
      </c>
    </row>
    <row r="19" spans="1:10" x14ac:dyDescent="0.25">
      <c r="A19">
        <v>13</v>
      </c>
      <c r="B19">
        <v>0.98</v>
      </c>
      <c r="C19">
        <v>0.97299999999999998</v>
      </c>
      <c r="D19">
        <f t="shared" si="5"/>
        <v>7.0000000000000062E-3</v>
      </c>
      <c r="E19">
        <v>0.98</v>
      </c>
      <c r="F19">
        <v>0.97299999999999998</v>
      </c>
      <c r="G19">
        <f t="shared" si="3"/>
        <v>7.0000000000000062E-3</v>
      </c>
      <c r="H19">
        <v>0.97699999999999998</v>
      </c>
      <c r="I19">
        <v>0.97399999999999998</v>
      </c>
      <c r="J19">
        <f t="shared" si="4"/>
        <v>3.0000000000000027E-3</v>
      </c>
    </row>
    <row r="20" spans="1:10" s="1" customFormat="1" x14ac:dyDescent="0.25">
      <c r="A20" s="1">
        <v>14</v>
      </c>
      <c r="B20" s="1">
        <v>1</v>
      </c>
      <c r="C20" s="1">
        <v>0.99399999999999999</v>
      </c>
      <c r="D20" s="1">
        <f t="shared" si="5"/>
        <v>6.0000000000000053E-3</v>
      </c>
      <c r="E20" s="1">
        <v>1</v>
      </c>
      <c r="F20" s="1">
        <v>0.99399999999999999</v>
      </c>
      <c r="G20" s="1">
        <f t="shared" si="3"/>
        <v>6.0000000000000053E-3</v>
      </c>
      <c r="H20" s="1">
        <v>1</v>
      </c>
      <c r="I20" s="1">
        <v>0.99399999999999999</v>
      </c>
      <c r="J20" s="1">
        <f t="shared" si="4"/>
        <v>6.0000000000000053E-3</v>
      </c>
    </row>
    <row r="21" spans="1:10" x14ac:dyDescent="0.25">
      <c r="A21">
        <v>15</v>
      </c>
      <c r="B21">
        <v>0.997</v>
      </c>
      <c r="C21">
        <v>0.998</v>
      </c>
      <c r="D21">
        <f t="shared" si="5"/>
        <v>1.0000000000000009E-3</v>
      </c>
      <c r="E21">
        <v>0.997</v>
      </c>
      <c r="F21">
        <v>0.998</v>
      </c>
      <c r="G21">
        <f t="shared" si="3"/>
        <v>1.0000000000000009E-3</v>
      </c>
      <c r="H21">
        <v>0.99</v>
      </c>
      <c r="I21">
        <v>0.98899999999999999</v>
      </c>
      <c r="J21">
        <f t="shared" si="4"/>
        <v>1.0000000000000009E-3</v>
      </c>
    </row>
    <row r="22" spans="1:10" x14ac:dyDescent="0.25">
      <c r="A22">
        <v>16</v>
      </c>
      <c r="B22">
        <v>0.94499999999999995</v>
      </c>
      <c r="C22">
        <v>0.94499999999999995</v>
      </c>
      <c r="D22">
        <f t="shared" si="5"/>
        <v>0</v>
      </c>
      <c r="E22">
        <v>0.94499999999999995</v>
      </c>
      <c r="F22">
        <v>0.94499999999999995</v>
      </c>
      <c r="G22">
        <f t="shared" si="3"/>
        <v>0</v>
      </c>
      <c r="H22">
        <v>0.96299999999999997</v>
      </c>
      <c r="I22">
        <v>0.95799999999999996</v>
      </c>
      <c r="J22">
        <f t="shared" si="4"/>
        <v>5.0000000000000044E-3</v>
      </c>
    </row>
    <row r="23" spans="1:10" x14ac:dyDescent="0.25">
      <c r="A23">
        <v>17</v>
      </c>
      <c r="B23">
        <v>0.98799999999999999</v>
      </c>
      <c r="C23">
        <v>0.98699999999999999</v>
      </c>
      <c r="D23">
        <f t="shared" si="5"/>
        <v>1.0000000000000009E-3</v>
      </c>
      <c r="E23">
        <v>0.98799999999999999</v>
      </c>
      <c r="F23">
        <v>0.98699999999999999</v>
      </c>
      <c r="G23">
        <f t="shared" si="3"/>
        <v>1.0000000000000009E-3</v>
      </c>
      <c r="H23">
        <v>0.996</v>
      </c>
      <c r="I23">
        <v>0.99</v>
      </c>
      <c r="J23">
        <f t="shared" si="4"/>
        <v>6.0000000000000053E-3</v>
      </c>
    </row>
    <row r="24" spans="1:10" x14ac:dyDescent="0.25">
      <c r="A24">
        <v>18</v>
      </c>
      <c r="B24">
        <v>0.997</v>
      </c>
      <c r="C24">
        <v>0.99299999999999999</v>
      </c>
      <c r="D24">
        <f t="shared" si="5"/>
        <v>4.0000000000000036E-3</v>
      </c>
      <c r="E24">
        <v>0.997</v>
      </c>
      <c r="F24">
        <v>0.99299999999999999</v>
      </c>
      <c r="G24">
        <f t="shared" si="3"/>
        <v>4.0000000000000036E-3</v>
      </c>
      <c r="H24">
        <v>0.93500000000000005</v>
      </c>
      <c r="I24">
        <v>0.92800000000000005</v>
      </c>
      <c r="J24">
        <f t="shared" si="4"/>
        <v>7.0000000000000062E-3</v>
      </c>
    </row>
    <row r="25" spans="1:10" x14ac:dyDescent="0.25">
      <c r="A25">
        <v>19</v>
      </c>
      <c r="B25">
        <v>1</v>
      </c>
      <c r="C25">
        <v>0.997</v>
      </c>
      <c r="D25">
        <f t="shared" si="5"/>
        <v>3.0000000000000027E-3</v>
      </c>
      <c r="E25">
        <v>1</v>
      </c>
      <c r="F25">
        <v>0.997</v>
      </c>
      <c r="G25">
        <f t="shared" si="3"/>
        <v>3.0000000000000027E-3</v>
      </c>
      <c r="H25">
        <v>0.97599999999999998</v>
      </c>
      <c r="I25">
        <v>0.98</v>
      </c>
      <c r="J25">
        <f t="shared" si="4"/>
        <v>4.0000000000000036E-3</v>
      </c>
    </row>
    <row r="26" spans="1:10" x14ac:dyDescent="0.25">
      <c r="A26">
        <v>20</v>
      </c>
      <c r="B26">
        <v>0.98899999999999999</v>
      </c>
      <c r="C26">
        <v>0.997</v>
      </c>
      <c r="D26">
        <f t="shared" si="5"/>
        <v>8.0000000000000071E-3</v>
      </c>
      <c r="E26">
        <v>0.98899999999999999</v>
      </c>
      <c r="F26">
        <v>0.997</v>
      </c>
      <c r="G26">
        <f t="shared" si="3"/>
        <v>8.0000000000000071E-3</v>
      </c>
      <c r="H26">
        <v>0.96099999999999997</v>
      </c>
      <c r="I26">
        <v>0.95499999999999996</v>
      </c>
      <c r="J26">
        <f t="shared" si="4"/>
        <v>6.0000000000000053E-3</v>
      </c>
    </row>
    <row r="28" spans="1:10" x14ac:dyDescent="0.25">
      <c r="A28" t="s">
        <v>30</v>
      </c>
      <c r="B28">
        <v>0.82799999999999996</v>
      </c>
      <c r="C28">
        <v>0.68630000000000002</v>
      </c>
      <c r="D28">
        <f>B28-C28</f>
        <v>0.14169999999999994</v>
      </c>
      <c r="E28">
        <v>0.54139999999999999</v>
      </c>
      <c r="F28">
        <v>0.50980000000000003</v>
      </c>
      <c r="G28">
        <f>E28-F28</f>
        <v>3.1599999999999961E-2</v>
      </c>
      <c r="H28">
        <v>0.54779999999999995</v>
      </c>
      <c r="I28">
        <v>0.50980000000000003</v>
      </c>
      <c r="J28">
        <f>H28-I28</f>
        <v>3.7999999999999923E-2</v>
      </c>
    </row>
    <row r="29" spans="1:10" x14ac:dyDescent="0.25">
      <c r="A29" t="s">
        <v>31</v>
      </c>
      <c r="B29">
        <v>1</v>
      </c>
      <c r="C29">
        <v>0.70650000000000002</v>
      </c>
      <c r="D29">
        <f>B29-C29</f>
        <v>0.29349999999999998</v>
      </c>
      <c r="E29">
        <v>0.55169999999999997</v>
      </c>
      <c r="F29">
        <v>0.51090000000000002</v>
      </c>
      <c r="G29">
        <f>E29-F29</f>
        <v>4.0799999999999947E-2</v>
      </c>
      <c r="H29">
        <v>0.55169999999999997</v>
      </c>
      <c r="I29">
        <v>0.51090000000000002</v>
      </c>
      <c r="J29">
        <f>H29-I29</f>
        <v>4.0799999999999947E-2</v>
      </c>
    </row>
    <row r="30" spans="1:10" x14ac:dyDescent="0.25">
      <c r="H30" t="s">
        <v>42</v>
      </c>
    </row>
    <row r="31" spans="1:10" x14ac:dyDescent="0.25">
      <c r="A31" t="s">
        <v>36</v>
      </c>
      <c r="B31">
        <v>0.84079999999999999</v>
      </c>
      <c r="C31">
        <v>0.82350000000000001</v>
      </c>
      <c r="D31">
        <f>B31-C31</f>
        <v>1.7299999999999982E-2</v>
      </c>
    </row>
    <row r="32" spans="1:10" x14ac:dyDescent="0.25">
      <c r="A32" t="s">
        <v>37</v>
      </c>
      <c r="B32">
        <v>1</v>
      </c>
      <c r="C32">
        <v>0.69569999999999999</v>
      </c>
      <c r="D32">
        <f>B32-C32</f>
        <v>0.30430000000000001</v>
      </c>
    </row>
    <row r="33" spans="1:7" x14ac:dyDescent="0.25">
      <c r="A33" t="s">
        <v>36</v>
      </c>
      <c r="D33" t="s">
        <v>41</v>
      </c>
      <c r="E33">
        <v>0.85350000000000004</v>
      </c>
      <c r="F33">
        <v>0.82350000000000001</v>
      </c>
      <c r="G33">
        <f>E33-F33</f>
        <v>3.0000000000000027E-2</v>
      </c>
    </row>
    <row r="34" spans="1:7" x14ac:dyDescent="0.25">
      <c r="A34" t="s">
        <v>37</v>
      </c>
      <c r="D34" t="s">
        <v>38</v>
      </c>
      <c r="E34">
        <v>1</v>
      </c>
      <c r="F34">
        <v>0.69569999999999999</v>
      </c>
      <c r="G34">
        <f t="shared" ref="G34:G36" si="6">E34-F34</f>
        <v>0.30430000000000001</v>
      </c>
    </row>
    <row r="35" spans="1:7" x14ac:dyDescent="0.25">
      <c r="A35" t="s">
        <v>36</v>
      </c>
      <c r="D35" t="s">
        <v>40</v>
      </c>
      <c r="E35">
        <v>0.54139999999999999</v>
      </c>
      <c r="F35">
        <v>0.50980000000000003</v>
      </c>
      <c r="G35">
        <f t="shared" si="6"/>
        <v>3.1599999999999961E-2</v>
      </c>
    </row>
    <row r="36" spans="1:7" x14ac:dyDescent="0.25">
      <c r="A36" t="s">
        <v>37</v>
      </c>
      <c r="D36" t="s">
        <v>39</v>
      </c>
      <c r="E36">
        <v>0.55169999999999997</v>
      </c>
      <c r="F36">
        <v>0.51090000000000002</v>
      </c>
      <c r="G36">
        <f t="shared" si="6"/>
        <v>4.0799999999999947E-2</v>
      </c>
    </row>
    <row r="38" spans="1:7" x14ac:dyDescent="0.25">
      <c r="B38" t="s">
        <v>14</v>
      </c>
      <c r="D38">
        <f>SUM(B7:B26)/20</f>
        <v>0.98610000000000009</v>
      </c>
    </row>
    <row r="39" spans="1:7" x14ac:dyDescent="0.25">
      <c r="B39" t="s">
        <v>15</v>
      </c>
      <c r="D39">
        <f>SUM(C7:C26)/20</f>
        <v>0.9857999999999999</v>
      </c>
    </row>
    <row r="40" spans="1:7" x14ac:dyDescent="0.25">
      <c r="B40" t="s">
        <v>16</v>
      </c>
      <c r="D40">
        <f>SUM(D7:D26)/20</f>
        <v>3.9000000000000033E-3</v>
      </c>
    </row>
    <row r="42" spans="1:7" x14ac:dyDescent="0.25">
      <c r="B42" t="s">
        <v>17</v>
      </c>
      <c r="D42">
        <f>SUM(E7:E26)/20</f>
        <v>0.98610000000000009</v>
      </c>
    </row>
    <row r="43" spans="1:7" x14ac:dyDescent="0.25">
      <c r="B43" t="s">
        <v>18</v>
      </c>
      <c r="D43">
        <f>SUM(F7:F26)/20</f>
        <v>0.9857999999999999</v>
      </c>
    </row>
    <row r="44" spans="1:7" x14ac:dyDescent="0.25">
      <c r="B44" t="s">
        <v>19</v>
      </c>
      <c r="D44">
        <f>SUM(G7:G26)/20</f>
        <v>3.9000000000000033E-3</v>
      </c>
    </row>
    <row r="46" spans="1:7" x14ac:dyDescent="0.25">
      <c r="B46" t="s">
        <v>20</v>
      </c>
      <c r="D46">
        <f>SUM(H7:H26)/20</f>
        <v>0.96914999999999973</v>
      </c>
    </row>
    <row r="47" spans="1:7" x14ac:dyDescent="0.25">
      <c r="B47" t="s">
        <v>21</v>
      </c>
      <c r="D47">
        <f>SUM(I7:I26)/20</f>
        <v>0.96869999999999989</v>
      </c>
    </row>
    <row r="48" spans="1:7" x14ac:dyDescent="0.25">
      <c r="B48" t="s">
        <v>22</v>
      </c>
      <c r="D48">
        <f>SUM(J7:J26)/20</f>
        <v>5.6499999999999996E-3</v>
      </c>
    </row>
    <row r="52" spans="1:10" x14ac:dyDescent="0.25">
      <c r="A52" t="s">
        <v>29</v>
      </c>
      <c r="B52" t="s">
        <v>23</v>
      </c>
      <c r="D52">
        <f>_xlfn.STDEV.S(D7:D26)</f>
        <v>3.2751054623437253E-3</v>
      </c>
    </row>
    <row r="53" spans="1:10" x14ac:dyDescent="0.25">
      <c r="A53" t="s">
        <v>29</v>
      </c>
      <c r="B53" t="s">
        <v>24</v>
      </c>
      <c r="D53">
        <f>_xlfn.STDEV.S(G7:G26)</f>
        <v>3.2751054623437253E-3</v>
      </c>
    </row>
    <row r="54" spans="1:10" x14ac:dyDescent="0.25">
      <c r="A54" t="s">
        <v>29</v>
      </c>
      <c r="B54" t="s">
        <v>25</v>
      </c>
      <c r="D54">
        <f>_xlfn.STDEV.S(J7:J26)</f>
        <v>3.513507768897813E-3</v>
      </c>
    </row>
    <row r="56" spans="1:10" x14ac:dyDescent="0.25">
      <c r="A56" t="s">
        <v>29</v>
      </c>
      <c r="B56" t="s">
        <v>26</v>
      </c>
      <c r="D56">
        <f>_xlfn.CONFIDENCE.NORM(0.05, D52, 20)</f>
        <v>1.4353518802548806E-3</v>
      </c>
    </row>
    <row r="57" spans="1:10" x14ac:dyDescent="0.25">
      <c r="A57" t="s">
        <v>29</v>
      </c>
      <c r="B57" t="s">
        <v>27</v>
      </c>
      <c r="D57">
        <f>_xlfn.CONFIDENCE.NORM(0.05,D53,20)</f>
        <v>1.4353518802548806E-3</v>
      </c>
    </row>
    <row r="58" spans="1:10" x14ac:dyDescent="0.25">
      <c r="A58" t="s">
        <v>29</v>
      </c>
      <c r="B58" t="s">
        <v>28</v>
      </c>
      <c r="D58">
        <f>_xlfn.CONFIDENCE.NORM(0.05, D54,20)</f>
        <v>1.5398343779649333E-3</v>
      </c>
    </row>
    <row r="60" spans="1:10" x14ac:dyDescent="0.25">
      <c r="E60" t="s">
        <v>226</v>
      </c>
      <c r="F60" t="s">
        <v>227</v>
      </c>
      <c r="G60" t="s">
        <v>231</v>
      </c>
      <c r="H60" t="s">
        <v>228</v>
      </c>
      <c r="I60" t="s">
        <v>229</v>
      </c>
      <c r="J60" t="s">
        <v>230</v>
      </c>
    </row>
    <row r="61" spans="1:10" x14ac:dyDescent="0.25">
      <c r="A61">
        <v>1</v>
      </c>
      <c r="E61">
        <v>0.82399999999999995</v>
      </c>
      <c r="F61">
        <v>0.82699999999999996</v>
      </c>
      <c r="G61">
        <f>ABS(E61-F61)</f>
        <v>3.0000000000000027E-3</v>
      </c>
      <c r="H61">
        <v>0.60699999999999998</v>
      </c>
      <c r="I61">
        <v>0.60499999999999998</v>
      </c>
      <c r="J61">
        <f>ABS(H61-I61)</f>
        <v>2.0000000000000018E-3</v>
      </c>
    </row>
    <row r="62" spans="1:10" x14ac:dyDescent="0.25">
      <c r="A62">
        <v>2</v>
      </c>
      <c r="E62">
        <v>0.80800000000000005</v>
      </c>
      <c r="F62">
        <v>0.83499999999999996</v>
      </c>
      <c r="G62">
        <f t="shared" ref="G62:G80" si="7">ABS(E62-F62)</f>
        <v>2.6999999999999913E-2</v>
      </c>
      <c r="H62">
        <v>0.81</v>
      </c>
      <c r="I62">
        <v>0.79300000000000004</v>
      </c>
      <c r="J62">
        <f t="shared" ref="J62:J80" si="8">ABS(H62-I62)</f>
        <v>1.7000000000000015E-2</v>
      </c>
    </row>
    <row r="63" spans="1:10" x14ac:dyDescent="0.25">
      <c r="A63">
        <v>3</v>
      </c>
      <c r="E63">
        <v>0.80800000000000005</v>
      </c>
      <c r="F63">
        <v>0.82</v>
      </c>
      <c r="G63">
        <f t="shared" si="7"/>
        <v>1.19999999999999E-2</v>
      </c>
      <c r="H63">
        <v>0.77600000000000002</v>
      </c>
      <c r="I63">
        <v>0.78500000000000003</v>
      </c>
      <c r="J63">
        <f t="shared" si="8"/>
        <v>9.000000000000008E-3</v>
      </c>
    </row>
    <row r="64" spans="1:10" x14ac:dyDescent="0.25">
      <c r="A64">
        <v>4</v>
      </c>
      <c r="E64">
        <v>0.72599999999999998</v>
      </c>
      <c r="F64">
        <v>0.753</v>
      </c>
      <c r="G64">
        <f t="shared" si="7"/>
        <v>2.7000000000000024E-2</v>
      </c>
      <c r="H64">
        <v>0.96099999999999997</v>
      </c>
      <c r="I64">
        <v>0.94899999999999995</v>
      </c>
      <c r="J64">
        <f t="shared" si="8"/>
        <v>1.2000000000000011E-2</v>
      </c>
    </row>
    <row r="65" spans="1:10" x14ac:dyDescent="0.25">
      <c r="A65">
        <v>5</v>
      </c>
      <c r="E65">
        <v>0.84499999999999997</v>
      </c>
      <c r="F65">
        <v>0.86399999999999999</v>
      </c>
      <c r="G65">
        <f t="shared" si="7"/>
        <v>1.9000000000000017E-2</v>
      </c>
      <c r="H65">
        <v>0.86099999999999999</v>
      </c>
      <c r="I65">
        <v>0.876</v>
      </c>
      <c r="J65">
        <f t="shared" si="8"/>
        <v>1.5000000000000013E-2</v>
      </c>
    </row>
    <row r="66" spans="1:10" x14ac:dyDescent="0.25">
      <c r="A66">
        <v>6</v>
      </c>
      <c r="E66">
        <v>0.73299999999999998</v>
      </c>
      <c r="F66">
        <v>0.75</v>
      </c>
      <c r="G66">
        <f t="shared" si="7"/>
        <v>1.7000000000000015E-2</v>
      </c>
      <c r="H66">
        <v>0.77400000000000002</v>
      </c>
      <c r="I66">
        <v>0.77300000000000002</v>
      </c>
      <c r="J66">
        <f t="shared" si="8"/>
        <v>1.0000000000000009E-3</v>
      </c>
    </row>
    <row r="67" spans="1:10" x14ac:dyDescent="0.25">
      <c r="A67">
        <v>7</v>
      </c>
      <c r="E67">
        <v>0.77600000000000002</v>
      </c>
      <c r="F67">
        <v>0.77900000000000003</v>
      </c>
      <c r="G67">
        <f t="shared" si="7"/>
        <v>3.0000000000000027E-3</v>
      </c>
      <c r="H67">
        <v>0.57899999999999996</v>
      </c>
      <c r="I67">
        <v>0.53600000000000003</v>
      </c>
      <c r="J67">
        <f t="shared" si="8"/>
        <v>4.2999999999999927E-2</v>
      </c>
    </row>
    <row r="68" spans="1:10" x14ac:dyDescent="0.25">
      <c r="A68">
        <v>8</v>
      </c>
      <c r="E68">
        <v>0.79800000000000004</v>
      </c>
      <c r="F68">
        <v>0.78600000000000003</v>
      </c>
      <c r="G68">
        <f t="shared" si="7"/>
        <v>1.2000000000000011E-2</v>
      </c>
      <c r="H68">
        <v>0.71</v>
      </c>
      <c r="I68">
        <v>0.70699999999999996</v>
      </c>
      <c r="J68">
        <f t="shared" si="8"/>
        <v>3.0000000000000027E-3</v>
      </c>
    </row>
    <row r="69" spans="1:10" x14ac:dyDescent="0.25">
      <c r="A69">
        <v>9</v>
      </c>
      <c r="E69">
        <v>0.71599999999999997</v>
      </c>
      <c r="F69">
        <v>0.70199999999999996</v>
      </c>
      <c r="G69">
        <f t="shared" si="7"/>
        <v>1.4000000000000012E-2</v>
      </c>
      <c r="H69">
        <v>0.69099999999999995</v>
      </c>
      <c r="I69">
        <v>0.67600000000000005</v>
      </c>
      <c r="J69">
        <f t="shared" si="8"/>
        <v>1.4999999999999902E-2</v>
      </c>
    </row>
    <row r="70" spans="1:10" x14ac:dyDescent="0.25">
      <c r="A70">
        <v>10</v>
      </c>
      <c r="E70">
        <v>0.8</v>
      </c>
      <c r="F70">
        <v>0.77900000000000003</v>
      </c>
      <c r="G70">
        <f t="shared" si="7"/>
        <v>2.1000000000000019E-2</v>
      </c>
      <c r="H70">
        <v>0.66700000000000004</v>
      </c>
      <c r="I70">
        <v>0.71299999999999997</v>
      </c>
      <c r="J70">
        <f t="shared" si="8"/>
        <v>4.599999999999993E-2</v>
      </c>
    </row>
    <row r="71" spans="1:10" x14ac:dyDescent="0.25">
      <c r="A71">
        <v>11</v>
      </c>
      <c r="E71">
        <v>0.59</v>
      </c>
      <c r="F71">
        <v>0.56899999999999995</v>
      </c>
      <c r="G71">
        <f t="shared" si="7"/>
        <v>2.1000000000000019E-2</v>
      </c>
      <c r="H71">
        <v>0.78900000000000003</v>
      </c>
      <c r="I71">
        <v>0.78300000000000003</v>
      </c>
      <c r="J71">
        <f t="shared" si="8"/>
        <v>6.0000000000000053E-3</v>
      </c>
    </row>
    <row r="72" spans="1:10" x14ac:dyDescent="0.25">
      <c r="A72">
        <v>12</v>
      </c>
      <c r="E72">
        <v>0.89400000000000002</v>
      </c>
      <c r="F72">
        <v>0.86899999999999999</v>
      </c>
      <c r="G72">
        <f t="shared" si="7"/>
        <v>2.5000000000000022E-2</v>
      </c>
      <c r="H72">
        <v>0.88800000000000001</v>
      </c>
      <c r="I72">
        <v>0.86299999999999999</v>
      </c>
      <c r="J72">
        <f t="shared" si="8"/>
        <v>2.5000000000000022E-2</v>
      </c>
    </row>
    <row r="73" spans="1:10" x14ac:dyDescent="0.25">
      <c r="A73">
        <v>13</v>
      </c>
      <c r="E73">
        <v>0.83899999999999997</v>
      </c>
      <c r="F73">
        <v>0.82699999999999996</v>
      </c>
      <c r="G73">
        <f t="shared" si="7"/>
        <v>1.2000000000000011E-2</v>
      </c>
      <c r="H73">
        <v>0.78500000000000003</v>
      </c>
      <c r="I73">
        <v>0.78300000000000003</v>
      </c>
      <c r="J73">
        <f t="shared" si="8"/>
        <v>2.0000000000000018E-3</v>
      </c>
    </row>
    <row r="74" spans="1:10" x14ac:dyDescent="0.25">
      <c r="A74">
        <v>14</v>
      </c>
      <c r="E74">
        <v>0.57099999999999995</v>
      </c>
      <c r="F74">
        <v>0.57199999999999995</v>
      </c>
      <c r="G74">
        <f t="shared" si="7"/>
        <v>1.0000000000000009E-3</v>
      </c>
      <c r="H74">
        <v>0.78900000000000003</v>
      </c>
      <c r="I74">
        <v>0.77800000000000002</v>
      </c>
      <c r="J74">
        <f t="shared" si="8"/>
        <v>1.100000000000001E-2</v>
      </c>
    </row>
    <row r="75" spans="1:10" x14ac:dyDescent="0.25">
      <c r="A75">
        <v>15</v>
      </c>
      <c r="E75">
        <v>0.51</v>
      </c>
      <c r="F75">
        <v>0.54</v>
      </c>
      <c r="G75">
        <f t="shared" si="7"/>
        <v>3.0000000000000027E-2</v>
      </c>
      <c r="H75">
        <v>0.94099999999999995</v>
      </c>
      <c r="I75">
        <v>0.91600000000000004</v>
      </c>
      <c r="J75">
        <f t="shared" si="8"/>
        <v>2.4999999999999911E-2</v>
      </c>
    </row>
    <row r="76" spans="1:10" x14ac:dyDescent="0.25">
      <c r="A76">
        <v>16</v>
      </c>
      <c r="E76">
        <v>0.92600000000000005</v>
      </c>
      <c r="F76">
        <v>0.93100000000000005</v>
      </c>
      <c r="G76">
        <f t="shared" si="7"/>
        <v>5.0000000000000044E-3</v>
      </c>
      <c r="H76">
        <v>0.747</v>
      </c>
      <c r="I76">
        <v>0.751</v>
      </c>
      <c r="J76">
        <f t="shared" si="8"/>
        <v>4.0000000000000036E-3</v>
      </c>
    </row>
    <row r="77" spans="1:10" x14ac:dyDescent="0.25">
      <c r="A77">
        <v>17</v>
      </c>
      <c r="E77">
        <v>0.81599999999999995</v>
      </c>
      <c r="F77">
        <v>0.75900000000000001</v>
      </c>
      <c r="G77">
        <f t="shared" si="7"/>
        <v>5.699999999999994E-2</v>
      </c>
      <c r="H77">
        <v>0.76800000000000002</v>
      </c>
      <c r="I77">
        <v>0.81599999999999995</v>
      </c>
      <c r="J77">
        <f t="shared" si="8"/>
        <v>4.7999999999999932E-2</v>
      </c>
    </row>
    <row r="78" spans="1:10" x14ac:dyDescent="0.25">
      <c r="A78">
        <v>18</v>
      </c>
      <c r="E78">
        <v>0.70099999999999996</v>
      </c>
      <c r="F78">
        <v>0.68799999999999994</v>
      </c>
      <c r="G78">
        <f t="shared" si="7"/>
        <v>1.3000000000000012E-2</v>
      </c>
      <c r="H78">
        <v>0.83399999999999996</v>
      </c>
      <c r="I78">
        <v>0.78900000000000003</v>
      </c>
      <c r="J78">
        <f t="shared" si="8"/>
        <v>4.4999999999999929E-2</v>
      </c>
    </row>
    <row r="79" spans="1:10" x14ac:dyDescent="0.25">
      <c r="A79">
        <v>19</v>
      </c>
      <c r="E79">
        <v>0.80700000000000005</v>
      </c>
      <c r="F79">
        <v>0.77400000000000002</v>
      </c>
      <c r="G79">
        <f t="shared" si="7"/>
        <v>3.3000000000000029E-2</v>
      </c>
      <c r="H79">
        <v>0.95399999999999996</v>
      </c>
      <c r="I79">
        <v>0.96099999999999997</v>
      </c>
      <c r="J79">
        <f t="shared" si="8"/>
        <v>7.0000000000000062E-3</v>
      </c>
    </row>
    <row r="80" spans="1:10" x14ac:dyDescent="0.25">
      <c r="A80">
        <v>20</v>
      </c>
      <c r="E80">
        <v>0.89</v>
      </c>
      <c r="F80">
        <v>0.89600000000000002</v>
      </c>
      <c r="G80">
        <f t="shared" si="7"/>
        <v>6.0000000000000053E-3</v>
      </c>
      <c r="H80">
        <v>0.79400000000000004</v>
      </c>
      <c r="I80">
        <v>0.76900000000000002</v>
      </c>
      <c r="J80">
        <f t="shared" si="8"/>
        <v>2.5000000000000022E-2</v>
      </c>
    </row>
    <row r="81" spans="1:10" x14ac:dyDescent="0.25">
      <c r="E81">
        <f>AVERAGE(E61:E80)</f>
        <v>0.76890000000000014</v>
      </c>
      <c r="F81">
        <f t="shared" ref="F81:J81" si="9">AVERAGE(F61:F80)</f>
        <v>0.76600000000000001</v>
      </c>
      <c r="G81">
        <f t="shared" si="9"/>
        <v>1.7899999999999999E-2</v>
      </c>
      <c r="H81">
        <f t="shared" si="9"/>
        <v>0.78625000000000012</v>
      </c>
      <c r="I81">
        <f t="shared" si="9"/>
        <v>0.78110000000000002</v>
      </c>
      <c r="J81">
        <f t="shared" si="9"/>
        <v>1.8049999999999983E-2</v>
      </c>
    </row>
    <row r="82" spans="1:10" x14ac:dyDescent="0.25">
      <c r="A82" t="s">
        <v>232</v>
      </c>
      <c r="B82" t="s">
        <v>24</v>
      </c>
      <c r="D82">
        <f>_xlfn.STDEV.S(G61:G80)</f>
        <v>1.3222389305544141E-2</v>
      </c>
    </row>
    <row r="83" spans="1:10" x14ac:dyDescent="0.25">
      <c r="A83" t="s">
        <v>232</v>
      </c>
      <c r="B83" t="s">
        <v>25</v>
      </c>
      <c r="D83">
        <f>_xlfn.STDEV.S(J61:J80)</f>
        <v>1.5988400400553528E-2</v>
      </c>
    </row>
    <row r="85" spans="1:10" x14ac:dyDescent="0.25">
      <c r="A85" t="s">
        <v>232</v>
      </c>
      <c r="B85" t="s">
        <v>27</v>
      </c>
      <c r="D85">
        <f>_xlfn.CONFIDENCE.NORM(0.05, D82,20)</f>
        <v>5.7948611332940842E-3</v>
      </c>
    </row>
    <row r="86" spans="1:10" x14ac:dyDescent="0.25">
      <c r="A86" t="s">
        <v>232</v>
      </c>
      <c r="B86" t="s">
        <v>28</v>
      </c>
      <c r="D86">
        <f>_xlfn.CONFIDENCE.NORM(0.05, D83,20)</f>
        <v>7.0070966694244039E-3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63-7B26-4572-B2E3-B397149B68CA}">
  <dimension ref="A1:F92"/>
  <sheetViews>
    <sheetView topLeftCell="A40" workbookViewId="0">
      <selection activeCell="C54" sqref="C54"/>
    </sheetView>
  </sheetViews>
  <sheetFormatPr defaultRowHeight="15" x14ac:dyDescent="0.25"/>
  <cols>
    <col min="3" max="3" width="17.140625" customWidth="1"/>
    <col min="4" max="4" width="17.42578125" customWidth="1"/>
    <col min="5" max="5" width="17.140625" customWidth="1"/>
    <col min="6" max="6" width="39.42578125" customWidth="1"/>
  </cols>
  <sheetData>
    <row r="1" spans="1:6" x14ac:dyDescent="0.25">
      <c r="A1" t="s">
        <v>32</v>
      </c>
      <c r="C1" t="s">
        <v>33</v>
      </c>
      <c r="D1" t="s">
        <v>34</v>
      </c>
      <c r="E1" t="s">
        <v>35</v>
      </c>
    </row>
    <row r="2" spans="1:6" x14ac:dyDescent="0.25">
      <c r="A2">
        <v>0</v>
      </c>
      <c r="C2" s="3" t="s">
        <v>52</v>
      </c>
      <c r="D2" s="3" t="s">
        <v>65</v>
      </c>
      <c r="E2" s="3" t="s">
        <v>77</v>
      </c>
      <c r="F2" s="3" t="s">
        <v>104</v>
      </c>
    </row>
    <row r="3" spans="1:6" x14ac:dyDescent="0.25">
      <c r="A3">
        <v>0.1</v>
      </c>
      <c r="C3" s="3" t="s">
        <v>53</v>
      </c>
      <c r="D3" s="3" t="s">
        <v>66</v>
      </c>
      <c r="E3" s="3" t="s">
        <v>78</v>
      </c>
      <c r="F3" t="s">
        <v>50</v>
      </c>
    </row>
    <row r="4" spans="1:6" x14ac:dyDescent="0.25">
      <c r="A4">
        <v>0.2</v>
      </c>
      <c r="C4" s="3" t="s">
        <v>54</v>
      </c>
      <c r="D4" s="3" t="s">
        <v>67</v>
      </c>
      <c r="E4" s="3" t="s">
        <v>79</v>
      </c>
      <c r="F4" t="s">
        <v>51</v>
      </c>
    </row>
    <row r="5" spans="1:6" x14ac:dyDescent="0.25">
      <c r="A5">
        <v>0.3</v>
      </c>
      <c r="C5" s="3" t="s">
        <v>55</v>
      </c>
      <c r="D5" s="3" t="s">
        <v>68</v>
      </c>
      <c r="E5" s="3" t="s">
        <v>80</v>
      </c>
      <c r="F5" t="s">
        <v>64</v>
      </c>
    </row>
    <row r="6" spans="1:6" x14ac:dyDescent="0.25">
      <c r="A6">
        <v>0.4</v>
      </c>
      <c r="C6" s="3" t="s">
        <v>56</v>
      </c>
      <c r="D6" s="3" t="s">
        <v>69</v>
      </c>
      <c r="E6" s="3" t="s">
        <v>81</v>
      </c>
      <c r="F6" t="s">
        <v>63</v>
      </c>
    </row>
    <row r="7" spans="1:6" x14ac:dyDescent="0.25">
      <c r="A7">
        <v>0.5</v>
      </c>
      <c r="C7" s="3" t="s">
        <v>57</v>
      </c>
      <c r="D7" s="3" t="s">
        <v>70</v>
      </c>
      <c r="E7" s="3" t="s">
        <v>82</v>
      </c>
      <c r="F7" t="s">
        <v>76</v>
      </c>
    </row>
    <row r="8" spans="1:6" x14ac:dyDescent="0.25">
      <c r="A8">
        <v>0.6</v>
      </c>
      <c r="C8" s="3" t="s">
        <v>58</v>
      </c>
      <c r="D8" s="3" t="s">
        <v>71</v>
      </c>
      <c r="E8" s="3" t="s">
        <v>83</v>
      </c>
      <c r="F8" s="3" t="s">
        <v>88</v>
      </c>
    </row>
    <row r="9" spans="1:6" x14ac:dyDescent="0.25">
      <c r="A9">
        <v>0.7</v>
      </c>
      <c r="C9" s="3" t="s">
        <v>59</v>
      </c>
      <c r="D9" s="3" t="s">
        <v>72</v>
      </c>
      <c r="E9" s="3" t="s">
        <v>84</v>
      </c>
    </row>
    <row r="10" spans="1:6" x14ac:dyDescent="0.25">
      <c r="A10">
        <v>0.8</v>
      </c>
      <c r="C10" s="3" t="s">
        <v>60</v>
      </c>
      <c r="D10" s="3" t="s">
        <v>73</v>
      </c>
      <c r="E10" s="3" t="s">
        <v>85</v>
      </c>
    </row>
    <row r="11" spans="1:6" x14ac:dyDescent="0.25">
      <c r="A11">
        <v>0.9</v>
      </c>
      <c r="C11" s="3" t="s">
        <v>61</v>
      </c>
      <c r="D11" s="3" t="s">
        <v>74</v>
      </c>
      <c r="E11" s="3" t="s">
        <v>86</v>
      </c>
    </row>
    <row r="12" spans="1:6" x14ac:dyDescent="0.25">
      <c r="A12">
        <v>1</v>
      </c>
      <c r="C12" s="3" t="s">
        <v>62</v>
      </c>
      <c r="D12" s="3" t="s">
        <v>75</v>
      </c>
      <c r="E12" s="3" t="s">
        <v>87</v>
      </c>
    </row>
    <row r="14" spans="1:6" x14ac:dyDescent="0.25">
      <c r="A14" t="s">
        <v>32</v>
      </c>
      <c r="C14" s="3" t="s">
        <v>33</v>
      </c>
      <c r="D14" s="3" t="s">
        <v>34</v>
      </c>
      <c r="E14" s="3" t="s">
        <v>35</v>
      </c>
    </row>
    <row r="15" spans="1:6" x14ac:dyDescent="0.25">
      <c r="A15">
        <v>0</v>
      </c>
      <c r="C15" s="3" t="s">
        <v>92</v>
      </c>
      <c r="D15" s="4">
        <v>6.7621700000000005E+271</v>
      </c>
      <c r="E15" s="4">
        <v>1.07728E+214</v>
      </c>
      <c r="F15" s="3" t="s">
        <v>105</v>
      </c>
    </row>
    <row r="16" spans="1:6" x14ac:dyDescent="0.25">
      <c r="A16">
        <v>0.1</v>
      </c>
      <c r="C16" s="3" t="s">
        <v>93</v>
      </c>
      <c r="D16" s="4">
        <v>1.44968E+271</v>
      </c>
      <c r="E16" s="4">
        <v>2.3094800000000001E+213</v>
      </c>
      <c r="F16" t="s">
        <v>89</v>
      </c>
    </row>
    <row r="17" spans="1:6" x14ac:dyDescent="0.25">
      <c r="A17">
        <v>0.2</v>
      </c>
      <c r="C17" s="3" t="s">
        <v>94</v>
      </c>
      <c r="D17" s="4">
        <v>1.42834E+269</v>
      </c>
      <c r="E17" s="4">
        <v>2.27548E+211</v>
      </c>
      <c r="F17" t="s">
        <v>90</v>
      </c>
    </row>
    <row r="18" spans="1:6" x14ac:dyDescent="0.25">
      <c r="A18">
        <v>0.3</v>
      </c>
      <c r="C18" s="3" t="s">
        <v>95</v>
      </c>
      <c r="D18" s="4">
        <v>6.4679200000000003E+265</v>
      </c>
      <c r="E18" s="4">
        <v>1.0304E+208</v>
      </c>
      <c r="F18" t="s">
        <v>91</v>
      </c>
    </row>
    <row r="19" spans="1:6" x14ac:dyDescent="0.25">
      <c r="A19">
        <v>0.4</v>
      </c>
      <c r="C19" s="3" t="s">
        <v>96</v>
      </c>
      <c r="D19" s="4">
        <v>1.3460800000000001E+261</v>
      </c>
      <c r="E19" s="4">
        <v>2.1444299999999999E+203</v>
      </c>
      <c r="F19" t="s">
        <v>103</v>
      </c>
    </row>
    <row r="20" spans="1:6" x14ac:dyDescent="0.25">
      <c r="A20">
        <v>0.5</v>
      </c>
      <c r="C20" s="3" t="s">
        <v>97</v>
      </c>
      <c r="D20" s="4">
        <v>1.2875000000000001E+255</v>
      </c>
      <c r="E20" s="4">
        <v>2.0511100000000001E+197</v>
      </c>
      <c r="F20" t="s">
        <v>106</v>
      </c>
    </row>
    <row r="21" spans="1:6" x14ac:dyDescent="0.25">
      <c r="A21">
        <v>0.6</v>
      </c>
      <c r="C21" s="3" t="s">
        <v>98</v>
      </c>
      <c r="D21" s="4">
        <v>5.6597900000000001E+247</v>
      </c>
      <c r="E21" s="4">
        <v>9.0165599999999994E+189</v>
      </c>
      <c r="F21" t="s">
        <v>107</v>
      </c>
    </row>
    <row r="22" spans="1:6" x14ac:dyDescent="0.25">
      <c r="A22">
        <v>0.7</v>
      </c>
      <c r="C22" s="3" t="s">
        <v>99</v>
      </c>
      <c r="D22" s="4">
        <v>1.14347E+239</v>
      </c>
      <c r="E22" s="4">
        <v>1.8216500000000001E+181</v>
      </c>
    </row>
    <row r="23" spans="1:6" x14ac:dyDescent="0.25">
      <c r="A23">
        <v>0.8</v>
      </c>
      <c r="C23" s="3" t="s">
        <v>100</v>
      </c>
      <c r="D23" s="4">
        <v>1.06175E+229</v>
      </c>
      <c r="E23" s="4">
        <v>1.6914600000000001E+171</v>
      </c>
    </row>
    <row r="24" spans="1:6" x14ac:dyDescent="0.25">
      <c r="A24">
        <v>0.9</v>
      </c>
      <c r="C24" s="3" t="s">
        <v>101</v>
      </c>
      <c r="D24" s="4">
        <v>4.5309799999999996E+217</v>
      </c>
      <c r="E24" s="4">
        <v>7.21827E+159</v>
      </c>
    </row>
    <row r="25" spans="1:6" x14ac:dyDescent="0.25">
      <c r="A25">
        <v>1</v>
      </c>
      <c r="C25" s="3" t="s">
        <v>102</v>
      </c>
      <c r="D25" s="4">
        <v>8.8865999999999997E+204</v>
      </c>
      <c r="E25" s="4">
        <v>1.41572E+147</v>
      </c>
    </row>
    <row r="27" spans="1:6" x14ac:dyDescent="0.25">
      <c r="A27" t="s">
        <v>32</v>
      </c>
      <c r="C27" s="3" t="s">
        <v>33</v>
      </c>
      <c r="D27" s="3" t="s">
        <v>34</v>
      </c>
      <c r="E27" s="3" t="s">
        <v>35</v>
      </c>
    </row>
    <row r="28" spans="1:6" x14ac:dyDescent="0.25">
      <c r="A28">
        <v>0</v>
      </c>
      <c r="C28" s="3" t="s">
        <v>116</v>
      </c>
      <c r="D28" s="4" t="s">
        <v>111</v>
      </c>
      <c r="E28" s="4" t="s">
        <v>112</v>
      </c>
      <c r="F28" s="3" t="s">
        <v>108</v>
      </c>
    </row>
    <row r="29" spans="1:6" x14ac:dyDescent="0.25">
      <c r="A29">
        <v>0.1</v>
      </c>
      <c r="C29" s="3" t="s">
        <v>117</v>
      </c>
      <c r="D29" s="4" t="s">
        <v>128</v>
      </c>
      <c r="E29" s="4" t="s">
        <v>139</v>
      </c>
      <c r="F29" t="s">
        <v>114</v>
      </c>
    </row>
    <row r="30" spans="1:6" x14ac:dyDescent="0.25">
      <c r="A30">
        <v>0.2</v>
      </c>
      <c r="C30" s="3" t="s">
        <v>118</v>
      </c>
      <c r="D30" s="4" t="s">
        <v>129</v>
      </c>
      <c r="E30" s="4" t="s">
        <v>140</v>
      </c>
      <c r="F30" t="s">
        <v>110</v>
      </c>
    </row>
    <row r="31" spans="1:6" x14ac:dyDescent="0.25">
      <c r="A31">
        <v>0.3</v>
      </c>
      <c r="C31" s="3" t="s">
        <v>119</v>
      </c>
      <c r="D31" s="4" t="s">
        <v>130</v>
      </c>
      <c r="E31" s="4" t="s">
        <v>141</v>
      </c>
      <c r="F31" t="s">
        <v>91</v>
      </c>
    </row>
    <row r="32" spans="1:6" x14ac:dyDescent="0.25">
      <c r="A32">
        <v>0.4</v>
      </c>
      <c r="C32" s="3" t="s">
        <v>120</v>
      </c>
      <c r="D32" s="4" t="s">
        <v>131</v>
      </c>
      <c r="E32" s="4" t="s">
        <v>142</v>
      </c>
      <c r="F32" t="s">
        <v>127</v>
      </c>
    </row>
    <row r="33" spans="1:6" x14ac:dyDescent="0.25">
      <c r="A33">
        <v>0.5</v>
      </c>
      <c r="C33" s="3" t="s">
        <v>121</v>
      </c>
      <c r="D33" s="4" t="s">
        <v>132</v>
      </c>
      <c r="E33" s="4" t="s">
        <v>143</v>
      </c>
      <c r="F33" t="s">
        <v>138</v>
      </c>
    </row>
    <row r="34" spans="1:6" x14ac:dyDescent="0.25">
      <c r="A34">
        <v>0.6</v>
      </c>
      <c r="C34" s="3" t="s">
        <v>122</v>
      </c>
      <c r="D34" s="4" t="s">
        <v>133</v>
      </c>
      <c r="E34" s="4" t="s">
        <v>144</v>
      </c>
    </row>
    <row r="35" spans="1:6" x14ac:dyDescent="0.25">
      <c r="A35">
        <v>0.7</v>
      </c>
      <c r="C35" s="3" t="s">
        <v>123</v>
      </c>
      <c r="D35" s="4" t="s">
        <v>134</v>
      </c>
      <c r="E35" s="4" t="s">
        <v>145</v>
      </c>
    </row>
    <row r="36" spans="1:6" x14ac:dyDescent="0.25">
      <c r="A36">
        <v>0.8</v>
      </c>
      <c r="C36" s="3" t="s">
        <v>124</v>
      </c>
      <c r="D36" s="4" t="s">
        <v>135</v>
      </c>
      <c r="E36" s="4" t="s">
        <v>146</v>
      </c>
    </row>
    <row r="37" spans="1:6" x14ac:dyDescent="0.25">
      <c r="A37">
        <v>0.9</v>
      </c>
      <c r="C37" s="3" t="s">
        <v>125</v>
      </c>
      <c r="D37" s="4" t="s">
        <v>136</v>
      </c>
      <c r="E37" s="4" t="s">
        <v>147</v>
      </c>
    </row>
    <row r="38" spans="1:6" x14ac:dyDescent="0.25">
      <c r="A38">
        <v>1</v>
      </c>
      <c r="C38" s="3" t="s">
        <v>126</v>
      </c>
      <c r="D38" s="4" t="s">
        <v>137</v>
      </c>
      <c r="E38" s="4" t="s">
        <v>148</v>
      </c>
    </row>
    <row r="40" spans="1:6" x14ac:dyDescent="0.25">
      <c r="A40" t="s">
        <v>32</v>
      </c>
      <c r="C40" s="3" t="s">
        <v>33</v>
      </c>
      <c r="D40" s="3" t="s">
        <v>34</v>
      </c>
      <c r="E40" s="3" t="s">
        <v>35</v>
      </c>
    </row>
    <row r="41" spans="1:6" x14ac:dyDescent="0.25">
      <c r="A41">
        <v>0</v>
      </c>
      <c r="C41" s="3" t="s">
        <v>149</v>
      </c>
      <c r="D41" s="4" t="s">
        <v>161</v>
      </c>
      <c r="E41" s="4" t="s">
        <v>173</v>
      </c>
      <c r="F41" s="3" t="s">
        <v>113</v>
      </c>
    </row>
    <row r="42" spans="1:6" x14ac:dyDescent="0.25">
      <c r="A42">
        <v>0.1</v>
      </c>
      <c r="C42" s="3" t="s">
        <v>150</v>
      </c>
      <c r="D42" s="4" t="s">
        <v>162</v>
      </c>
      <c r="E42" s="4" t="s">
        <v>174</v>
      </c>
      <c r="F42" t="s">
        <v>109</v>
      </c>
    </row>
    <row r="43" spans="1:6" x14ac:dyDescent="0.25">
      <c r="A43">
        <v>0.2</v>
      </c>
      <c r="C43" s="3" t="s">
        <v>151</v>
      </c>
      <c r="D43" s="4" t="s">
        <v>163</v>
      </c>
      <c r="E43" s="4" t="s">
        <v>175</v>
      </c>
      <c r="F43" t="s">
        <v>110</v>
      </c>
    </row>
    <row r="44" spans="1:6" x14ac:dyDescent="0.25">
      <c r="A44">
        <v>0.3</v>
      </c>
      <c r="C44" s="3" t="s">
        <v>152</v>
      </c>
      <c r="D44" s="4" t="s">
        <v>164</v>
      </c>
      <c r="E44" s="4" t="s">
        <v>176</v>
      </c>
      <c r="F44" t="s">
        <v>115</v>
      </c>
    </row>
    <row r="45" spans="1:6" x14ac:dyDescent="0.25">
      <c r="A45">
        <v>0.4</v>
      </c>
      <c r="C45" s="3" t="s">
        <v>153</v>
      </c>
      <c r="D45" s="4" t="s">
        <v>165</v>
      </c>
      <c r="E45" s="4" t="s">
        <v>177</v>
      </c>
      <c r="F45" t="s">
        <v>160</v>
      </c>
    </row>
    <row r="46" spans="1:6" x14ac:dyDescent="0.25">
      <c r="A46">
        <v>0.5</v>
      </c>
      <c r="C46" s="3" t="s">
        <v>154</v>
      </c>
      <c r="D46" s="4" t="s">
        <v>166</v>
      </c>
      <c r="E46" s="4" t="s">
        <v>178</v>
      </c>
      <c r="F46" t="s">
        <v>172</v>
      </c>
    </row>
    <row r="47" spans="1:6" x14ac:dyDescent="0.25">
      <c r="A47">
        <v>0.6</v>
      </c>
      <c r="C47" s="3" t="s">
        <v>155</v>
      </c>
      <c r="D47" s="4" t="s">
        <v>167</v>
      </c>
      <c r="E47" s="4" t="s">
        <v>179</v>
      </c>
      <c r="F47" t="s">
        <v>184</v>
      </c>
    </row>
    <row r="48" spans="1:6" x14ac:dyDescent="0.25">
      <c r="A48">
        <v>0.7</v>
      </c>
      <c r="C48" s="3" t="s">
        <v>156</v>
      </c>
      <c r="D48" s="4" t="s">
        <v>168</v>
      </c>
      <c r="E48" s="4" t="s">
        <v>180</v>
      </c>
    </row>
    <row r="49" spans="1:6" x14ac:dyDescent="0.25">
      <c r="A49">
        <v>0.8</v>
      </c>
      <c r="C49" s="3" t="s">
        <v>157</v>
      </c>
      <c r="D49" s="4" t="s">
        <v>169</v>
      </c>
      <c r="E49" s="4" t="s">
        <v>181</v>
      </c>
    </row>
    <row r="50" spans="1:6" x14ac:dyDescent="0.25">
      <c r="A50">
        <v>0.9</v>
      </c>
      <c r="C50" s="3" t="s">
        <v>158</v>
      </c>
      <c r="D50" s="4" t="s">
        <v>170</v>
      </c>
      <c r="E50" s="4" t="s">
        <v>182</v>
      </c>
    </row>
    <row r="51" spans="1:6" x14ac:dyDescent="0.25">
      <c r="A51">
        <v>1</v>
      </c>
      <c r="C51" s="3" t="s">
        <v>159</v>
      </c>
      <c r="D51" s="4" t="s">
        <v>171</v>
      </c>
      <c r="E51" s="4" t="s">
        <v>183</v>
      </c>
    </row>
    <row r="53" spans="1:6" x14ac:dyDescent="0.25">
      <c r="A53" t="s">
        <v>32</v>
      </c>
      <c r="C53" s="3" t="s">
        <v>33</v>
      </c>
      <c r="D53" s="3" t="s">
        <v>34</v>
      </c>
      <c r="E53" s="3" t="s">
        <v>35</v>
      </c>
    </row>
    <row r="54" spans="1:6" x14ac:dyDescent="0.25">
      <c r="A54">
        <v>0</v>
      </c>
      <c r="C54" s="3" t="s">
        <v>188</v>
      </c>
      <c r="D54" s="4" t="s">
        <v>199</v>
      </c>
      <c r="E54" s="4" t="s">
        <v>212</v>
      </c>
      <c r="F54" s="3" t="s">
        <v>185</v>
      </c>
    </row>
    <row r="55" spans="1:6" x14ac:dyDescent="0.25">
      <c r="A55">
        <v>0.1</v>
      </c>
      <c r="C55" s="3" t="s">
        <v>189</v>
      </c>
      <c r="D55" s="4" t="s">
        <v>200</v>
      </c>
      <c r="E55" s="4" t="s">
        <v>213</v>
      </c>
      <c r="F55" t="s">
        <v>186</v>
      </c>
    </row>
    <row r="56" spans="1:6" x14ac:dyDescent="0.25">
      <c r="A56">
        <v>0.2</v>
      </c>
      <c r="C56" s="3" t="s">
        <v>190</v>
      </c>
      <c r="D56" s="4" t="s">
        <v>201</v>
      </c>
      <c r="E56" s="4" t="s">
        <v>214</v>
      </c>
      <c r="F56" t="s">
        <v>187</v>
      </c>
    </row>
    <row r="57" spans="1:6" x14ac:dyDescent="0.25">
      <c r="A57">
        <v>0.3</v>
      </c>
      <c r="C57" s="3" t="s">
        <v>191</v>
      </c>
      <c r="D57" s="4" t="s">
        <v>202</v>
      </c>
      <c r="E57" s="4" t="s">
        <v>215</v>
      </c>
      <c r="F57" t="s">
        <v>115</v>
      </c>
    </row>
    <row r="58" spans="1:6" x14ac:dyDescent="0.25">
      <c r="A58">
        <v>0.4</v>
      </c>
      <c r="C58" s="3" t="s">
        <v>192</v>
      </c>
      <c r="D58" s="4" t="s">
        <v>203</v>
      </c>
      <c r="E58" s="4" t="s">
        <v>216</v>
      </c>
      <c r="F58" t="s">
        <v>198</v>
      </c>
    </row>
    <row r="59" spans="1:6" x14ac:dyDescent="0.25">
      <c r="A59">
        <v>0.5</v>
      </c>
      <c r="C59" s="3" t="s">
        <v>193</v>
      </c>
      <c r="D59" s="4" t="s">
        <v>204</v>
      </c>
      <c r="E59" s="4" t="s">
        <v>217</v>
      </c>
      <c r="F59" t="s">
        <v>210</v>
      </c>
    </row>
    <row r="60" spans="1:6" x14ac:dyDescent="0.25">
      <c r="A60">
        <v>0.6</v>
      </c>
      <c r="C60" s="3" t="s">
        <v>194</v>
      </c>
      <c r="D60" s="4" t="s">
        <v>205</v>
      </c>
      <c r="E60" s="4" t="s">
        <v>218</v>
      </c>
      <c r="F60" t="s">
        <v>211</v>
      </c>
    </row>
    <row r="61" spans="1:6" x14ac:dyDescent="0.25">
      <c r="A61">
        <v>0.7</v>
      </c>
      <c r="C61" s="3" t="s">
        <v>195</v>
      </c>
      <c r="D61" s="4" t="s">
        <v>206</v>
      </c>
      <c r="E61" s="4" t="s">
        <v>219</v>
      </c>
    </row>
    <row r="62" spans="1:6" x14ac:dyDescent="0.25">
      <c r="A62">
        <v>0.8</v>
      </c>
      <c r="C62" s="3" t="s">
        <v>196</v>
      </c>
      <c r="D62" s="4" t="s">
        <v>207</v>
      </c>
      <c r="E62" s="4" t="s">
        <v>220</v>
      </c>
    </row>
    <row r="63" spans="1:6" x14ac:dyDescent="0.25">
      <c r="A63">
        <v>0.9</v>
      </c>
      <c r="C63" s="3" t="s">
        <v>197</v>
      </c>
      <c r="D63" s="4" t="s">
        <v>208</v>
      </c>
      <c r="E63" s="4" t="s">
        <v>221</v>
      </c>
    </row>
    <row r="64" spans="1:6" x14ac:dyDescent="0.25">
      <c r="A64">
        <v>1</v>
      </c>
      <c r="C64" s="3" t="s">
        <v>159</v>
      </c>
      <c r="D64" s="4" t="s">
        <v>209</v>
      </c>
      <c r="E64" s="4" t="s">
        <v>222</v>
      </c>
    </row>
    <row r="66" spans="1:6" x14ac:dyDescent="0.25">
      <c r="A66" s="2" t="s">
        <v>32</v>
      </c>
      <c r="B66" s="2"/>
      <c r="C66" s="5"/>
      <c r="D66" s="4" t="s">
        <v>34</v>
      </c>
    </row>
    <row r="67" spans="1:6" x14ac:dyDescent="0.25">
      <c r="A67" s="2">
        <v>0</v>
      </c>
      <c r="B67" s="2"/>
      <c r="C67" s="2"/>
      <c r="D67">
        <f>POWER(2, 2*32+(1+3*32)*2)/EXP(2*1000*A67^2)</f>
        <v>4.6316835694926478E+77</v>
      </c>
      <c r="F67" t="s">
        <v>48</v>
      </c>
    </row>
    <row r="68" spans="1:6" x14ac:dyDescent="0.25">
      <c r="A68" s="2">
        <v>0.1</v>
      </c>
      <c r="B68" s="2"/>
      <c r="C68" s="2"/>
      <c r="D68">
        <f t="shared" ref="D68:D78" si="0">POWER(2, 2*32+(1+3*32)*2)/EXP(2*1000*A68^2)</f>
        <v>9.5466113672488865E+68</v>
      </c>
      <c r="F68" t="s">
        <v>224</v>
      </c>
    </row>
    <row r="69" spans="1:6" x14ac:dyDescent="0.25">
      <c r="A69" s="2">
        <v>0.2</v>
      </c>
      <c r="B69" s="2"/>
      <c r="C69" s="2"/>
      <c r="D69">
        <f t="shared" si="0"/>
        <v>8.3595005184594924E+42</v>
      </c>
      <c r="F69" t="s">
        <v>223</v>
      </c>
    </row>
    <row r="70" spans="1:6" x14ac:dyDescent="0.25">
      <c r="A70" s="2">
        <v>0.3</v>
      </c>
      <c r="B70" s="2"/>
      <c r="C70" s="2"/>
      <c r="D70">
        <f t="shared" si="0"/>
        <v>0.31097977050255327</v>
      </c>
      <c r="F70" t="s">
        <v>64</v>
      </c>
    </row>
    <row r="71" spans="1:6" x14ac:dyDescent="0.25">
      <c r="A71" s="1">
        <v>0.30099999999999999</v>
      </c>
      <c r="B71" s="1"/>
      <c r="C71" s="1"/>
      <c r="D71" s="1">
        <f t="shared" si="0"/>
        <v>9.3478163489151653E-2</v>
      </c>
    </row>
    <row r="72" spans="1:6" x14ac:dyDescent="0.25">
      <c r="A72" s="2">
        <v>0.4</v>
      </c>
      <c r="B72" s="2"/>
      <c r="C72" s="2"/>
      <c r="D72">
        <f t="shared" si="0"/>
        <v>4.9147866764149157E-62</v>
      </c>
    </row>
    <row r="73" spans="1:6" x14ac:dyDescent="0.25">
      <c r="A73" s="2">
        <v>0.5</v>
      </c>
      <c r="B73" s="2"/>
      <c r="C73" s="2"/>
      <c r="D73">
        <f t="shared" si="0"/>
        <v>3.2998783482698575E-140</v>
      </c>
    </row>
    <row r="74" spans="1:6" x14ac:dyDescent="0.25">
      <c r="A74">
        <v>0.6</v>
      </c>
      <c r="D74" t="e">
        <f t="shared" si="0"/>
        <v>#NUM!</v>
      </c>
    </row>
    <row r="75" spans="1:6" x14ac:dyDescent="0.25">
      <c r="A75">
        <v>0.7</v>
      </c>
      <c r="D75" t="e">
        <f t="shared" si="0"/>
        <v>#NUM!</v>
      </c>
    </row>
    <row r="76" spans="1:6" x14ac:dyDescent="0.25">
      <c r="A76">
        <v>0.8</v>
      </c>
      <c r="D76" t="e">
        <f t="shared" si="0"/>
        <v>#NUM!</v>
      </c>
    </row>
    <row r="77" spans="1:6" x14ac:dyDescent="0.25">
      <c r="A77">
        <v>0.9</v>
      </c>
      <c r="D77" t="e">
        <f t="shared" si="0"/>
        <v>#NUM!</v>
      </c>
    </row>
    <row r="78" spans="1:6" x14ac:dyDescent="0.25">
      <c r="A78">
        <v>1</v>
      </c>
      <c r="D78" t="e">
        <f t="shared" si="0"/>
        <v>#NUM!</v>
      </c>
    </row>
    <row r="80" spans="1:6" x14ac:dyDescent="0.25">
      <c r="A80" s="2" t="s">
        <v>32</v>
      </c>
      <c r="B80" s="2"/>
      <c r="C80" s="5"/>
      <c r="D80" s="4"/>
      <c r="E80" t="s">
        <v>35</v>
      </c>
    </row>
    <row r="81" spans="1:6" x14ac:dyDescent="0.25">
      <c r="A81" s="2">
        <v>0</v>
      </c>
      <c r="B81" s="2"/>
      <c r="C81" s="2"/>
      <c r="E81">
        <f>POWER(2, 32+(1+3*32)*2)/EXP(2000*A81^2)</f>
        <v>1.0783978666860256E+68</v>
      </c>
      <c r="F81" t="s">
        <v>49</v>
      </c>
    </row>
    <row r="82" spans="1:6" x14ac:dyDescent="0.25">
      <c r="A82" s="2">
        <v>0.1</v>
      </c>
      <c r="B82" s="2"/>
      <c r="C82" s="2"/>
      <c r="E82">
        <f t="shared" ref="E82:E92" si="1">POWER(2, 32+(1+3*32)*2)/EXP(2000*A82^2)</f>
        <v>2.2227436693499066E+59</v>
      </c>
      <c r="F82" t="s">
        <v>225</v>
      </c>
    </row>
    <row r="83" spans="1:6" x14ac:dyDescent="0.25">
      <c r="A83" s="2">
        <v>0.2</v>
      </c>
      <c r="B83" s="2"/>
      <c r="C83" s="2"/>
      <c r="E83">
        <f t="shared" si="1"/>
        <v>1.9463478863377805E+33</v>
      </c>
      <c r="F83" t="s">
        <v>223</v>
      </c>
    </row>
    <row r="84" spans="1:6" x14ac:dyDescent="0.25">
      <c r="A84" s="1">
        <v>0.28199999999999997</v>
      </c>
      <c r="B84" s="1"/>
      <c r="C84" s="1"/>
      <c r="D84" s="1"/>
      <c r="E84" s="1">
        <f t="shared" si="1"/>
        <v>9.101443183444155E-2</v>
      </c>
      <c r="F84" s="2" t="s">
        <v>64</v>
      </c>
    </row>
    <row r="85" spans="1:6" s="2" customFormat="1" x14ac:dyDescent="0.25">
      <c r="A85" s="2">
        <v>0.3</v>
      </c>
      <c r="E85" s="2">
        <f t="shared" si="1"/>
        <v>7.2405620129442137E-11</v>
      </c>
    </row>
    <row r="86" spans="1:6" x14ac:dyDescent="0.25">
      <c r="A86" s="2">
        <v>0.4</v>
      </c>
      <c r="B86" s="2"/>
      <c r="C86" s="2"/>
      <c r="E86">
        <f t="shared" si="1"/>
        <v>1.1443129452911475E-71</v>
      </c>
    </row>
    <row r="87" spans="1:6" x14ac:dyDescent="0.25">
      <c r="A87" s="2">
        <v>0.5</v>
      </c>
      <c r="B87" s="2"/>
      <c r="C87" s="2"/>
      <c r="E87">
        <f t="shared" si="1"/>
        <v>7.683127998071391E-150</v>
      </c>
    </row>
    <row r="88" spans="1:6" x14ac:dyDescent="0.25">
      <c r="A88">
        <v>0.6</v>
      </c>
      <c r="E88" t="e">
        <f t="shared" si="1"/>
        <v>#NUM!</v>
      </c>
    </row>
    <row r="89" spans="1:6" x14ac:dyDescent="0.25">
      <c r="A89">
        <v>0.7</v>
      </c>
      <c r="E89" t="e">
        <f t="shared" si="1"/>
        <v>#NUM!</v>
      </c>
    </row>
    <row r="90" spans="1:6" x14ac:dyDescent="0.25">
      <c r="A90">
        <v>0.8</v>
      </c>
      <c r="E90" t="e">
        <f t="shared" si="1"/>
        <v>#NUM!</v>
      </c>
    </row>
    <row r="91" spans="1:6" x14ac:dyDescent="0.25">
      <c r="A91">
        <v>0.9</v>
      </c>
      <c r="E91" t="e">
        <f t="shared" si="1"/>
        <v>#NUM!</v>
      </c>
    </row>
    <row r="92" spans="1:6" x14ac:dyDescent="0.25">
      <c r="A92">
        <v>1</v>
      </c>
      <c r="E92" t="e">
        <f t="shared" si="1"/>
        <v>#NUM!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18F-DF94-4DDA-BA48-1B1D5687EE31}">
  <dimension ref="A1:D25"/>
  <sheetViews>
    <sheetView workbookViewId="0">
      <selection activeCell="E10" sqref="E10"/>
    </sheetView>
  </sheetViews>
  <sheetFormatPr defaultRowHeight="15" x14ac:dyDescent="0.25"/>
  <cols>
    <col min="2" max="2" width="8.5703125" bestFit="1" customWidth="1"/>
  </cols>
  <sheetData>
    <row r="1" spans="1:4" x14ac:dyDescent="0.25">
      <c r="B1" t="s">
        <v>47</v>
      </c>
      <c r="C1" t="s">
        <v>48</v>
      </c>
      <c r="D1" t="s">
        <v>49</v>
      </c>
    </row>
    <row r="2" spans="1:4" x14ac:dyDescent="0.25">
      <c r="A2">
        <v>1</v>
      </c>
      <c r="B2">
        <f>(196.85+200.581+197.57+198.813+205.903)/5</f>
        <v>199.9434</v>
      </c>
      <c r="C2">
        <f>(0.462+0.322+0.323+0.322+0.32)/5</f>
        <v>0.3498</v>
      </c>
      <c r="D2">
        <f>(0.409+0.267+0.265+0.267+0.265)/5</f>
        <v>0.29459999999999997</v>
      </c>
    </row>
    <row r="3" spans="1:4" x14ac:dyDescent="0.25">
      <c r="A3">
        <v>2</v>
      </c>
      <c r="B3">
        <f>(201.912+200.987+201.092+199.391+206.741)/5</f>
        <v>202.02459999999999</v>
      </c>
      <c r="C3">
        <f>(0.448+0.317+0.319+0.316+0.318)/5</f>
        <v>0.34360000000000002</v>
      </c>
      <c r="D3">
        <f>(0.406+0.267+0.264+0.267+0.265)/5</f>
        <v>0.29380000000000006</v>
      </c>
    </row>
    <row r="4" spans="1:4" x14ac:dyDescent="0.25">
      <c r="A4">
        <v>3</v>
      </c>
      <c r="B4">
        <f>(202.428+200.622+199.961+199.999+207.716)/5</f>
        <v>202.14519999999999</v>
      </c>
      <c r="C4">
        <f>(0.452+0.316+0.321+0.318+0.318)/5</f>
        <v>0.34500000000000003</v>
      </c>
      <c r="D4">
        <f>(0.406+0.266+0.263+0.267+0.264)/5</f>
        <v>0.29320000000000002</v>
      </c>
    </row>
    <row r="5" spans="1:4" x14ac:dyDescent="0.25">
      <c r="A5">
        <v>4</v>
      </c>
      <c r="B5">
        <f>(199.584+199.628+199.387+199.64+206.264)/5</f>
        <v>200.9006</v>
      </c>
      <c r="C5">
        <f>(0.453+0.319+0.319+0.318+0.319)/5</f>
        <v>0.34560000000000002</v>
      </c>
      <c r="D5">
        <f>(0.405+0.268+0.265+0.268+0.264)/5</f>
        <v>0.29399999999999998</v>
      </c>
    </row>
    <row r="6" spans="1:4" x14ac:dyDescent="0.25">
      <c r="A6">
        <v>5</v>
      </c>
      <c r="B6">
        <f>(202.048+199.581+198.762+202.233+207.436)/5</f>
        <v>202.012</v>
      </c>
      <c r="C6">
        <f>(0.456+0.318+0.32+0.32+0.32)/5</f>
        <v>0.34680000000000005</v>
      </c>
      <c r="D6">
        <f>(0.408+0.266+0.265+0.268+0.266)/5</f>
        <v>0.29459999999999997</v>
      </c>
    </row>
    <row r="7" spans="1:4" x14ac:dyDescent="0.25">
      <c r="A7">
        <v>6</v>
      </c>
      <c r="B7">
        <f>(201.118+202.436+199.796+199.275+206.305)/5</f>
        <v>201.78599999999997</v>
      </c>
      <c r="C7">
        <f>(0.464+0.322+0.323+0.321+0.322)/5</f>
        <v>0.35039999999999999</v>
      </c>
      <c r="D7">
        <f>(0.41+0.267+0.266+0.266+0.263)/5</f>
        <v>0.2944</v>
      </c>
    </row>
    <row r="8" spans="1:4" x14ac:dyDescent="0.25">
      <c r="A8">
        <v>7</v>
      </c>
      <c r="B8">
        <f>(199.591+199.239+197.91+197.968+205.271)/5</f>
        <v>199.99579999999997</v>
      </c>
      <c r="C8">
        <f>(0.454+0.322+0.321+0.323+0.322)/5</f>
        <v>0.34839999999999999</v>
      </c>
      <c r="D8">
        <f>(0.404+0.268+0.263+0.266+0.266)/5</f>
        <v>0.29339999999999999</v>
      </c>
    </row>
    <row r="9" spans="1:4" x14ac:dyDescent="0.25">
      <c r="A9">
        <v>8</v>
      </c>
      <c r="B9">
        <f>(200.324+199.908+198.839+200.583+207.621)/5</f>
        <v>201.45499999999998</v>
      </c>
      <c r="C9">
        <f>(0.466+0.325+0.324+0.326+0.325)/5</f>
        <v>0.35320000000000001</v>
      </c>
      <c r="D9">
        <f>(0.406+0.268+0.266+0.269+0.266)/5</f>
        <v>0.29500000000000004</v>
      </c>
    </row>
    <row r="10" spans="1:4" x14ac:dyDescent="0.25">
      <c r="A10">
        <v>9</v>
      </c>
      <c r="B10">
        <f>(201.124+201.844+199.87+197.443+206.527)/5</f>
        <v>201.36160000000001</v>
      </c>
      <c r="C10">
        <f>(0.46+0.321+0.321+0.32+0.319)/5</f>
        <v>0.34820000000000001</v>
      </c>
      <c r="D10">
        <f>(0.407+0.266+0.264+0.267+0.264)/5</f>
        <v>0.29360000000000003</v>
      </c>
    </row>
    <row r="11" spans="1:4" x14ac:dyDescent="0.25">
      <c r="A11">
        <v>10</v>
      </c>
      <c r="B11">
        <f>(202.562+200.011+200.402+201.503+208.253)/5</f>
        <v>202.54619999999994</v>
      </c>
      <c r="C11">
        <f>(0.459+0.324+0.321+0.323+0.324)/5</f>
        <v>0.35020000000000001</v>
      </c>
      <c r="D11">
        <f>(0.405+0.269+0.263+0.267+0.265)/5</f>
        <v>0.29380000000000006</v>
      </c>
    </row>
    <row r="12" spans="1:4" x14ac:dyDescent="0.25">
      <c r="A12">
        <v>11</v>
      </c>
      <c r="B12">
        <f>(199.746+198.875+198.366+198.066+205.204)/5</f>
        <v>200.0514</v>
      </c>
      <c r="C12">
        <f>(0.459+0.321+0.323+0.324+0.324)/5</f>
        <v>0.35020000000000001</v>
      </c>
      <c r="D12">
        <f>(0.405+0.268+0.265+0.269+0.264)/5</f>
        <v>0.29420000000000002</v>
      </c>
    </row>
    <row r="13" spans="1:4" x14ac:dyDescent="0.25">
      <c r="A13">
        <v>12</v>
      </c>
      <c r="B13">
        <f>(200.343+198.52+199.919+197.629+206.636)/5</f>
        <v>200.60939999999999</v>
      </c>
      <c r="C13">
        <f>(0.455+0.321+0.322+0.321+0.324)/5</f>
        <v>0.34860000000000002</v>
      </c>
      <c r="D13">
        <f>(0.407+0.266+0.265+0.267+0.265)/5</f>
        <v>0.29400000000000004</v>
      </c>
    </row>
    <row r="14" spans="1:4" x14ac:dyDescent="0.25">
      <c r="A14">
        <v>13</v>
      </c>
      <c r="B14">
        <f>(200.139+201.385+197.294+197.214+206.362)/5</f>
        <v>200.47879999999998</v>
      </c>
      <c r="C14">
        <f>(0.458+0.323+0.322+0.322+0.321)/5</f>
        <v>0.34920000000000001</v>
      </c>
      <c r="D14">
        <f>(0.41+0.268+0.264+0.268+0.264)/5</f>
        <v>0.29480000000000001</v>
      </c>
    </row>
    <row r="15" spans="1:4" x14ac:dyDescent="0.25">
      <c r="A15">
        <v>14</v>
      </c>
      <c r="B15">
        <f>(202.604+201.954+202.032+201.117+210.567)/5</f>
        <v>203.65479999999999</v>
      </c>
      <c r="C15">
        <f>(0.451+0.316+0.321+0.318+0.316)/5</f>
        <v>0.34440000000000004</v>
      </c>
      <c r="D15">
        <f>(0.402+0.267+0.265+0.268+0.265)/5</f>
        <v>0.29339999999999999</v>
      </c>
    </row>
    <row r="16" spans="1:4" x14ac:dyDescent="0.25">
      <c r="A16">
        <v>15</v>
      </c>
      <c r="B16">
        <f>(204.526+202.242+198.686+198.7+210.175)/5</f>
        <v>202.86579999999998</v>
      </c>
      <c r="C16">
        <f>(0.456+0.317+0.321+0.316+0.321)/5</f>
        <v>0.34620000000000001</v>
      </c>
      <c r="D16">
        <f>(0.406+0.266+0.267+0.267+0.264)/5</f>
        <v>0.29399999999999998</v>
      </c>
    </row>
    <row r="17" spans="1:4" x14ac:dyDescent="0.25">
      <c r="A17">
        <v>16</v>
      </c>
      <c r="B17">
        <f>(201.14+199.529+198.682+200.472+209.314)/5</f>
        <v>201.82739999999998</v>
      </c>
      <c r="C17">
        <f>(0.46+0.324+0.363+0.322+0.321)/5</f>
        <v>0.35799999999999998</v>
      </c>
      <c r="D17">
        <f>(0.409+0.267+0.265+0.268+0.266)/5</f>
        <v>0.29500000000000004</v>
      </c>
    </row>
    <row r="18" spans="1:4" x14ac:dyDescent="0.25">
      <c r="A18">
        <v>17</v>
      </c>
      <c r="B18">
        <f>(200.815+196.99+200.107+197.42+207.804)/5</f>
        <v>200.62719999999999</v>
      </c>
      <c r="C18">
        <f>(0.458+0.32+0.323+0.321+0.324)/5</f>
        <v>0.34920000000000001</v>
      </c>
      <c r="D18">
        <f>(0.407+0.266+0.264+0.268+0.266)/5</f>
        <v>0.29420000000000002</v>
      </c>
    </row>
    <row r="19" spans="1:4" x14ac:dyDescent="0.25">
      <c r="A19">
        <v>18</v>
      </c>
      <c r="B19">
        <f>(201.124+201.456+200.643+200.159+208.663)/5</f>
        <v>202.40899999999999</v>
      </c>
      <c r="C19">
        <f>(0.459+0.323+0.32+0.322+0.322)/5</f>
        <v>0.34920000000000007</v>
      </c>
      <c r="D19">
        <f>(0.405+0.268+0.265+0.267+0.264)/5</f>
        <v>0.29380000000000001</v>
      </c>
    </row>
    <row r="20" spans="1:4" x14ac:dyDescent="0.25">
      <c r="A20">
        <v>19</v>
      </c>
      <c r="B20">
        <f>(200.642+199.833+199.627+199.624+206.29)/5</f>
        <v>201.20320000000001</v>
      </c>
      <c r="C20">
        <f>(0.458+0.319+0.32+0.32+0.321)/5</f>
        <v>0.34760000000000002</v>
      </c>
      <c r="D20">
        <f>(0.409+0.265+0.264+0.267+0.264)/5</f>
        <v>0.29380000000000001</v>
      </c>
    </row>
    <row r="21" spans="1:4" x14ac:dyDescent="0.25">
      <c r="A21">
        <v>20</v>
      </c>
      <c r="B21">
        <f>(202.236+200.64+198.093+200.082+206.975)/5</f>
        <v>201.6052</v>
      </c>
      <c r="C21">
        <f>(0.459+0.322+0.322+0.323+0.323)/5</f>
        <v>0.3498</v>
      </c>
      <c r="D21">
        <f>(0.406+0.27+0.265+0.268+0.266)/5</f>
        <v>0.29500000000000004</v>
      </c>
    </row>
    <row r="22" spans="1:4" x14ac:dyDescent="0.25">
      <c r="A22" t="s">
        <v>43</v>
      </c>
      <c r="B22">
        <f>(0.094+0.085+0.085+0.085+0.087)/5</f>
        <v>8.7200000000000014E-2</v>
      </c>
      <c r="C22">
        <f>(0.013+0.003+0.003+0.003+0.003)/5</f>
        <v>4.9999999999999992E-3</v>
      </c>
      <c r="D22">
        <f>(0.013+0.002+0.002+0.002+0.002)/5</f>
        <v>4.2000000000000006E-3</v>
      </c>
    </row>
    <row r="23" spans="1:4" x14ac:dyDescent="0.25">
      <c r="A23" t="s">
        <v>44</v>
      </c>
      <c r="B23">
        <f>(0.232+0.218+0.22+0.218+0.216)/5</f>
        <v>0.22080000000000002</v>
      </c>
      <c r="C23">
        <f>(0.017+0.006+0.005+0.005+0.005)/5</f>
        <v>7.6E-3</v>
      </c>
      <c r="D23">
        <f>(0.017+0.005+0.004+0.004+0.004)/5</f>
        <v>6.8000000000000005E-3</v>
      </c>
    </row>
    <row r="24" spans="1:4" x14ac:dyDescent="0.25">
      <c r="A24" t="s">
        <v>45</v>
      </c>
      <c r="B24">
        <f>(1044.636+1046.609+1047.802+1046.586+1043.563)/5</f>
        <v>1045.8391999999999</v>
      </c>
      <c r="C24">
        <f>(83.226+78.271+78.045+77.998+77.599)/5</f>
        <v>79.027799999999999</v>
      </c>
      <c r="D24">
        <f>(68.773+65.812+65.477+65.397+65.385)/5</f>
        <v>66.168800000000005</v>
      </c>
    </row>
    <row r="25" spans="1:4" x14ac:dyDescent="0.25">
      <c r="A25" t="s">
        <v>46</v>
      </c>
      <c r="B25">
        <f>(2120.556+2123.456+2126.547+2127.52+2109.276)/5</f>
        <v>2121.4710000000005</v>
      </c>
      <c r="C25">
        <f>(146.986+136.707+136.165+136.848+136.622)/5</f>
        <v>138.66559999999998</v>
      </c>
      <c r="D25">
        <f>(127.937+120.138+120.142+120.378+119.713)/5</f>
        <v>121.66159999999999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9939-293C-4DC9-8D3A-5A6F24858279}">
  <dimension ref="A1:AA47"/>
  <sheetViews>
    <sheetView tabSelected="1" topLeftCell="A46" workbookViewId="0">
      <selection activeCell="F64" sqref="F64"/>
    </sheetView>
  </sheetViews>
  <sheetFormatPr defaultRowHeight="15" x14ac:dyDescent="0.25"/>
  <cols>
    <col min="10" max="10" width="4" customWidth="1"/>
    <col min="19" max="19" width="4.28515625" customWidth="1"/>
  </cols>
  <sheetData>
    <row r="1" spans="1:27" s="1" customFormat="1" x14ac:dyDescent="0.2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</row>
    <row r="2" spans="1:27" x14ac:dyDescent="0.25">
      <c r="A2">
        <v>1</v>
      </c>
      <c r="B2">
        <v>196.85</v>
      </c>
      <c r="C2">
        <f>200.581</f>
        <v>200.58099999999999</v>
      </c>
      <c r="D2">
        <f>197.57</f>
        <v>197.57</v>
      </c>
      <c r="E2">
        <f>198.813</f>
        <v>198.81299999999999</v>
      </c>
      <c r="F2">
        <f>205.903</f>
        <v>205.90299999999999</v>
      </c>
      <c r="G2">
        <f>AVERAGE(B2:F2)</f>
        <v>199.9434</v>
      </c>
      <c r="H2">
        <f>_xlfn.STDEV.S(B2:F2)</f>
        <v>3.6195069139317853</v>
      </c>
      <c r="I2" s="7">
        <f>_xlfn.CONFIDENCE.NORM(0.05, H2, 5)</f>
        <v>3.1725793958339898</v>
      </c>
      <c r="K2">
        <f>0.462</f>
        <v>0.46200000000000002</v>
      </c>
      <c r="L2">
        <f>0.322</f>
        <v>0.32200000000000001</v>
      </c>
      <c r="M2">
        <f>0.323</f>
        <v>0.32300000000000001</v>
      </c>
      <c r="N2">
        <f>0.322</f>
        <v>0.32200000000000001</v>
      </c>
      <c r="O2">
        <f>0.32</f>
        <v>0.32</v>
      </c>
      <c r="P2">
        <f>AVERAGE(K2:O2)</f>
        <v>0.3498</v>
      </c>
      <c r="Q2">
        <f>_xlfn.STDEV.S(K2:O2)</f>
        <v>6.2731172474297242E-2</v>
      </c>
      <c r="R2" s="7">
        <f>_xlfn.CONFIDENCE.NORM(0.05, Q2, 5)</f>
        <v>5.4985286670518725E-2</v>
      </c>
      <c r="T2" s="6">
        <f>0.409</f>
        <v>0.40899999999999997</v>
      </c>
      <c r="U2" s="6">
        <f>0.267</f>
        <v>0.26700000000000002</v>
      </c>
      <c r="V2" s="6">
        <f>0.265</f>
        <v>0.26500000000000001</v>
      </c>
      <c r="W2" s="6">
        <v>0.26700000000000002</v>
      </c>
      <c r="X2" s="6">
        <f>0.265</f>
        <v>0.26500000000000001</v>
      </c>
      <c r="Y2">
        <f>AVERAGE(T2:X2)</f>
        <v>0.29459999999999997</v>
      </c>
      <c r="Z2">
        <f>_xlfn.STDEV.S(T2:X2)</f>
        <v>6.3959362098132536E-2</v>
      </c>
      <c r="AA2" s="7">
        <f>_xlfn.CONFIDENCE.NORM(0.05,Z2,5)</f>
        <v>5.6061822559912634E-2</v>
      </c>
    </row>
    <row r="3" spans="1:27" x14ac:dyDescent="0.25">
      <c r="A3">
        <v>2</v>
      </c>
      <c r="B3">
        <v>201.91200000000001</v>
      </c>
      <c r="C3">
        <f>200.987</f>
        <v>200.98699999999999</v>
      </c>
      <c r="D3">
        <f>201.092</f>
        <v>201.09200000000001</v>
      </c>
      <c r="E3">
        <f>199.391</f>
        <v>199.39099999999999</v>
      </c>
      <c r="F3">
        <f>206.741</f>
        <v>206.74100000000001</v>
      </c>
      <c r="G3">
        <f t="shared" ref="G3:G25" si="0">AVERAGE(B3:F3)</f>
        <v>202.02459999999999</v>
      </c>
      <c r="H3">
        <f t="shared" ref="H3:H25" si="1">_xlfn.STDEV.S(B3:F3)</f>
        <v>2.7901305166604735</v>
      </c>
      <c r="I3" s="7">
        <f t="shared" ref="I3:I25" si="2">_xlfn.CONFIDENCE.NORM(0.05, H3, 5)</f>
        <v>2.4456122890034879</v>
      </c>
      <c r="K3">
        <f>0.448</f>
        <v>0.44800000000000001</v>
      </c>
      <c r="L3">
        <f>0.317</f>
        <v>0.317</v>
      </c>
      <c r="M3">
        <f>0.319</f>
        <v>0.31900000000000001</v>
      </c>
      <c r="N3">
        <f>0.316</f>
        <v>0.316</v>
      </c>
      <c r="O3">
        <f>0.318</f>
        <v>0.318</v>
      </c>
      <c r="P3">
        <f t="shared" ref="P3:P25" si="3">AVERAGE(K3:O3)</f>
        <v>0.34360000000000002</v>
      </c>
      <c r="Q3">
        <f t="shared" ref="Q3:Q25" si="4">_xlfn.STDEV.S(K3:O3)</f>
        <v>5.837208236820042E-2</v>
      </c>
      <c r="R3" s="7">
        <f t="shared" ref="R3:R25" si="5">_xlfn.CONFIDENCE.NORM(0.05, Q3, 5)</f>
        <v>5.1164445936120496E-2</v>
      </c>
      <c r="T3" s="6">
        <f>0.406</f>
        <v>0.40600000000000003</v>
      </c>
      <c r="U3" s="6">
        <f>0.267</f>
        <v>0.26700000000000002</v>
      </c>
      <c r="V3" s="6">
        <f>0.264</f>
        <v>0.26400000000000001</v>
      </c>
      <c r="W3" s="6">
        <f>0.267</f>
        <v>0.26700000000000002</v>
      </c>
      <c r="X3" s="6">
        <f>0.265</f>
        <v>0.26500000000000001</v>
      </c>
      <c r="Y3">
        <f t="shared" ref="Y3:Y25" si="6">AVERAGE(T3:X3)</f>
        <v>0.29380000000000006</v>
      </c>
      <c r="Z3">
        <f t="shared" ref="Z3:Z25" si="7">_xlfn.STDEV.S(T3:X3)</f>
        <v>6.2735157607198E-2</v>
      </c>
      <c r="AA3" s="7">
        <f t="shared" ref="AA3:AA25" si="8">_xlfn.CONFIDENCE.NORM(0.05,Z3,5)</f>
        <v>5.4988779729333435E-2</v>
      </c>
    </row>
    <row r="4" spans="1:27" x14ac:dyDescent="0.25">
      <c r="A4">
        <v>3</v>
      </c>
      <c r="B4">
        <v>202.428</v>
      </c>
      <c r="C4">
        <f>200.622</f>
        <v>200.62200000000001</v>
      </c>
      <c r="D4">
        <f>200.622</f>
        <v>200.62200000000001</v>
      </c>
      <c r="E4">
        <f>199.999</f>
        <v>199.999</v>
      </c>
      <c r="F4">
        <f>207.716</f>
        <v>207.71600000000001</v>
      </c>
      <c r="G4">
        <f t="shared" si="0"/>
        <v>202.2774</v>
      </c>
      <c r="H4">
        <f t="shared" si="1"/>
        <v>3.1730448783463503</v>
      </c>
      <c r="I4" s="7">
        <f t="shared" si="2"/>
        <v>2.7812453581316521</v>
      </c>
      <c r="K4">
        <f>0.452</f>
        <v>0.45200000000000001</v>
      </c>
      <c r="L4">
        <f>0.316</f>
        <v>0.316</v>
      </c>
      <c r="M4">
        <f>0.321</f>
        <v>0.32100000000000001</v>
      </c>
      <c r="N4">
        <f>0.318</f>
        <v>0.318</v>
      </c>
      <c r="O4">
        <f>0.318</f>
        <v>0.318</v>
      </c>
      <c r="P4">
        <f t="shared" si="3"/>
        <v>0.34500000000000003</v>
      </c>
      <c r="Q4">
        <f t="shared" si="4"/>
        <v>5.9841457201508498E-2</v>
      </c>
      <c r="R4" s="7">
        <f t="shared" si="5"/>
        <v>5.2452386098070986E-2</v>
      </c>
      <c r="T4" s="6">
        <f>0.406</f>
        <v>0.40600000000000003</v>
      </c>
      <c r="U4" s="6">
        <f>0.266</f>
        <v>0.26600000000000001</v>
      </c>
      <c r="V4" s="6">
        <f>0.263</f>
        <v>0.26300000000000001</v>
      </c>
      <c r="W4" s="6">
        <f>0.267</f>
        <v>0.26700000000000002</v>
      </c>
      <c r="X4" s="6">
        <f>0.264</f>
        <v>0.26400000000000001</v>
      </c>
      <c r="Y4">
        <f t="shared" si="6"/>
        <v>0.29320000000000002</v>
      </c>
      <c r="Z4">
        <f t="shared" si="7"/>
        <v>6.3076937148216189E-2</v>
      </c>
      <c r="AA4" s="7">
        <f t="shared" si="8"/>
        <v>5.5288357200943793E-2</v>
      </c>
    </row>
    <row r="5" spans="1:27" x14ac:dyDescent="0.25">
      <c r="A5">
        <v>4</v>
      </c>
      <c r="B5">
        <v>199.584</v>
      </c>
      <c r="C5">
        <f>199.628</f>
        <v>199.62799999999999</v>
      </c>
      <c r="D5">
        <f>199.387</f>
        <v>199.387</v>
      </c>
      <c r="E5">
        <f>199.64</f>
        <v>199.64</v>
      </c>
      <c r="F5">
        <f>206.264</f>
        <v>206.26400000000001</v>
      </c>
      <c r="G5">
        <f t="shared" si="0"/>
        <v>200.9006</v>
      </c>
      <c r="H5">
        <f t="shared" si="1"/>
        <v>2.9999626331006262</v>
      </c>
      <c r="I5" s="7">
        <f t="shared" si="2"/>
        <v>2.6295348688001714</v>
      </c>
      <c r="K5">
        <f>0.453</f>
        <v>0.45300000000000001</v>
      </c>
      <c r="L5">
        <f>0.319</f>
        <v>0.31900000000000001</v>
      </c>
      <c r="M5">
        <f>0.319</f>
        <v>0.31900000000000001</v>
      </c>
      <c r="N5">
        <f>0.318</f>
        <v>0.318</v>
      </c>
      <c r="O5">
        <f>0.319</f>
        <v>0.31900000000000001</v>
      </c>
      <c r="P5">
        <f t="shared" si="3"/>
        <v>0.34560000000000002</v>
      </c>
      <c r="Q5">
        <f t="shared" si="4"/>
        <v>6.0039986675548315E-2</v>
      </c>
      <c r="R5" s="7">
        <f t="shared" si="5"/>
        <v>5.26264016570357E-2</v>
      </c>
      <c r="T5" s="6">
        <f>0.405</f>
        <v>0.40500000000000003</v>
      </c>
      <c r="U5" s="6">
        <f>0.268</f>
        <v>0.26800000000000002</v>
      </c>
      <c r="V5" s="6">
        <f>0.265</f>
        <v>0.26500000000000001</v>
      </c>
      <c r="W5" s="6">
        <f>0.268</f>
        <v>0.26800000000000002</v>
      </c>
      <c r="X5" s="6">
        <f>0.264</f>
        <v>0.26400000000000001</v>
      </c>
      <c r="Y5">
        <f t="shared" si="6"/>
        <v>0.29399999999999998</v>
      </c>
      <c r="Z5">
        <f t="shared" si="7"/>
        <v>6.2076565626651925E-2</v>
      </c>
      <c r="AA5" s="7">
        <f t="shared" si="8"/>
        <v>5.4411509013341824E-2</v>
      </c>
    </row>
    <row r="6" spans="1:27" x14ac:dyDescent="0.25">
      <c r="A6">
        <v>5</v>
      </c>
      <c r="B6">
        <v>202.048</v>
      </c>
      <c r="C6">
        <f>199.581</f>
        <v>199.58099999999999</v>
      </c>
      <c r="D6">
        <f>198.762</f>
        <v>198.762</v>
      </c>
      <c r="E6">
        <f>202.233</f>
        <v>202.233</v>
      </c>
      <c r="F6">
        <f>207.436</f>
        <v>207.43600000000001</v>
      </c>
      <c r="G6">
        <f t="shared" si="0"/>
        <v>202.012</v>
      </c>
      <c r="H6">
        <f t="shared" si="1"/>
        <v>3.3890328266335858</v>
      </c>
      <c r="I6" s="7">
        <f t="shared" si="2"/>
        <v>2.9705636632983032</v>
      </c>
      <c r="K6">
        <f>0.456</f>
        <v>0.45600000000000002</v>
      </c>
      <c r="L6">
        <f>0.318</f>
        <v>0.318</v>
      </c>
      <c r="M6">
        <f>0.32</f>
        <v>0.32</v>
      </c>
      <c r="N6">
        <f>0.32</f>
        <v>0.32</v>
      </c>
      <c r="O6">
        <f>0.32</f>
        <v>0.32</v>
      </c>
      <c r="P6">
        <f t="shared" si="3"/>
        <v>0.34680000000000005</v>
      </c>
      <c r="Q6">
        <f t="shared" si="4"/>
        <v>6.1050798520576176E-2</v>
      </c>
      <c r="R6" s="7">
        <f t="shared" si="5"/>
        <v>5.3512401023484424E-2</v>
      </c>
      <c r="T6" s="6">
        <f>0.408</f>
        <v>0.40799999999999997</v>
      </c>
      <c r="U6" s="6">
        <f>0.266</f>
        <v>0.26600000000000001</v>
      </c>
      <c r="V6" s="6">
        <f>0.265</f>
        <v>0.26500000000000001</v>
      </c>
      <c r="W6" s="6">
        <f>0.268</f>
        <v>0.26800000000000002</v>
      </c>
      <c r="X6" s="6">
        <f>0.266</f>
        <v>0.26600000000000001</v>
      </c>
      <c r="Y6">
        <f t="shared" si="6"/>
        <v>0.29459999999999997</v>
      </c>
      <c r="Z6">
        <f t="shared" si="7"/>
        <v>6.3401892716227468E-2</v>
      </c>
      <c r="AA6" s="7">
        <f t="shared" si="8"/>
        <v>5.5573188080991549E-2</v>
      </c>
    </row>
    <row r="7" spans="1:27" x14ac:dyDescent="0.25">
      <c r="A7">
        <v>6</v>
      </c>
      <c r="B7">
        <v>201.11799999999999</v>
      </c>
      <c r="C7">
        <f>202.436</f>
        <v>202.43600000000001</v>
      </c>
      <c r="D7">
        <f>199.796</f>
        <v>199.79599999999999</v>
      </c>
      <c r="E7">
        <f>199.275</f>
        <v>199.27500000000001</v>
      </c>
      <c r="F7">
        <f>206.305</f>
        <v>206.30500000000001</v>
      </c>
      <c r="G7">
        <f t="shared" si="0"/>
        <v>201.78599999999997</v>
      </c>
      <c r="H7">
        <f t="shared" si="1"/>
        <v>2.8087054847384798</v>
      </c>
      <c r="I7" s="7">
        <f t="shared" si="2"/>
        <v>2.4618936672143508</v>
      </c>
      <c r="K7">
        <f>0.464</f>
        <v>0.46400000000000002</v>
      </c>
      <c r="L7">
        <f>0.322</f>
        <v>0.32200000000000001</v>
      </c>
      <c r="M7">
        <f>0.323</f>
        <v>0.32300000000000001</v>
      </c>
      <c r="N7">
        <f>0.321</f>
        <v>0.32100000000000001</v>
      </c>
      <c r="O7">
        <f>0.322</f>
        <v>0.32200000000000001</v>
      </c>
      <c r="P7">
        <f t="shared" si="3"/>
        <v>0.35039999999999999</v>
      </c>
      <c r="Q7">
        <f t="shared" si="4"/>
        <v>6.3508267178376432E-2</v>
      </c>
      <c r="R7" s="7">
        <f t="shared" si="5"/>
        <v>5.5666427694806821E-2</v>
      </c>
      <c r="T7" s="6">
        <f>0.41</f>
        <v>0.41</v>
      </c>
      <c r="U7" s="6">
        <f>0.267</f>
        <v>0.26700000000000002</v>
      </c>
      <c r="V7" s="6">
        <f>0.266</f>
        <v>0.26600000000000001</v>
      </c>
      <c r="W7" s="6">
        <f>0.266</f>
        <v>0.26600000000000001</v>
      </c>
      <c r="X7" s="6">
        <v>0.26300000000000001</v>
      </c>
      <c r="Y7">
        <f t="shared" si="6"/>
        <v>0.2944</v>
      </c>
      <c r="Z7">
        <f t="shared" si="7"/>
        <v>6.4639771039198643E-2</v>
      </c>
      <c r="AA7" s="7">
        <f t="shared" si="8"/>
        <v>5.6658216333566921E-2</v>
      </c>
    </row>
    <row r="8" spans="1:27" x14ac:dyDescent="0.25">
      <c r="A8">
        <v>7</v>
      </c>
      <c r="B8">
        <v>199.59100000000001</v>
      </c>
      <c r="C8">
        <f>199.239</f>
        <v>199.239</v>
      </c>
      <c r="D8">
        <f>197.91</f>
        <v>197.91</v>
      </c>
      <c r="E8">
        <f>197.968</f>
        <v>197.96799999999999</v>
      </c>
      <c r="F8">
        <f>205.271</f>
        <v>205.27099999999999</v>
      </c>
      <c r="G8">
        <f t="shared" si="0"/>
        <v>199.99579999999997</v>
      </c>
      <c r="H8">
        <f t="shared" si="1"/>
        <v>3.042485776466338</v>
      </c>
      <c r="I8" s="7">
        <f t="shared" si="2"/>
        <v>2.6668073624563875</v>
      </c>
      <c r="K8">
        <f>0.454</f>
        <v>0.45400000000000001</v>
      </c>
      <c r="L8">
        <f>0.322</f>
        <v>0.32200000000000001</v>
      </c>
      <c r="M8">
        <f>0.321</f>
        <v>0.32100000000000001</v>
      </c>
      <c r="N8">
        <f>0.323</f>
        <v>0.32300000000000001</v>
      </c>
      <c r="O8">
        <f>0.322</f>
        <v>0.32200000000000001</v>
      </c>
      <c r="P8">
        <f t="shared" si="3"/>
        <v>0.34839999999999999</v>
      </c>
      <c r="Q8">
        <f t="shared" si="4"/>
        <v>5.9036429431326524E-2</v>
      </c>
      <c r="R8" s="7">
        <f t="shared" si="5"/>
        <v>5.1746761111716381E-2</v>
      </c>
      <c r="T8" s="6">
        <f>0.404</f>
        <v>0.40400000000000003</v>
      </c>
      <c r="U8" s="6">
        <f>0.268</f>
        <v>0.26800000000000002</v>
      </c>
      <c r="V8" s="6">
        <f>0.263</f>
        <v>0.26300000000000001</v>
      </c>
      <c r="W8" s="6">
        <f>0.266</f>
        <v>0.26600000000000001</v>
      </c>
      <c r="X8" s="6">
        <f>0.266</f>
        <v>0.26600000000000001</v>
      </c>
      <c r="Y8">
        <f t="shared" si="6"/>
        <v>0.29339999999999999</v>
      </c>
      <c r="Z8">
        <f t="shared" si="7"/>
        <v>6.1853051662792126E-2</v>
      </c>
      <c r="AA8" s="7">
        <f t="shared" si="8"/>
        <v>5.4215593985885088E-2</v>
      </c>
    </row>
    <row r="9" spans="1:27" x14ac:dyDescent="0.25">
      <c r="A9">
        <v>8</v>
      </c>
      <c r="B9">
        <v>200.32400000000001</v>
      </c>
      <c r="C9">
        <f>199.908</f>
        <v>199.90799999999999</v>
      </c>
      <c r="D9">
        <f>198.839</f>
        <v>198.839</v>
      </c>
      <c r="E9">
        <f>200.583</f>
        <v>200.583</v>
      </c>
      <c r="F9">
        <f>207.621</f>
        <v>207.62100000000001</v>
      </c>
      <c r="G9">
        <f t="shared" si="0"/>
        <v>201.45499999999998</v>
      </c>
      <c r="H9">
        <f t="shared" si="1"/>
        <v>3.5105471795718737</v>
      </c>
      <c r="I9" s="7">
        <f t="shared" si="2"/>
        <v>3.0770737326522908</v>
      </c>
      <c r="K9">
        <f>0.466</f>
        <v>0.46600000000000003</v>
      </c>
      <c r="L9">
        <f>0.325</f>
        <v>0.32500000000000001</v>
      </c>
      <c r="M9">
        <f>0.324</f>
        <v>0.32400000000000001</v>
      </c>
      <c r="N9">
        <f>0.326</f>
        <v>0.32600000000000001</v>
      </c>
      <c r="O9">
        <f>0.325</f>
        <v>0.32500000000000001</v>
      </c>
      <c r="P9">
        <f t="shared" si="3"/>
        <v>0.35320000000000001</v>
      </c>
      <c r="Q9">
        <f t="shared" si="4"/>
        <v>6.3061081500399491E-2</v>
      </c>
      <c r="R9" s="7">
        <f t="shared" si="5"/>
        <v>5.5274459368237015E-2</v>
      </c>
      <c r="T9" s="6">
        <f>0.406</f>
        <v>0.40600000000000003</v>
      </c>
      <c r="U9" s="6">
        <f>0.268</f>
        <v>0.26800000000000002</v>
      </c>
      <c r="V9" s="6">
        <f>0.266</f>
        <v>0.26600000000000001</v>
      </c>
      <c r="W9" s="6">
        <v>0.26900000000000002</v>
      </c>
      <c r="X9" s="6">
        <f>0.266</f>
        <v>0.26600000000000001</v>
      </c>
      <c r="Y9">
        <f t="shared" si="6"/>
        <v>0.29500000000000004</v>
      </c>
      <c r="Z9">
        <f t="shared" si="7"/>
        <v>6.2064482596731668E-2</v>
      </c>
      <c r="AA9" s="7">
        <f t="shared" si="8"/>
        <v>5.4400917965258255E-2</v>
      </c>
    </row>
    <row r="10" spans="1:27" x14ac:dyDescent="0.25">
      <c r="A10">
        <v>9</v>
      </c>
      <c r="B10">
        <v>201.124</v>
      </c>
      <c r="C10">
        <f>201.844</f>
        <v>201.84399999999999</v>
      </c>
      <c r="D10">
        <f>199.87</f>
        <v>199.87</v>
      </c>
      <c r="E10">
        <f>197.443</f>
        <v>197.44300000000001</v>
      </c>
      <c r="F10">
        <f>206.527</f>
        <v>206.52699999999999</v>
      </c>
      <c r="G10">
        <f t="shared" si="0"/>
        <v>201.36160000000001</v>
      </c>
      <c r="H10">
        <f t="shared" si="1"/>
        <v>3.3373199277264294</v>
      </c>
      <c r="I10" s="7">
        <f t="shared" si="2"/>
        <v>2.9252361417676225</v>
      </c>
      <c r="K10">
        <f>0.46</f>
        <v>0.46</v>
      </c>
      <c r="L10">
        <f>0.321</f>
        <v>0.32100000000000001</v>
      </c>
      <c r="M10">
        <f>0.321</f>
        <v>0.32100000000000001</v>
      </c>
      <c r="N10">
        <f>0.32</f>
        <v>0.32</v>
      </c>
      <c r="O10">
        <f>0.319</f>
        <v>0.31900000000000001</v>
      </c>
      <c r="P10">
        <f t="shared" si="3"/>
        <v>0.34820000000000001</v>
      </c>
      <c r="Q10">
        <f t="shared" si="4"/>
        <v>6.2503599896325854E-2</v>
      </c>
      <c r="R10" s="7">
        <f t="shared" si="5"/>
        <v>5.4785814176309677E-2</v>
      </c>
      <c r="T10" s="6">
        <f>0.407</f>
        <v>0.40699999999999997</v>
      </c>
      <c r="U10" s="6">
        <f>0.266</f>
        <v>0.26600000000000001</v>
      </c>
      <c r="V10" s="6">
        <f>0.264</f>
        <v>0.26400000000000001</v>
      </c>
      <c r="W10" s="6">
        <v>0.26700000000000002</v>
      </c>
      <c r="X10" s="6">
        <f>0.264</f>
        <v>0.26400000000000001</v>
      </c>
      <c r="Y10">
        <f t="shared" si="6"/>
        <v>0.29360000000000003</v>
      </c>
      <c r="Z10">
        <f t="shared" si="7"/>
        <v>6.3405835693569848E-2</v>
      </c>
      <c r="AA10" s="7">
        <f t="shared" si="8"/>
        <v>5.5576644189509125E-2</v>
      </c>
    </row>
    <row r="11" spans="1:27" x14ac:dyDescent="0.25">
      <c r="A11">
        <v>10</v>
      </c>
      <c r="B11">
        <v>202.56200000000001</v>
      </c>
      <c r="C11">
        <f>200.011</f>
        <v>200.011</v>
      </c>
      <c r="D11">
        <f>200.402</f>
        <v>200.40199999999999</v>
      </c>
      <c r="E11">
        <f>201.503</f>
        <v>201.50299999999999</v>
      </c>
      <c r="F11">
        <f>208.253</f>
        <v>208.25299999999999</v>
      </c>
      <c r="G11">
        <f t="shared" si="0"/>
        <v>202.54619999999994</v>
      </c>
      <c r="H11">
        <f t="shared" si="1"/>
        <v>3.3421892076900717</v>
      </c>
      <c r="I11" s="7">
        <f t="shared" si="2"/>
        <v>2.9295041754121329</v>
      </c>
      <c r="K11">
        <f>0.459</f>
        <v>0.45900000000000002</v>
      </c>
      <c r="L11">
        <f>0.324</f>
        <v>0.32400000000000001</v>
      </c>
      <c r="M11">
        <f>0.321</f>
        <v>0.32100000000000001</v>
      </c>
      <c r="N11">
        <f>0.323</f>
        <v>0.32300000000000001</v>
      </c>
      <c r="O11">
        <f>0.324</f>
        <v>0.32400000000000001</v>
      </c>
      <c r="P11">
        <f t="shared" si="3"/>
        <v>0.35020000000000001</v>
      </c>
      <c r="Q11">
        <f t="shared" si="4"/>
        <v>6.0833378995416437E-2</v>
      </c>
      <c r="R11" s="7">
        <f t="shared" si="5"/>
        <v>5.3321827908920448E-2</v>
      </c>
      <c r="T11" s="6">
        <f>0.405</f>
        <v>0.40500000000000003</v>
      </c>
      <c r="U11" s="6">
        <f>0.269</f>
        <v>0.26900000000000002</v>
      </c>
      <c r="V11" s="6">
        <f>0.263</f>
        <v>0.26300000000000001</v>
      </c>
      <c r="W11" s="6">
        <f>0.267</f>
        <v>0.26700000000000002</v>
      </c>
      <c r="X11" s="6">
        <v>0.26500000000000001</v>
      </c>
      <c r="Y11">
        <f t="shared" si="6"/>
        <v>0.29380000000000006</v>
      </c>
      <c r="Z11">
        <f t="shared" si="7"/>
        <v>6.2202893823358217E-2</v>
      </c>
      <c r="AA11" s="7">
        <f t="shared" si="8"/>
        <v>5.4522238525265283E-2</v>
      </c>
    </row>
    <row r="12" spans="1:27" x14ac:dyDescent="0.25">
      <c r="A12">
        <v>11</v>
      </c>
      <c r="B12">
        <v>199.74600000000001</v>
      </c>
      <c r="C12">
        <f>198.875</f>
        <v>198.875</v>
      </c>
      <c r="D12">
        <f>198.366</f>
        <v>198.36600000000001</v>
      </c>
      <c r="E12">
        <f>198.066</f>
        <v>198.066</v>
      </c>
      <c r="F12">
        <f>205.204</f>
        <v>205.20400000000001</v>
      </c>
      <c r="G12">
        <f t="shared" si="0"/>
        <v>200.0514</v>
      </c>
      <c r="H12">
        <f t="shared" si="1"/>
        <v>2.9499516606208998</v>
      </c>
      <c r="I12" s="7">
        <f t="shared" si="2"/>
        <v>2.585699124145536</v>
      </c>
      <c r="K12">
        <f>0.459</f>
        <v>0.45900000000000002</v>
      </c>
      <c r="L12">
        <f>0.321</f>
        <v>0.32100000000000001</v>
      </c>
      <c r="M12">
        <f>0.323</f>
        <v>0.32300000000000001</v>
      </c>
      <c r="N12">
        <f>0.324</f>
        <v>0.32400000000000001</v>
      </c>
      <c r="O12">
        <f>0.324</f>
        <v>0.32400000000000001</v>
      </c>
      <c r="P12">
        <f t="shared" si="3"/>
        <v>0.35020000000000001</v>
      </c>
      <c r="Q12">
        <f t="shared" si="4"/>
        <v>6.0833378995416437E-2</v>
      </c>
      <c r="R12" s="7">
        <f t="shared" si="5"/>
        <v>5.3321827908920448E-2</v>
      </c>
      <c r="T12" s="6">
        <f>0.405</f>
        <v>0.40500000000000003</v>
      </c>
      <c r="U12" s="6">
        <f>0.268</f>
        <v>0.26800000000000002</v>
      </c>
      <c r="V12" s="6">
        <f>0.265</f>
        <v>0.26500000000000001</v>
      </c>
      <c r="W12" s="6">
        <f>0.269</f>
        <v>0.26900000000000002</v>
      </c>
      <c r="X12" s="6">
        <f>0.264</f>
        <v>0.26400000000000001</v>
      </c>
      <c r="Y12">
        <f t="shared" si="6"/>
        <v>0.29420000000000002</v>
      </c>
      <c r="Z12">
        <f t="shared" si="7"/>
        <v>6.1973381382654943E-2</v>
      </c>
      <c r="AA12" s="7">
        <f t="shared" si="8"/>
        <v>5.4321065697646116E-2</v>
      </c>
    </row>
    <row r="13" spans="1:27" x14ac:dyDescent="0.25">
      <c r="A13">
        <v>12</v>
      </c>
      <c r="B13">
        <v>200.34299999999999</v>
      </c>
      <c r="C13">
        <f>198.52</f>
        <v>198.52</v>
      </c>
      <c r="D13">
        <f>199.919</f>
        <v>199.91900000000001</v>
      </c>
      <c r="E13">
        <f>197.629</f>
        <v>197.62899999999999</v>
      </c>
      <c r="F13">
        <f>206.636</f>
        <v>206.636</v>
      </c>
      <c r="G13">
        <f t="shared" si="0"/>
        <v>200.60939999999999</v>
      </c>
      <c r="H13">
        <f t="shared" si="1"/>
        <v>3.5396294015051897</v>
      </c>
      <c r="I13" s="7">
        <f t="shared" si="2"/>
        <v>3.1025649557068928</v>
      </c>
      <c r="K13">
        <f>0.455</f>
        <v>0.45500000000000002</v>
      </c>
      <c r="L13">
        <f>0.321</f>
        <v>0.32100000000000001</v>
      </c>
      <c r="M13">
        <f>0.322</f>
        <v>0.32200000000000001</v>
      </c>
      <c r="N13">
        <f>0.321</f>
        <v>0.32100000000000001</v>
      </c>
      <c r="O13">
        <f>0.324</f>
        <v>0.32400000000000001</v>
      </c>
      <c r="P13">
        <f t="shared" si="3"/>
        <v>0.34860000000000002</v>
      </c>
      <c r="Q13">
        <f t="shared" si="4"/>
        <v>5.9492016271092775E-2</v>
      </c>
      <c r="R13" s="7">
        <f t="shared" si="5"/>
        <v>5.2146093245961547E-2</v>
      </c>
      <c r="T13" s="6">
        <f>0.407</f>
        <v>0.40699999999999997</v>
      </c>
      <c r="U13" s="6">
        <f>0.266</f>
        <v>0.26600000000000001</v>
      </c>
      <c r="V13" s="6">
        <f>0.265</f>
        <v>0.26500000000000001</v>
      </c>
      <c r="W13" s="6">
        <v>0.26700000000000002</v>
      </c>
      <c r="X13" s="6">
        <v>0.26500000000000001</v>
      </c>
      <c r="Y13">
        <f t="shared" si="6"/>
        <v>0.29400000000000004</v>
      </c>
      <c r="Z13">
        <f t="shared" si="7"/>
        <v>6.3174361888348088E-2</v>
      </c>
      <c r="AA13" s="7">
        <f t="shared" si="8"/>
        <v>5.5373752181679219E-2</v>
      </c>
    </row>
    <row r="14" spans="1:27" x14ac:dyDescent="0.25">
      <c r="A14">
        <v>13</v>
      </c>
      <c r="B14">
        <v>200.13900000000001</v>
      </c>
      <c r="C14">
        <f>201.385</f>
        <v>201.38499999999999</v>
      </c>
      <c r="D14">
        <f>197.294</f>
        <v>197.29400000000001</v>
      </c>
      <c r="E14">
        <f>197.214</f>
        <v>197.214</v>
      </c>
      <c r="F14">
        <f>206.362</f>
        <v>206.36199999999999</v>
      </c>
      <c r="G14">
        <f t="shared" si="0"/>
        <v>200.47879999999998</v>
      </c>
      <c r="H14">
        <f t="shared" si="1"/>
        <v>3.7533509961100044</v>
      </c>
      <c r="I14" s="7">
        <f t="shared" si="2"/>
        <v>3.2898967507859833</v>
      </c>
      <c r="K14">
        <f>0.458</f>
        <v>0.45800000000000002</v>
      </c>
      <c r="L14">
        <f>0.323</f>
        <v>0.32300000000000001</v>
      </c>
      <c r="M14">
        <f>0.322</f>
        <v>0.32200000000000001</v>
      </c>
      <c r="N14">
        <f>0.322</f>
        <v>0.32200000000000001</v>
      </c>
      <c r="O14">
        <f>0.321</f>
        <v>0.32100000000000001</v>
      </c>
      <c r="P14">
        <f t="shared" si="3"/>
        <v>0.34920000000000001</v>
      </c>
      <c r="Q14">
        <f t="shared" si="4"/>
        <v>6.0825159268184638E-2</v>
      </c>
      <c r="R14" s="7">
        <f t="shared" si="5"/>
        <v>5.3314623132724386E-2</v>
      </c>
      <c r="T14" s="6">
        <f>0.41</f>
        <v>0.41</v>
      </c>
      <c r="U14" s="6">
        <f>0.268</f>
        <v>0.26800000000000002</v>
      </c>
      <c r="V14" s="6">
        <f>0.264</f>
        <v>0.26400000000000001</v>
      </c>
      <c r="W14" s="6">
        <v>0.26800000000000002</v>
      </c>
      <c r="X14" s="6">
        <f>0.264</f>
        <v>0.26400000000000001</v>
      </c>
      <c r="Y14">
        <f t="shared" si="6"/>
        <v>0.29480000000000001</v>
      </c>
      <c r="Z14">
        <f t="shared" si="7"/>
        <v>6.4429806766744174E-2</v>
      </c>
      <c r="AA14" s="7">
        <f t="shared" si="8"/>
        <v>5.6474177916044817E-2</v>
      </c>
    </row>
    <row r="15" spans="1:27" x14ac:dyDescent="0.25">
      <c r="A15">
        <v>14</v>
      </c>
      <c r="B15">
        <v>202.60400000000001</v>
      </c>
      <c r="C15">
        <f>201.954</f>
        <v>201.95400000000001</v>
      </c>
      <c r="D15">
        <f>202.032</f>
        <v>202.03200000000001</v>
      </c>
      <c r="E15">
        <f>201.117</f>
        <v>201.11699999999999</v>
      </c>
      <c r="F15">
        <f>210.567</f>
        <v>210.56700000000001</v>
      </c>
      <c r="G15">
        <f t="shared" si="0"/>
        <v>203.65479999999999</v>
      </c>
      <c r="H15">
        <f t="shared" si="1"/>
        <v>3.9002986680509499</v>
      </c>
      <c r="I15" s="7">
        <f t="shared" si="2"/>
        <v>3.4186996975274746</v>
      </c>
      <c r="K15">
        <f>0.451</f>
        <v>0.45100000000000001</v>
      </c>
      <c r="L15">
        <f>0.316</f>
        <v>0.316</v>
      </c>
      <c r="M15">
        <f>0.321</f>
        <v>0.32100000000000001</v>
      </c>
      <c r="N15">
        <f>0.318</f>
        <v>0.318</v>
      </c>
      <c r="O15">
        <f>0.316</f>
        <v>0.316</v>
      </c>
      <c r="P15">
        <f t="shared" si="3"/>
        <v>0.34440000000000004</v>
      </c>
      <c r="Q15">
        <f t="shared" si="4"/>
        <v>5.9626336463009223E-2</v>
      </c>
      <c r="R15" s="7">
        <f t="shared" si="5"/>
        <v>5.2263827921830888E-2</v>
      </c>
      <c r="T15" s="6">
        <f>0.402</f>
        <v>0.40200000000000002</v>
      </c>
      <c r="U15" s="6">
        <f>0.267</f>
        <v>0.26700000000000002</v>
      </c>
      <c r="V15" s="6">
        <f>0.265</f>
        <v>0.26500000000000001</v>
      </c>
      <c r="W15" s="6">
        <v>0.26800000000000002</v>
      </c>
      <c r="X15" s="6">
        <v>0.26500000000000001</v>
      </c>
      <c r="Y15">
        <f t="shared" si="6"/>
        <v>0.29339999999999999</v>
      </c>
      <c r="Z15">
        <f t="shared" si="7"/>
        <v>6.072314221118659E-2</v>
      </c>
      <c r="AA15" s="7">
        <f t="shared" si="8"/>
        <v>5.3225202882742316E-2</v>
      </c>
    </row>
    <row r="16" spans="1:27" x14ac:dyDescent="0.25">
      <c r="A16">
        <v>15</v>
      </c>
      <c r="B16">
        <v>204.52600000000001</v>
      </c>
      <c r="C16">
        <f>202.242</f>
        <v>202.24199999999999</v>
      </c>
      <c r="D16">
        <f>198.686</f>
        <v>198.68600000000001</v>
      </c>
      <c r="E16">
        <f>198.7</f>
        <v>198.7</v>
      </c>
      <c r="F16">
        <f>210.175</f>
        <v>210.17500000000001</v>
      </c>
      <c r="G16">
        <f t="shared" si="0"/>
        <v>202.86579999999998</v>
      </c>
      <c r="H16">
        <f t="shared" si="1"/>
        <v>4.7800212551828745</v>
      </c>
      <c r="I16" s="7">
        <f t="shared" si="2"/>
        <v>4.1897963746029525</v>
      </c>
      <c r="K16">
        <f>0.456</f>
        <v>0.45600000000000002</v>
      </c>
      <c r="L16">
        <f>0.317</f>
        <v>0.317</v>
      </c>
      <c r="M16">
        <f>0.321</f>
        <v>0.32100000000000001</v>
      </c>
      <c r="N16">
        <f>0.316</f>
        <v>0.316</v>
      </c>
      <c r="O16">
        <f>0.321</f>
        <v>0.32100000000000001</v>
      </c>
      <c r="P16">
        <f t="shared" si="3"/>
        <v>0.34620000000000001</v>
      </c>
      <c r="Q16">
        <f t="shared" si="4"/>
        <v>6.1422308650847843E-2</v>
      </c>
      <c r="R16" s="7">
        <f t="shared" si="5"/>
        <v>5.3838038026720075E-2</v>
      </c>
      <c r="T16" s="6">
        <f>0.406</f>
        <v>0.40600000000000003</v>
      </c>
      <c r="U16" s="6">
        <f>0.266</f>
        <v>0.26600000000000001</v>
      </c>
      <c r="V16" s="6">
        <f>0.267</f>
        <v>0.26700000000000002</v>
      </c>
      <c r="W16" s="6">
        <f>0.267</f>
        <v>0.26700000000000002</v>
      </c>
      <c r="X16" s="6">
        <f>0.264</f>
        <v>0.26400000000000001</v>
      </c>
      <c r="Y16">
        <f t="shared" si="6"/>
        <v>0.29399999999999998</v>
      </c>
      <c r="Z16">
        <f t="shared" si="7"/>
        <v>6.262188115986303E-2</v>
      </c>
      <c r="AA16" s="7">
        <f t="shared" si="8"/>
        <v>5.48894903699279E-2</v>
      </c>
    </row>
    <row r="17" spans="1:27" x14ac:dyDescent="0.25">
      <c r="A17">
        <v>16</v>
      </c>
      <c r="B17">
        <v>201.14</v>
      </c>
      <c r="C17">
        <f>199.529</f>
        <v>199.529</v>
      </c>
      <c r="D17">
        <f>198.682</f>
        <v>198.68199999999999</v>
      </c>
      <c r="E17">
        <f>200.472</f>
        <v>200.47200000000001</v>
      </c>
      <c r="F17">
        <f>209.314</f>
        <v>209.31399999999999</v>
      </c>
      <c r="G17">
        <f t="shared" si="0"/>
        <v>201.82739999999998</v>
      </c>
      <c r="H17">
        <f t="shared" si="1"/>
        <v>4.2876272925710319</v>
      </c>
      <c r="I17" s="7">
        <f t="shared" si="2"/>
        <v>3.7582019675298497</v>
      </c>
      <c r="K17">
        <f>0.46</f>
        <v>0.46</v>
      </c>
      <c r="L17">
        <f>0.324</f>
        <v>0.32400000000000001</v>
      </c>
      <c r="M17">
        <f>0.363</f>
        <v>0.36299999999999999</v>
      </c>
      <c r="N17">
        <f>0.322</f>
        <v>0.32200000000000001</v>
      </c>
      <c r="O17">
        <f>0.321</f>
        <v>0.32100000000000001</v>
      </c>
      <c r="P17">
        <f t="shared" si="3"/>
        <v>0.35799999999999998</v>
      </c>
      <c r="Q17">
        <f t="shared" si="4"/>
        <v>5.9686681931566808E-2</v>
      </c>
      <c r="R17" s="7">
        <f t="shared" si="5"/>
        <v>5.2316722085243274E-2</v>
      </c>
      <c r="T17" s="6">
        <f>0.409</f>
        <v>0.40899999999999997</v>
      </c>
      <c r="U17" s="6">
        <f>0.267</f>
        <v>0.26700000000000002</v>
      </c>
      <c r="V17" s="6">
        <f>0.265</f>
        <v>0.26500000000000001</v>
      </c>
      <c r="W17" s="6">
        <f>0.268</f>
        <v>0.26800000000000002</v>
      </c>
      <c r="X17" s="6">
        <f>0.266</f>
        <v>0.26600000000000001</v>
      </c>
      <c r="Y17">
        <f t="shared" si="6"/>
        <v>0.29500000000000004</v>
      </c>
      <c r="Z17">
        <f t="shared" si="7"/>
        <v>6.3737743919909898E-2</v>
      </c>
      <c r="AA17" s="7">
        <f t="shared" si="8"/>
        <v>5.5867569231298972E-2</v>
      </c>
    </row>
    <row r="18" spans="1:27" x14ac:dyDescent="0.25">
      <c r="A18">
        <v>17</v>
      </c>
      <c r="B18">
        <v>200.815</v>
      </c>
      <c r="C18">
        <f>196.99</f>
        <v>196.99</v>
      </c>
      <c r="D18">
        <f>200.107</f>
        <v>200.107</v>
      </c>
      <c r="E18">
        <f>197.42</f>
        <v>197.42</v>
      </c>
      <c r="F18">
        <f>207.804</f>
        <v>207.804</v>
      </c>
      <c r="G18">
        <f t="shared" si="0"/>
        <v>200.62719999999999</v>
      </c>
      <c r="H18">
        <f t="shared" si="1"/>
        <v>4.3395763272467063</v>
      </c>
      <c r="I18" s="7">
        <f t="shared" si="2"/>
        <v>3.8037364673842728</v>
      </c>
      <c r="K18">
        <f>0.458</f>
        <v>0.45800000000000002</v>
      </c>
      <c r="L18">
        <f>0.32</f>
        <v>0.32</v>
      </c>
      <c r="M18">
        <f>0.323</f>
        <v>0.32300000000000001</v>
      </c>
      <c r="N18">
        <f>0.321</f>
        <v>0.32100000000000001</v>
      </c>
      <c r="O18">
        <f>0.324</f>
        <v>0.32400000000000001</v>
      </c>
      <c r="P18">
        <f t="shared" si="3"/>
        <v>0.34920000000000001</v>
      </c>
      <c r="Q18">
        <f t="shared" si="4"/>
        <v>6.084159761216007E-2</v>
      </c>
      <c r="R18" s="7">
        <f t="shared" si="5"/>
        <v>5.332903171174861E-2</v>
      </c>
      <c r="T18" s="6">
        <f>0.407</f>
        <v>0.40699999999999997</v>
      </c>
      <c r="U18" s="6">
        <f>0.266</f>
        <v>0.26600000000000001</v>
      </c>
      <c r="V18" s="6">
        <f>0.264</f>
        <v>0.26400000000000001</v>
      </c>
      <c r="W18" s="6">
        <f>0.268</f>
        <v>0.26800000000000002</v>
      </c>
      <c r="X18" s="6">
        <f>0.266</f>
        <v>0.26600000000000001</v>
      </c>
      <c r="Y18">
        <f t="shared" si="6"/>
        <v>0.29420000000000002</v>
      </c>
      <c r="Z18">
        <f t="shared" si="7"/>
        <v>6.307297360993841E-2</v>
      </c>
      <c r="AA18" s="7">
        <f t="shared" si="8"/>
        <v>5.5284883070302882E-2</v>
      </c>
    </row>
    <row r="19" spans="1:27" x14ac:dyDescent="0.25">
      <c r="A19">
        <v>18</v>
      </c>
      <c r="B19">
        <v>201.124</v>
      </c>
      <c r="C19">
        <f>201.456</f>
        <v>201.45599999999999</v>
      </c>
      <c r="D19">
        <f>200.643</f>
        <v>200.643</v>
      </c>
      <c r="E19">
        <f>200.159</f>
        <v>200.15899999999999</v>
      </c>
      <c r="F19">
        <f>208.663</f>
        <v>208.66300000000001</v>
      </c>
      <c r="G19">
        <f t="shared" si="0"/>
        <v>202.40899999999999</v>
      </c>
      <c r="H19">
        <f t="shared" si="1"/>
        <v>3.5303401394200038</v>
      </c>
      <c r="I19" s="7">
        <f t="shared" si="2"/>
        <v>3.0944227081039037</v>
      </c>
      <c r="K19">
        <f>0.459</f>
        <v>0.45900000000000002</v>
      </c>
      <c r="L19">
        <f>0.323</f>
        <v>0.32300000000000001</v>
      </c>
      <c r="M19">
        <f>0.32</f>
        <v>0.32</v>
      </c>
      <c r="N19">
        <f>0.322</f>
        <v>0.32200000000000001</v>
      </c>
      <c r="O19">
        <f>0.322</f>
        <v>0.32200000000000001</v>
      </c>
      <c r="P19">
        <f t="shared" si="3"/>
        <v>0.34920000000000007</v>
      </c>
      <c r="Q19">
        <f t="shared" si="4"/>
        <v>6.1389738556211382E-2</v>
      </c>
      <c r="R19" s="7">
        <f t="shared" si="5"/>
        <v>5.3809489604622507E-2</v>
      </c>
      <c r="T19" s="6">
        <f>0.405</f>
        <v>0.40500000000000003</v>
      </c>
      <c r="U19" s="6">
        <f>0.268</f>
        <v>0.26800000000000002</v>
      </c>
      <c r="V19" s="6">
        <f>0.265</f>
        <v>0.26500000000000001</v>
      </c>
      <c r="W19" s="6">
        <f>0.267</f>
        <v>0.26700000000000002</v>
      </c>
      <c r="X19" s="6">
        <f>0.264</f>
        <v>0.26400000000000001</v>
      </c>
      <c r="Y19">
        <f t="shared" si="6"/>
        <v>0.29380000000000001</v>
      </c>
      <c r="Z19">
        <f t="shared" si="7"/>
        <v>6.2182795048148283E-2</v>
      </c>
      <c r="AA19" s="7">
        <f t="shared" si="8"/>
        <v>5.4504621495755794E-2</v>
      </c>
    </row>
    <row r="20" spans="1:27" x14ac:dyDescent="0.25">
      <c r="A20">
        <v>19</v>
      </c>
      <c r="B20">
        <v>200.642</v>
      </c>
      <c r="C20">
        <f>199.833</f>
        <v>199.833</v>
      </c>
      <c r="D20">
        <f>199.627</f>
        <v>199.62700000000001</v>
      </c>
      <c r="E20">
        <f>199.624</f>
        <v>199.624</v>
      </c>
      <c r="F20">
        <f>206.29</f>
        <v>206.29</v>
      </c>
      <c r="G20">
        <f t="shared" si="0"/>
        <v>201.20320000000001</v>
      </c>
      <c r="H20">
        <f t="shared" si="1"/>
        <v>2.8742915127036053</v>
      </c>
      <c r="I20" s="7">
        <f t="shared" si="2"/>
        <v>2.5193812990726689</v>
      </c>
      <c r="K20">
        <f>0.458</f>
        <v>0.45800000000000002</v>
      </c>
      <c r="L20">
        <f>0.319</f>
        <v>0.31900000000000001</v>
      </c>
      <c r="M20">
        <f>0.32</f>
        <v>0.32</v>
      </c>
      <c r="N20">
        <f>0.32</f>
        <v>0.32</v>
      </c>
      <c r="O20">
        <f>0.321</f>
        <v>0.32100000000000001</v>
      </c>
      <c r="P20">
        <f t="shared" si="3"/>
        <v>0.34760000000000002</v>
      </c>
      <c r="Q20">
        <f t="shared" si="4"/>
        <v>6.1719526893844669E-2</v>
      </c>
      <c r="R20" s="7">
        <f t="shared" si="5"/>
        <v>5.4098556516177364E-2</v>
      </c>
      <c r="T20" s="6">
        <f>0.409</f>
        <v>0.40899999999999997</v>
      </c>
      <c r="U20" s="6">
        <f>0.265</f>
        <v>0.26500000000000001</v>
      </c>
      <c r="V20" s="6">
        <f>0.264</f>
        <v>0.26400000000000001</v>
      </c>
      <c r="W20" s="6">
        <v>0.26700000000000002</v>
      </c>
      <c r="X20" s="6">
        <f>0.264</f>
        <v>0.26400000000000001</v>
      </c>
      <c r="Y20">
        <f t="shared" si="6"/>
        <v>0.29380000000000001</v>
      </c>
      <c r="Z20">
        <f t="shared" si="7"/>
        <v>6.4410402886490248E-2</v>
      </c>
      <c r="AA20" s="7">
        <f t="shared" si="8"/>
        <v>5.6457169977627598E-2</v>
      </c>
    </row>
    <row r="21" spans="1:27" x14ac:dyDescent="0.25">
      <c r="A21">
        <v>20</v>
      </c>
      <c r="B21">
        <v>202.23599999999999</v>
      </c>
      <c r="C21">
        <f>200.64</f>
        <v>200.64</v>
      </c>
      <c r="D21">
        <f>198.093</f>
        <v>198.09299999999999</v>
      </c>
      <c r="E21">
        <f>200.082</f>
        <v>200.08199999999999</v>
      </c>
      <c r="F21">
        <f>206.975</f>
        <v>206.97499999999999</v>
      </c>
      <c r="G21">
        <f t="shared" si="0"/>
        <v>201.6052</v>
      </c>
      <c r="H21">
        <f t="shared" si="1"/>
        <v>3.347385502149403</v>
      </c>
      <c r="I21" s="7">
        <f t="shared" si="2"/>
        <v>2.9340588446332099</v>
      </c>
      <c r="K21">
        <f>0.459</f>
        <v>0.45900000000000002</v>
      </c>
      <c r="L21">
        <f>0.322</f>
        <v>0.32200000000000001</v>
      </c>
      <c r="M21">
        <f>0.322</f>
        <v>0.32200000000000001</v>
      </c>
      <c r="N21">
        <f>0.323</f>
        <v>0.32300000000000001</v>
      </c>
      <c r="O21">
        <f>0.323</f>
        <v>0.32300000000000001</v>
      </c>
      <c r="P21">
        <f t="shared" si="3"/>
        <v>0.3498</v>
      </c>
      <c r="Q21">
        <f t="shared" si="4"/>
        <v>6.1046703432700009E-2</v>
      </c>
      <c r="R21" s="7">
        <f t="shared" si="5"/>
        <v>5.3508811586655318E-2</v>
      </c>
      <c r="T21" s="6">
        <f>0.406</f>
        <v>0.40600000000000003</v>
      </c>
      <c r="U21" s="6">
        <f>0.27</f>
        <v>0.27</v>
      </c>
      <c r="V21" s="6">
        <f>0.265</f>
        <v>0.26500000000000001</v>
      </c>
      <c r="W21" s="6">
        <f>0.268</f>
        <v>0.26800000000000002</v>
      </c>
      <c r="X21" s="6">
        <f>0.266</f>
        <v>0.26600000000000001</v>
      </c>
      <c r="Y21">
        <f t="shared" si="6"/>
        <v>0.29500000000000004</v>
      </c>
      <c r="Z21">
        <f t="shared" si="7"/>
        <v>6.2080592780675105E-2</v>
      </c>
      <c r="AA21" s="7">
        <f t="shared" si="8"/>
        <v>5.4415038904617512E-2</v>
      </c>
    </row>
    <row r="22" spans="1:27" x14ac:dyDescent="0.25">
      <c r="A22" t="s">
        <v>43</v>
      </c>
      <c r="B22">
        <v>9.4E-2</v>
      </c>
      <c r="C22">
        <f>0.085</f>
        <v>8.5000000000000006E-2</v>
      </c>
      <c r="D22">
        <f>0.085</f>
        <v>8.5000000000000006E-2</v>
      </c>
      <c r="E22">
        <f>0.085</f>
        <v>8.5000000000000006E-2</v>
      </c>
      <c r="F22">
        <f>0.087</f>
        <v>8.6999999999999994E-2</v>
      </c>
      <c r="G22">
        <f t="shared" si="0"/>
        <v>8.7200000000000014E-2</v>
      </c>
      <c r="H22">
        <f t="shared" si="1"/>
        <v>3.8987177379235832E-3</v>
      </c>
      <c r="I22" s="7">
        <f t="shared" si="2"/>
        <v>3.4173139766357609E-3</v>
      </c>
      <c r="K22">
        <f>0.013</f>
        <v>1.2999999999999999E-2</v>
      </c>
      <c r="L22">
        <f>0.003</f>
        <v>3.0000000000000001E-3</v>
      </c>
      <c r="M22">
        <f>0.003</f>
        <v>3.0000000000000001E-3</v>
      </c>
      <c r="N22">
        <f>0.003</f>
        <v>3.0000000000000001E-3</v>
      </c>
      <c r="O22">
        <f>0.003</f>
        <v>3.0000000000000001E-3</v>
      </c>
      <c r="P22">
        <f t="shared" si="3"/>
        <v>4.9999999999999992E-3</v>
      </c>
      <c r="Q22">
        <f t="shared" si="4"/>
        <v>4.4721359549995798E-3</v>
      </c>
      <c r="R22" s="7">
        <f t="shared" si="5"/>
        <v>3.9199279690801071E-3</v>
      </c>
      <c r="T22" s="6">
        <f>0.013</f>
        <v>1.2999999999999999E-2</v>
      </c>
      <c r="U22" s="6">
        <f>0.002</f>
        <v>2E-3</v>
      </c>
      <c r="V22" s="6">
        <f>0.002</f>
        <v>2E-3</v>
      </c>
      <c r="W22" s="6">
        <f>0.002</f>
        <v>2E-3</v>
      </c>
      <c r="X22" s="6">
        <f>0.002</f>
        <v>2E-3</v>
      </c>
      <c r="Y22">
        <f t="shared" si="6"/>
        <v>4.2000000000000006E-3</v>
      </c>
      <c r="Z22">
        <f t="shared" si="7"/>
        <v>4.9193495504995348E-3</v>
      </c>
      <c r="AA22" s="7">
        <f t="shared" si="8"/>
        <v>4.3119207659881153E-3</v>
      </c>
    </row>
    <row r="23" spans="1:27" x14ac:dyDescent="0.25">
      <c r="A23" t="s">
        <v>44</v>
      </c>
      <c r="B23">
        <v>0.23200000000000001</v>
      </c>
      <c r="C23">
        <f>0.218</f>
        <v>0.218</v>
      </c>
      <c r="D23">
        <f>0.22</f>
        <v>0.22</v>
      </c>
      <c r="E23">
        <f>0.218</f>
        <v>0.218</v>
      </c>
      <c r="F23">
        <f>0.216</f>
        <v>0.216</v>
      </c>
      <c r="G23">
        <f t="shared" si="0"/>
        <v>0.22080000000000002</v>
      </c>
      <c r="H23">
        <f t="shared" si="1"/>
        <v>6.4187226143524916E-3</v>
      </c>
      <c r="I23" s="7">
        <f t="shared" si="2"/>
        <v>5.6261550531886018E-3</v>
      </c>
      <c r="K23">
        <f>0.017</f>
        <v>1.7000000000000001E-2</v>
      </c>
      <c r="L23">
        <f>0.006</f>
        <v>6.0000000000000001E-3</v>
      </c>
      <c r="M23">
        <f>0.005</f>
        <v>5.0000000000000001E-3</v>
      </c>
      <c r="N23">
        <f>0.005</f>
        <v>5.0000000000000001E-3</v>
      </c>
      <c r="O23">
        <f>0.005</f>
        <v>5.0000000000000001E-3</v>
      </c>
      <c r="P23">
        <f t="shared" si="3"/>
        <v>7.6E-3</v>
      </c>
      <c r="Q23">
        <f t="shared" si="4"/>
        <v>5.2725705305856291E-3</v>
      </c>
      <c r="R23" s="7">
        <f t="shared" si="5"/>
        <v>4.6215269168381288E-3</v>
      </c>
      <c r="T23" s="6">
        <f>0.017</f>
        <v>1.7000000000000001E-2</v>
      </c>
      <c r="U23" s="6">
        <f>0.005</f>
        <v>5.0000000000000001E-3</v>
      </c>
      <c r="V23" s="6">
        <f>0.004</f>
        <v>4.0000000000000001E-3</v>
      </c>
      <c r="W23" s="6">
        <f>0.004</f>
        <v>4.0000000000000001E-3</v>
      </c>
      <c r="X23" s="6">
        <f>0.004</f>
        <v>4.0000000000000001E-3</v>
      </c>
      <c r="Y23">
        <f t="shared" si="6"/>
        <v>6.8000000000000005E-3</v>
      </c>
      <c r="Z23">
        <f t="shared" si="7"/>
        <v>5.7183913821983196E-3</v>
      </c>
      <c r="AA23" s="7">
        <f t="shared" si="8"/>
        <v>5.0122989423357E-3</v>
      </c>
    </row>
    <row r="24" spans="1:27" x14ac:dyDescent="0.25">
      <c r="A24" t="s">
        <v>45</v>
      </c>
      <c r="B24">
        <v>1044.636</v>
      </c>
      <c r="C24">
        <f>1046.609</f>
        <v>1046.6089999999999</v>
      </c>
      <c r="D24">
        <f>1047.802</f>
        <v>1047.8019999999999</v>
      </c>
      <c r="E24">
        <f>1046.586</f>
        <v>1046.586</v>
      </c>
      <c r="F24">
        <f>1043.563</f>
        <v>1043.5630000000001</v>
      </c>
      <c r="G24">
        <f t="shared" si="0"/>
        <v>1045.8391999999999</v>
      </c>
      <c r="H24">
        <f t="shared" si="1"/>
        <v>1.7052611823412236</v>
      </c>
      <c r="I24" s="7">
        <f t="shared" si="2"/>
        <v>1.4946998638923541</v>
      </c>
      <c r="K24">
        <f>83.226</f>
        <v>83.225999999999999</v>
      </c>
      <c r="L24">
        <f>78.271</f>
        <v>78.271000000000001</v>
      </c>
      <c r="M24">
        <f>78.045</f>
        <v>78.045000000000002</v>
      </c>
      <c r="N24">
        <f>77.998</f>
        <v>77.998000000000005</v>
      </c>
      <c r="O24">
        <f>77.599</f>
        <v>77.599000000000004</v>
      </c>
      <c r="P24">
        <f t="shared" si="3"/>
        <v>79.027799999999999</v>
      </c>
      <c r="Q24">
        <f t="shared" si="4"/>
        <v>2.3593157270700313</v>
      </c>
      <c r="R24" s="7">
        <f t="shared" si="5"/>
        <v>2.0679934151137078</v>
      </c>
      <c r="T24" s="6">
        <f>68.773</f>
        <v>68.772999999999996</v>
      </c>
      <c r="U24" s="6">
        <f>65.812</f>
        <v>65.811999999999998</v>
      </c>
      <c r="V24" s="6">
        <f>65.477</f>
        <v>65.477000000000004</v>
      </c>
      <c r="W24" s="6">
        <f>65.397</f>
        <v>65.397000000000006</v>
      </c>
      <c r="X24" s="6">
        <f>65.385</f>
        <v>65.385000000000005</v>
      </c>
      <c r="Y24">
        <f t="shared" si="6"/>
        <v>66.168800000000005</v>
      </c>
      <c r="Z24">
        <f t="shared" si="7"/>
        <v>1.466097609301642</v>
      </c>
      <c r="AA24" s="7">
        <f t="shared" si="8"/>
        <v>1.2850676012383273</v>
      </c>
    </row>
    <row r="25" spans="1:27" x14ac:dyDescent="0.25">
      <c r="A25" t="s">
        <v>46</v>
      </c>
      <c r="B25">
        <v>2120.556</v>
      </c>
      <c r="C25">
        <f>2123.456</f>
        <v>2123.4560000000001</v>
      </c>
      <c r="D25">
        <f>2126.547</f>
        <v>2126.547</v>
      </c>
      <c r="E25">
        <f>2127.52</f>
        <v>2127.52</v>
      </c>
      <c r="F25">
        <f>2109.276</f>
        <v>2109.2759999999998</v>
      </c>
      <c r="G25">
        <f t="shared" si="0"/>
        <v>2121.4710000000005</v>
      </c>
      <c r="H25">
        <f t="shared" si="1"/>
        <v>7.3459453442018674</v>
      </c>
      <c r="I25" s="7">
        <f t="shared" si="2"/>
        <v>6.43888667603653</v>
      </c>
      <c r="K25">
        <f>146.986</f>
        <v>146.98599999999999</v>
      </c>
      <c r="L25">
        <f>136.707</f>
        <v>136.70699999999999</v>
      </c>
      <c r="M25">
        <f>136.165</f>
        <v>136.16499999999999</v>
      </c>
      <c r="N25">
        <f>136.848</f>
        <v>136.84800000000001</v>
      </c>
      <c r="O25">
        <f>136.622</f>
        <v>136.62200000000001</v>
      </c>
      <c r="P25">
        <f t="shared" si="3"/>
        <v>138.66559999999998</v>
      </c>
      <c r="Q25">
        <f t="shared" si="4"/>
        <v>4.6582760008397903</v>
      </c>
      <c r="R25" s="7">
        <f t="shared" si="5"/>
        <v>4.0830839149630096</v>
      </c>
      <c r="T25" s="6">
        <f>127.937</f>
        <v>127.937</v>
      </c>
      <c r="U25" s="6">
        <f>120.138</f>
        <v>120.13800000000001</v>
      </c>
      <c r="V25" s="6">
        <f>120.142</f>
        <v>120.142</v>
      </c>
      <c r="W25" s="6">
        <f>120.378</f>
        <v>120.378</v>
      </c>
      <c r="X25" s="6">
        <v>119.71299999999999</v>
      </c>
      <c r="Y25">
        <f t="shared" si="6"/>
        <v>121.66159999999999</v>
      </c>
      <c r="Z25">
        <f t="shared" si="7"/>
        <v>3.5162429239175155</v>
      </c>
      <c r="AA25" s="7">
        <f t="shared" si="8"/>
        <v>3.0820661809566072</v>
      </c>
    </row>
    <row r="27" spans="1:27" x14ac:dyDescent="0.25">
      <c r="A27" s="1"/>
      <c r="B27" s="1" t="s">
        <v>257</v>
      </c>
      <c r="C27" s="1" t="s">
        <v>258</v>
      </c>
      <c r="D27" s="1" t="s">
        <v>259</v>
      </c>
      <c r="E27" s="1" t="s">
        <v>260</v>
      </c>
      <c r="F27" s="1" t="s">
        <v>261</v>
      </c>
      <c r="G27" s="1" t="s">
        <v>262</v>
      </c>
      <c r="H27" s="1" t="s">
        <v>263</v>
      </c>
      <c r="I27" s="1" t="s">
        <v>264</v>
      </c>
      <c r="K27" s="1" t="s">
        <v>265</v>
      </c>
      <c r="L27" s="1" t="s">
        <v>266</v>
      </c>
      <c r="M27" s="1" t="s">
        <v>267</v>
      </c>
      <c r="N27" s="1" t="s">
        <v>268</v>
      </c>
      <c r="O27" s="1" t="s">
        <v>269</v>
      </c>
      <c r="P27" s="1" t="s">
        <v>270</v>
      </c>
      <c r="Q27" s="1" t="s">
        <v>271</v>
      </c>
      <c r="R27" s="1" t="s">
        <v>272</v>
      </c>
    </row>
    <row r="28" spans="1:27" x14ac:dyDescent="0.25">
      <c r="A28">
        <v>1</v>
      </c>
      <c r="B28">
        <v>0.81799999999999995</v>
      </c>
      <c r="C28">
        <v>0.82199999999999995</v>
      </c>
      <c r="D28">
        <v>0.82</v>
      </c>
      <c r="E28">
        <v>0.81899999999999995</v>
      </c>
      <c r="F28">
        <v>0.82099999999999995</v>
      </c>
      <c r="G28">
        <f>AVERAGE(B28:F28)</f>
        <v>0.82</v>
      </c>
      <c r="H28">
        <f>_xlfn.STDEV.S(B28:F28)</f>
        <v>1.5811388300841912E-3</v>
      </c>
      <c r="I28" s="7">
        <f>_xlfn.CONFIDENCE.NORM(0.05, H28, 5)</f>
        <v>1.3859038243496788E-3</v>
      </c>
      <c r="K28">
        <v>0.42499999999999999</v>
      </c>
      <c r="L28">
        <v>0.42299999999999999</v>
      </c>
      <c r="M28">
        <v>0.42299999999999999</v>
      </c>
      <c r="N28">
        <v>0.42899999999999999</v>
      </c>
      <c r="O28">
        <v>0.433</v>
      </c>
      <c r="P28">
        <f>AVERAGE(K28:O28)</f>
        <v>0.42659999999999998</v>
      </c>
      <c r="Q28">
        <f>_xlfn.STDEV.S(K28:O28)</f>
        <v>4.3358966777357639E-3</v>
      </c>
      <c r="R28" s="7">
        <f>_xlfn.CONFIDENCE.NORM(0.05, Q28, 5)</f>
        <v>3.8005111716465103E-3</v>
      </c>
    </row>
    <row r="29" spans="1:27" x14ac:dyDescent="0.25">
      <c r="A29">
        <v>2</v>
      </c>
      <c r="B29">
        <v>0.82</v>
      </c>
      <c r="C29">
        <v>0.82099999999999995</v>
      </c>
      <c r="D29">
        <v>0.82</v>
      </c>
      <c r="E29">
        <v>0.82099999999999995</v>
      </c>
      <c r="F29">
        <v>0.82599999999999996</v>
      </c>
      <c r="G29">
        <f t="shared" ref="G29:G47" si="9">AVERAGE(B29:F29)</f>
        <v>0.82159999999999989</v>
      </c>
      <c r="H29">
        <f t="shared" ref="H29:H47" si="10">_xlfn.STDEV.S(B29:F29)</f>
        <v>2.5099800796022287E-3</v>
      </c>
      <c r="I29" s="7">
        <f t="shared" ref="I29:I47" si="11">_xlfn.CONFIDENCE.NORM(0.05, H29, 5)</f>
        <v>2.2000541161695552E-3</v>
      </c>
      <c r="K29">
        <v>0.40300000000000002</v>
      </c>
      <c r="L29">
        <v>0.40200000000000002</v>
      </c>
      <c r="M29">
        <v>0.40300000000000002</v>
      </c>
      <c r="N29">
        <v>0.40100000000000002</v>
      </c>
      <c r="O29">
        <v>0.40300000000000002</v>
      </c>
      <c r="P29">
        <f t="shared" ref="P29:P47" si="12">AVERAGE(K29:O29)</f>
        <v>0.40240000000000009</v>
      </c>
      <c r="Q29">
        <f t="shared" ref="Q29:Q47" si="13">_xlfn.STDEV.S(K29:O29)</f>
        <v>8.9442719099991667E-4</v>
      </c>
      <c r="R29" s="7">
        <f t="shared" ref="R29:R47" si="14">_xlfn.CONFIDENCE.NORM(0.05, Q29, 5)</f>
        <v>7.8398559381602213E-4</v>
      </c>
    </row>
    <row r="30" spans="1:27" x14ac:dyDescent="0.25">
      <c r="A30">
        <v>3</v>
      </c>
      <c r="B30">
        <v>0.81699999999999995</v>
      </c>
      <c r="C30">
        <v>0.81899999999999995</v>
      </c>
      <c r="D30">
        <v>0.82</v>
      </c>
      <c r="E30">
        <v>0.82</v>
      </c>
      <c r="F30">
        <v>0.81899999999999995</v>
      </c>
      <c r="G30">
        <f>AVERAGE(B30:F30)</f>
        <v>0.81899999999999995</v>
      </c>
      <c r="H30">
        <f t="shared" si="10"/>
        <v>1.2247448713915902E-3</v>
      </c>
      <c r="I30" s="7">
        <f t="shared" si="11"/>
        <v>1.073516486230295E-3</v>
      </c>
      <c r="K30">
        <v>0.41</v>
      </c>
      <c r="L30">
        <v>0.40799999999999997</v>
      </c>
      <c r="M30">
        <v>0.40899999999999997</v>
      </c>
      <c r="N30">
        <v>0.40799999999999997</v>
      </c>
      <c r="O30">
        <v>0.40899999999999997</v>
      </c>
      <c r="P30">
        <f t="shared" si="12"/>
        <v>0.40879999999999994</v>
      </c>
      <c r="Q30">
        <f t="shared" si="13"/>
        <v>8.366600265340764E-4</v>
      </c>
      <c r="R30" s="7">
        <f t="shared" si="14"/>
        <v>7.3335137205651855E-4</v>
      </c>
    </row>
    <row r="31" spans="1:27" x14ac:dyDescent="0.25">
      <c r="A31">
        <v>4</v>
      </c>
      <c r="B31">
        <v>0.81699999999999995</v>
      </c>
      <c r="C31">
        <v>0.82</v>
      </c>
      <c r="D31">
        <v>0.81899999999999995</v>
      </c>
      <c r="E31">
        <v>0.82199999999999995</v>
      </c>
      <c r="F31">
        <v>0.82099999999999995</v>
      </c>
      <c r="G31">
        <f t="shared" si="9"/>
        <v>0.81980000000000008</v>
      </c>
      <c r="H31">
        <f t="shared" si="10"/>
        <v>1.9235384061671362E-3</v>
      </c>
      <c r="I31" s="7">
        <f t="shared" si="11"/>
        <v>1.6860247706702461E-3</v>
      </c>
      <c r="K31">
        <v>0.42199999999999999</v>
      </c>
      <c r="L31">
        <v>0.42099999999999999</v>
      </c>
      <c r="M31">
        <v>0.42</v>
      </c>
      <c r="N31">
        <v>0.42099999999999999</v>
      </c>
      <c r="O31">
        <v>0.42</v>
      </c>
      <c r="P31">
        <f t="shared" si="12"/>
        <v>0.42080000000000001</v>
      </c>
      <c r="Q31">
        <f t="shared" si="13"/>
        <v>8.3666002653407629E-4</v>
      </c>
      <c r="R31" s="7">
        <f t="shared" si="14"/>
        <v>7.3335137205651844E-4</v>
      </c>
    </row>
    <row r="32" spans="1:27" x14ac:dyDescent="0.25">
      <c r="A32">
        <v>5</v>
      </c>
      <c r="B32">
        <v>0.81899999999999995</v>
      </c>
      <c r="C32">
        <v>0.82099999999999995</v>
      </c>
      <c r="D32">
        <v>0.82099999999999995</v>
      </c>
      <c r="E32">
        <v>0.82</v>
      </c>
      <c r="F32">
        <v>0.82699999999999996</v>
      </c>
      <c r="G32">
        <f t="shared" si="9"/>
        <v>0.82159999999999989</v>
      </c>
      <c r="H32">
        <f t="shared" si="10"/>
        <v>3.1304951684997086E-3</v>
      </c>
      <c r="I32" s="7">
        <f t="shared" si="11"/>
        <v>2.7439495783560777E-3</v>
      </c>
      <c r="K32">
        <v>0.42299999999999999</v>
      </c>
      <c r="L32">
        <v>0.42399999999999999</v>
      </c>
      <c r="M32">
        <v>0.42399999999999999</v>
      </c>
      <c r="N32">
        <v>0.42299999999999999</v>
      </c>
      <c r="O32">
        <v>0.42399999999999999</v>
      </c>
      <c r="P32">
        <f t="shared" si="12"/>
        <v>0.42359999999999998</v>
      </c>
      <c r="Q32">
        <f t="shared" si="13"/>
        <v>5.4772255750516654E-4</v>
      </c>
      <c r="R32" s="7">
        <f t="shared" si="14"/>
        <v>4.8009116763553125E-4</v>
      </c>
    </row>
    <row r="33" spans="1:18" x14ac:dyDescent="0.25">
      <c r="A33">
        <v>6</v>
      </c>
      <c r="B33">
        <v>0.82199999999999995</v>
      </c>
      <c r="C33">
        <v>0.82199999999999995</v>
      </c>
      <c r="D33">
        <v>0.82099999999999995</v>
      </c>
      <c r="E33">
        <v>0.82399999999999995</v>
      </c>
      <c r="F33">
        <v>0.82099999999999995</v>
      </c>
      <c r="G33">
        <f t="shared" si="9"/>
        <v>0.82199999999999984</v>
      </c>
      <c r="H33">
        <f t="shared" si="10"/>
        <v>1.22474487139159E-3</v>
      </c>
      <c r="I33" s="7">
        <f t="shared" si="11"/>
        <v>1.0735164862302948E-3</v>
      </c>
      <c r="K33">
        <v>0.42199999999999999</v>
      </c>
      <c r="L33">
        <v>0.42099999999999999</v>
      </c>
      <c r="M33">
        <v>0.42299999999999999</v>
      </c>
      <c r="N33">
        <v>0.42199999999999999</v>
      </c>
      <c r="O33">
        <v>0.42099999999999999</v>
      </c>
      <c r="P33">
        <f t="shared" si="12"/>
        <v>0.42180000000000001</v>
      </c>
      <c r="Q33">
        <f t="shared" si="13"/>
        <v>8.3666002653407629E-4</v>
      </c>
      <c r="R33" s="7">
        <f t="shared" si="14"/>
        <v>7.3335137205651844E-4</v>
      </c>
    </row>
    <row r="34" spans="1:18" x14ac:dyDescent="0.25">
      <c r="A34">
        <v>7</v>
      </c>
      <c r="B34">
        <v>0.82</v>
      </c>
      <c r="C34">
        <v>0.82199999999999995</v>
      </c>
      <c r="D34">
        <v>0.82</v>
      </c>
      <c r="E34">
        <v>0.82199999999999995</v>
      </c>
      <c r="F34">
        <v>0.81899999999999995</v>
      </c>
      <c r="G34">
        <f t="shared" si="9"/>
        <v>0.8206</v>
      </c>
      <c r="H34">
        <f t="shared" si="10"/>
        <v>1.3416407864998751E-3</v>
      </c>
      <c r="I34" s="7">
        <f t="shared" si="11"/>
        <v>1.175978390724033E-3</v>
      </c>
      <c r="K34">
        <v>0.42199999999999999</v>
      </c>
      <c r="L34">
        <v>0.42099999999999999</v>
      </c>
      <c r="M34">
        <v>0.42399999999999999</v>
      </c>
      <c r="N34">
        <v>0.42099999999999999</v>
      </c>
      <c r="O34">
        <v>0.42099999999999999</v>
      </c>
      <c r="P34">
        <f t="shared" si="12"/>
        <v>0.42180000000000001</v>
      </c>
      <c r="Q34">
        <f t="shared" si="13"/>
        <v>1.3038404810405309E-3</v>
      </c>
      <c r="R34" s="7">
        <f t="shared" si="14"/>
        <v>1.1428455709482381E-3</v>
      </c>
    </row>
    <row r="35" spans="1:18" x14ac:dyDescent="0.25">
      <c r="A35">
        <v>8</v>
      </c>
      <c r="B35">
        <v>0.82399999999999995</v>
      </c>
      <c r="C35">
        <v>0.82299999999999995</v>
      </c>
      <c r="D35">
        <v>0.82399999999999995</v>
      </c>
      <c r="E35">
        <v>0.82899999999999996</v>
      </c>
      <c r="F35">
        <v>0.82399999999999995</v>
      </c>
      <c r="G35">
        <f t="shared" si="9"/>
        <v>0.82479999999999998</v>
      </c>
      <c r="H35">
        <f t="shared" si="10"/>
        <v>2.3874672772626667E-3</v>
      </c>
      <c r="I35" s="7">
        <f t="shared" si="11"/>
        <v>2.0926688834097258E-3</v>
      </c>
      <c r="K35">
        <v>0.41899999999999998</v>
      </c>
      <c r="L35">
        <v>0.41799999999999998</v>
      </c>
      <c r="M35">
        <v>0.41699999999999998</v>
      </c>
      <c r="N35">
        <v>0.41799999999999998</v>
      </c>
      <c r="O35">
        <v>0.42399999999999999</v>
      </c>
      <c r="P35">
        <f t="shared" si="12"/>
        <v>0.41920000000000002</v>
      </c>
      <c r="Q35">
        <f t="shared" si="13"/>
        <v>2.7748873851023243E-3</v>
      </c>
      <c r="R35" s="7">
        <f t="shared" si="14"/>
        <v>2.4322513406037955E-3</v>
      </c>
    </row>
    <row r="36" spans="1:18" x14ac:dyDescent="0.25">
      <c r="A36">
        <v>9</v>
      </c>
      <c r="B36">
        <v>0.82099999999999995</v>
      </c>
      <c r="C36">
        <v>0.82</v>
      </c>
      <c r="D36">
        <v>0.82099999999999995</v>
      </c>
      <c r="E36">
        <v>0.81799999999999995</v>
      </c>
      <c r="F36">
        <v>0.82</v>
      </c>
      <c r="G36">
        <f t="shared" si="9"/>
        <v>0.82</v>
      </c>
      <c r="H36">
        <f t="shared" si="10"/>
        <v>1.2247448713915902E-3</v>
      </c>
      <c r="I36" s="7">
        <f t="shared" si="11"/>
        <v>1.073516486230295E-3</v>
      </c>
      <c r="K36">
        <v>0.41499999999999998</v>
      </c>
      <c r="L36">
        <v>0.41499999999999998</v>
      </c>
      <c r="M36">
        <v>0.41299999999999998</v>
      </c>
      <c r="N36">
        <v>0.41499999999999998</v>
      </c>
      <c r="O36">
        <v>0.41499999999999998</v>
      </c>
      <c r="P36">
        <f t="shared" si="12"/>
        <v>0.41459999999999997</v>
      </c>
      <c r="Q36">
        <f t="shared" si="13"/>
        <v>8.9442719099991667E-4</v>
      </c>
      <c r="R36" s="7">
        <f t="shared" si="14"/>
        <v>7.8398559381602213E-4</v>
      </c>
    </row>
    <row r="37" spans="1:18" x14ac:dyDescent="0.25">
      <c r="A37">
        <v>10</v>
      </c>
      <c r="B37">
        <v>0.82499999999999996</v>
      </c>
      <c r="C37">
        <v>0.82499999999999996</v>
      </c>
      <c r="D37">
        <v>0.82099999999999995</v>
      </c>
      <c r="E37">
        <v>0.82299999999999995</v>
      </c>
      <c r="F37">
        <v>0.82199999999999995</v>
      </c>
      <c r="G37">
        <f t="shared" si="9"/>
        <v>0.82319999999999993</v>
      </c>
      <c r="H37">
        <f t="shared" si="10"/>
        <v>1.7888543819998333E-3</v>
      </c>
      <c r="I37" s="7">
        <f t="shared" si="11"/>
        <v>1.5679711876320443E-3</v>
      </c>
      <c r="K37">
        <v>0.41899999999999998</v>
      </c>
      <c r="L37">
        <v>0.41899999999999998</v>
      </c>
      <c r="M37">
        <v>0.41799999999999998</v>
      </c>
      <c r="N37">
        <v>0.41799999999999998</v>
      </c>
      <c r="O37">
        <v>0.41799999999999998</v>
      </c>
      <c r="P37">
        <f t="shared" si="12"/>
        <v>0.41839999999999999</v>
      </c>
      <c r="Q37">
        <f t="shared" si="13"/>
        <v>5.4772255750516654E-4</v>
      </c>
      <c r="R37" s="7">
        <f t="shared" si="14"/>
        <v>4.8009116763553125E-4</v>
      </c>
    </row>
    <row r="38" spans="1:18" x14ac:dyDescent="0.25">
      <c r="A38">
        <v>11</v>
      </c>
      <c r="B38">
        <v>0.82299999999999995</v>
      </c>
      <c r="C38">
        <v>0.82499999999999996</v>
      </c>
      <c r="D38">
        <v>0.82099999999999995</v>
      </c>
      <c r="E38">
        <v>0.81899999999999995</v>
      </c>
      <c r="F38">
        <v>0.82199999999999995</v>
      </c>
      <c r="G38">
        <f t="shared" si="9"/>
        <v>0.82199999999999984</v>
      </c>
      <c r="H38">
        <f t="shared" si="10"/>
        <v>2.236067977499792E-3</v>
      </c>
      <c r="I38" s="7">
        <f t="shared" si="11"/>
        <v>1.9599639845400557E-3</v>
      </c>
      <c r="K38">
        <v>0.42099999999999999</v>
      </c>
      <c r="L38">
        <v>0.42</v>
      </c>
      <c r="M38">
        <v>0.42099999999999999</v>
      </c>
      <c r="N38">
        <v>0.42099999999999999</v>
      </c>
      <c r="O38">
        <v>0.42199999999999999</v>
      </c>
      <c r="P38">
        <f t="shared" si="12"/>
        <v>0.42099999999999999</v>
      </c>
      <c r="Q38">
        <f t="shared" si="13"/>
        <v>7.0710678118654816E-4</v>
      </c>
      <c r="R38" s="7">
        <f t="shared" si="14"/>
        <v>6.1979503230456194E-4</v>
      </c>
    </row>
    <row r="39" spans="1:18" x14ac:dyDescent="0.25">
      <c r="A39">
        <v>12</v>
      </c>
      <c r="B39">
        <v>0.82199999999999995</v>
      </c>
      <c r="C39">
        <v>0.82099999999999995</v>
      </c>
      <c r="D39">
        <v>0.82199999999999995</v>
      </c>
      <c r="E39">
        <v>0.82</v>
      </c>
      <c r="F39">
        <v>0.81799999999999995</v>
      </c>
      <c r="G39">
        <f t="shared" si="9"/>
        <v>0.8206</v>
      </c>
      <c r="H39">
        <f t="shared" si="10"/>
        <v>1.6733200530681526E-3</v>
      </c>
      <c r="I39" s="7">
        <f t="shared" si="11"/>
        <v>1.4667027441130369E-3</v>
      </c>
      <c r="K39">
        <v>0.42</v>
      </c>
      <c r="L39">
        <v>0.42</v>
      </c>
      <c r="M39">
        <v>0.41899999999999998</v>
      </c>
      <c r="N39">
        <v>0.41699999999999998</v>
      </c>
      <c r="O39">
        <v>0.41799999999999998</v>
      </c>
      <c r="P39">
        <f t="shared" si="12"/>
        <v>0.41879999999999995</v>
      </c>
      <c r="Q39">
        <f t="shared" si="13"/>
        <v>1.3038404810405309E-3</v>
      </c>
      <c r="R39" s="7">
        <f t="shared" si="14"/>
        <v>1.1428455709482381E-3</v>
      </c>
    </row>
    <row r="40" spans="1:18" x14ac:dyDescent="0.25">
      <c r="A40">
        <v>13</v>
      </c>
      <c r="B40">
        <v>0.82699999999999996</v>
      </c>
      <c r="C40">
        <v>0.82299999999999995</v>
      </c>
      <c r="D40">
        <v>0.82499999999999996</v>
      </c>
      <c r="E40">
        <v>0.81799999999999995</v>
      </c>
      <c r="F40">
        <v>0.82299999999999995</v>
      </c>
      <c r="G40">
        <f t="shared" si="9"/>
        <v>0.82319999999999993</v>
      </c>
      <c r="H40">
        <f t="shared" si="10"/>
        <v>3.3466401061363052E-3</v>
      </c>
      <c r="I40" s="7">
        <f t="shared" si="11"/>
        <v>2.9334054882260738E-3</v>
      </c>
      <c r="K40">
        <v>0.433</v>
      </c>
      <c r="L40">
        <v>0.433</v>
      </c>
      <c r="M40">
        <v>0.432</v>
      </c>
      <c r="N40">
        <v>0.433</v>
      </c>
      <c r="O40">
        <v>0.432</v>
      </c>
      <c r="P40">
        <f t="shared" si="12"/>
        <v>0.43260000000000004</v>
      </c>
      <c r="Q40">
        <f t="shared" si="13"/>
        <v>5.4772255750516654E-4</v>
      </c>
      <c r="R40" s="7">
        <f t="shared" si="14"/>
        <v>4.8009116763553125E-4</v>
      </c>
    </row>
    <row r="41" spans="1:18" x14ac:dyDescent="0.25">
      <c r="A41">
        <v>14</v>
      </c>
      <c r="B41">
        <v>0.81599999999999995</v>
      </c>
      <c r="C41">
        <v>0.81899999999999995</v>
      </c>
      <c r="D41">
        <v>0.82099999999999995</v>
      </c>
      <c r="E41">
        <v>0.82</v>
      </c>
      <c r="F41">
        <v>0.81899999999999995</v>
      </c>
      <c r="G41">
        <f t="shared" si="9"/>
        <v>0.81899999999999973</v>
      </c>
      <c r="H41">
        <f t="shared" si="10"/>
        <v>1.8708286933869723E-3</v>
      </c>
      <c r="I41" s="7">
        <f t="shared" si="11"/>
        <v>1.639823519311115E-3</v>
      </c>
      <c r="K41">
        <v>0.4</v>
      </c>
      <c r="L41">
        <v>0.39600000000000002</v>
      </c>
      <c r="M41">
        <v>0.39500000000000002</v>
      </c>
      <c r="N41">
        <v>0.39400000000000002</v>
      </c>
      <c r="O41">
        <v>0.39500000000000002</v>
      </c>
      <c r="P41">
        <f t="shared" si="12"/>
        <v>0.39600000000000002</v>
      </c>
      <c r="Q41">
        <f t="shared" si="13"/>
        <v>2.3452078799117166E-3</v>
      </c>
      <c r="R41" s="7">
        <f t="shared" si="14"/>
        <v>2.055627569080436E-3</v>
      </c>
    </row>
    <row r="42" spans="1:18" x14ac:dyDescent="0.25">
      <c r="A42">
        <v>15</v>
      </c>
      <c r="B42">
        <v>0.82299999999999995</v>
      </c>
      <c r="C42">
        <v>0.82199999999999995</v>
      </c>
      <c r="D42">
        <v>0.82399999999999995</v>
      </c>
      <c r="E42">
        <v>0.82099999999999995</v>
      </c>
      <c r="F42">
        <v>0.82699999999999996</v>
      </c>
      <c r="G42">
        <f t="shared" si="9"/>
        <v>0.82340000000000002</v>
      </c>
      <c r="H42">
        <f t="shared" si="10"/>
        <v>2.3021728866442696E-3</v>
      </c>
      <c r="I42" s="7">
        <f t="shared" si="11"/>
        <v>2.0179064274479571E-3</v>
      </c>
      <c r="K42">
        <v>0.41399999999999998</v>
      </c>
      <c r="L42">
        <v>0.41499999999999998</v>
      </c>
      <c r="M42">
        <v>0.41299999999999998</v>
      </c>
      <c r="N42">
        <v>0.41299999999999998</v>
      </c>
      <c r="O42">
        <v>0.41299999999999998</v>
      </c>
      <c r="P42">
        <f t="shared" si="12"/>
        <v>0.41360000000000002</v>
      </c>
      <c r="Q42">
        <f t="shared" si="13"/>
        <v>8.9442719099991667E-4</v>
      </c>
      <c r="R42" s="7">
        <f t="shared" si="14"/>
        <v>7.8398559381602213E-4</v>
      </c>
    </row>
    <row r="43" spans="1:18" x14ac:dyDescent="0.25">
      <c r="A43">
        <v>16</v>
      </c>
      <c r="B43">
        <v>0.82199999999999995</v>
      </c>
      <c r="C43">
        <v>0.82099999999999995</v>
      </c>
      <c r="D43">
        <v>0.82199999999999995</v>
      </c>
      <c r="E43">
        <v>0.82599999999999996</v>
      </c>
      <c r="F43">
        <v>0.82699999999999996</v>
      </c>
      <c r="G43">
        <f t="shared" si="9"/>
        <v>0.82360000000000011</v>
      </c>
      <c r="H43">
        <f t="shared" si="10"/>
        <v>2.7018512172212617E-3</v>
      </c>
      <c r="I43" s="7">
        <f t="shared" si="11"/>
        <v>2.3682334931787088E-3</v>
      </c>
      <c r="K43">
        <v>0.41099999999999998</v>
      </c>
      <c r="L43">
        <v>0.41</v>
      </c>
      <c r="M43">
        <v>0.41</v>
      </c>
      <c r="N43">
        <v>0.41</v>
      </c>
      <c r="O43">
        <v>0.41099999999999998</v>
      </c>
      <c r="P43">
        <f t="shared" si="12"/>
        <v>0.41039999999999993</v>
      </c>
      <c r="Q43">
        <f t="shared" si="13"/>
        <v>5.4772255750516665E-4</v>
      </c>
      <c r="R43" s="7">
        <f t="shared" si="14"/>
        <v>4.8009116763553136E-4</v>
      </c>
    </row>
    <row r="44" spans="1:18" x14ac:dyDescent="0.25">
      <c r="A44">
        <v>17</v>
      </c>
      <c r="B44">
        <v>0.82</v>
      </c>
      <c r="C44">
        <v>0.82199999999999995</v>
      </c>
      <c r="D44">
        <v>0.82</v>
      </c>
      <c r="E44">
        <v>0.82099999999999995</v>
      </c>
      <c r="F44">
        <v>0.82099999999999995</v>
      </c>
      <c r="G44">
        <f t="shared" si="9"/>
        <v>0.82079999999999986</v>
      </c>
      <c r="H44">
        <f t="shared" si="10"/>
        <v>8.366600265340764E-4</v>
      </c>
      <c r="I44" s="7">
        <f t="shared" si="11"/>
        <v>7.3335137205651855E-4</v>
      </c>
      <c r="K44">
        <v>0.42299999999999999</v>
      </c>
      <c r="L44">
        <v>0.42</v>
      </c>
      <c r="M44">
        <v>0.42</v>
      </c>
      <c r="N44">
        <v>0.41899999999999998</v>
      </c>
      <c r="O44">
        <v>0.42</v>
      </c>
      <c r="P44">
        <f t="shared" si="12"/>
        <v>0.4204</v>
      </c>
      <c r="Q44">
        <f t="shared" si="13"/>
        <v>1.5165750888103116E-3</v>
      </c>
      <c r="R44" s="7">
        <f t="shared" si="14"/>
        <v>1.3293122498191689E-3</v>
      </c>
    </row>
    <row r="45" spans="1:18" x14ac:dyDescent="0.25">
      <c r="A45">
        <v>18</v>
      </c>
      <c r="B45">
        <v>0.81799999999999995</v>
      </c>
      <c r="C45">
        <v>0.81899999999999995</v>
      </c>
      <c r="D45">
        <v>0.81899999999999995</v>
      </c>
      <c r="E45">
        <v>0.82199999999999995</v>
      </c>
      <c r="F45">
        <v>0.82199999999999995</v>
      </c>
      <c r="G45">
        <f t="shared" si="9"/>
        <v>0.82</v>
      </c>
      <c r="H45">
        <f t="shared" si="10"/>
        <v>1.8708286933869726E-3</v>
      </c>
      <c r="I45" s="7">
        <f t="shared" si="11"/>
        <v>1.6398235193111153E-3</v>
      </c>
      <c r="K45">
        <v>0.42399999999999999</v>
      </c>
      <c r="L45">
        <v>0.42399999999999999</v>
      </c>
      <c r="M45">
        <v>0.42299999999999999</v>
      </c>
      <c r="N45">
        <v>0.42399999999999999</v>
      </c>
      <c r="O45">
        <v>0.42499999999999999</v>
      </c>
      <c r="P45">
        <f t="shared" si="12"/>
        <v>0.42399999999999993</v>
      </c>
      <c r="Q45">
        <f t="shared" si="13"/>
        <v>7.0710678118654816E-4</v>
      </c>
      <c r="R45" s="7">
        <f t="shared" si="14"/>
        <v>6.1979503230456194E-4</v>
      </c>
    </row>
    <row r="46" spans="1:18" x14ac:dyDescent="0.25">
      <c r="A46">
        <v>19</v>
      </c>
      <c r="B46">
        <v>0.81599999999999995</v>
      </c>
      <c r="C46">
        <v>0.82099999999999995</v>
      </c>
      <c r="D46">
        <v>0.81899999999999995</v>
      </c>
      <c r="E46">
        <v>0.81799999999999995</v>
      </c>
      <c r="F46">
        <v>0.81599999999999995</v>
      </c>
      <c r="G46">
        <f t="shared" si="9"/>
        <v>0.81799999999999995</v>
      </c>
      <c r="H46">
        <f t="shared" si="10"/>
        <v>2.1213203435596446E-3</v>
      </c>
      <c r="I46" s="7">
        <f t="shared" si="11"/>
        <v>1.8593850969136861E-3</v>
      </c>
      <c r="K46">
        <v>0.42199999999999999</v>
      </c>
      <c r="L46">
        <v>0.42299999999999999</v>
      </c>
      <c r="M46">
        <v>0.42299999999999999</v>
      </c>
      <c r="N46">
        <v>0.42199999999999999</v>
      </c>
      <c r="O46">
        <v>0.42299999999999999</v>
      </c>
      <c r="P46">
        <f t="shared" si="12"/>
        <v>0.42259999999999998</v>
      </c>
      <c r="Q46">
        <f t="shared" si="13"/>
        <v>5.4772255750516654E-4</v>
      </c>
      <c r="R46" s="7">
        <f t="shared" si="14"/>
        <v>4.8009116763553125E-4</v>
      </c>
    </row>
    <row r="47" spans="1:18" x14ac:dyDescent="0.25">
      <c r="A47">
        <v>20</v>
      </c>
      <c r="B47">
        <v>0.81699999999999995</v>
      </c>
      <c r="C47">
        <v>0.82</v>
      </c>
      <c r="D47">
        <v>0.82199999999999995</v>
      </c>
      <c r="E47">
        <v>0.81899999999999995</v>
      </c>
      <c r="F47">
        <v>0.81699999999999995</v>
      </c>
      <c r="G47">
        <f t="shared" si="9"/>
        <v>0.81899999999999995</v>
      </c>
      <c r="H47">
        <f t="shared" si="10"/>
        <v>2.1213203435596446E-3</v>
      </c>
      <c r="I47" s="7">
        <f t="shared" si="11"/>
        <v>1.8593850969136861E-3</v>
      </c>
      <c r="K47">
        <v>0.42299999999999999</v>
      </c>
      <c r="L47">
        <v>0.42299999999999999</v>
      </c>
      <c r="M47">
        <v>0.42099999999999999</v>
      </c>
      <c r="N47">
        <v>0.42199999999999999</v>
      </c>
      <c r="O47">
        <v>0.42199999999999999</v>
      </c>
      <c r="P47">
        <f t="shared" si="12"/>
        <v>0.42219999999999996</v>
      </c>
      <c r="Q47">
        <f t="shared" si="13"/>
        <v>8.3666002653407629E-4</v>
      </c>
      <c r="R47" s="7">
        <f t="shared" si="14"/>
        <v>7.3335137205651844E-4</v>
      </c>
    </row>
  </sheetData>
  <phoneticPr fontId="2" type="noConversion"/>
  <pageMargins left="0.7" right="0.7" top="0.75" bottom="0.75" header="0.3" footer="0.3"/>
  <pageSetup orientation="portrait" horizontalDpi="4294967293" verticalDpi="360" r:id="rId1"/>
  <ignoredErrors>
    <ignoredError sqref="D23 K19:K20 L11 M4 M9 M13 N18 N5 N16 O15 M2 U5:V5 U13 U16:U17 V8 V14 V16:W16 V18:V19 V20 W12 V2:V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GenError</vt:lpstr>
      <vt:lpstr>GenErrorCalc</vt:lpstr>
      <vt:lpstr>Timing</vt:lpstr>
      <vt:lpstr>TimingCalc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2020-05-27T00:28:39Z</dcterms:modified>
</cp:coreProperties>
</file>