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EF78BEC8-AFDA-409D-B74A-472EB3296EE2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GenError" sheetId="1" r:id="rId1"/>
    <sheet name="Timing" sheetId="3" r:id="rId2"/>
    <sheet name="GenErrorCal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3" l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3" i="3"/>
  <c r="D22" i="3"/>
  <c r="C23" i="3"/>
  <c r="C22" i="3"/>
  <c r="J23" i="3"/>
  <c r="J22" i="3"/>
  <c r="G34" i="1" l="1"/>
  <c r="G35" i="1"/>
  <c r="G36" i="1"/>
  <c r="G33" i="1"/>
  <c r="D31" i="1"/>
  <c r="D32" i="1"/>
  <c r="D2" i="2" l="1"/>
  <c r="E12" i="2"/>
  <c r="E11" i="2"/>
  <c r="E10" i="2"/>
  <c r="E9" i="2"/>
  <c r="E8" i="2"/>
  <c r="E7" i="2"/>
  <c r="E6" i="2"/>
  <c r="E5" i="2"/>
  <c r="E4" i="2"/>
  <c r="E3" i="2"/>
  <c r="E2" i="2"/>
  <c r="D12" i="2"/>
  <c r="D11" i="2"/>
  <c r="D10" i="2"/>
  <c r="D9" i="2"/>
  <c r="D8" i="2"/>
  <c r="D7" i="2"/>
  <c r="D6" i="2"/>
  <c r="D5" i="2"/>
  <c r="D4" i="2"/>
  <c r="D3" i="2"/>
  <c r="C12" i="2"/>
  <c r="C11" i="2"/>
  <c r="C10" i="2"/>
  <c r="C9" i="2"/>
  <c r="C8" i="2"/>
  <c r="C7" i="2"/>
  <c r="C6" i="2"/>
  <c r="C5" i="2"/>
  <c r="C4" i="2"/>
  <c r="C3" i="2"/>
  <c r="C2" i="2"/>
  <c r="J29" i="1"/>
  <c r="J28" i="1"/>
  <c r="G29" i="1"/>
  <c r="G28" i="1"/>
  <c r="D29" i="1"/>
  <c r="D28" i="1"/>
  <c r="D47" i="1" l="1"/>
  <c r="D46" i="1"/>
  <c r="D43" i="1"/>
  <c r="D42" i="1"/>
  <c r="D39" i="1"/>
  <c r="D38" i="1"/>
  <c r="D2" i="1" l="1"/>
  <c r="D3" i="1"/>
  <c r="J2" i="1"/>
  <c r="J3" i="1"/>
  <c r="G2" i="1"/>
  <c r="G3" i="1"/>
  <c r="J5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7" i="1"/>
  <c r="D8" i="1"/>
  <c r="D9" i="1"/>
  <c r="D10" i="1"/>
  <c r="D52" i="1" l="1"/>
  <c r="D56" i="1" s="1"/>
  <c r="D40" i="1"/>
  <c r="D53" i="1"/>
  <c r="D57" i="1" s="1"/>
  <c r="D44" i="1"/>
  <c r="D54" i="1"/>
  <c r="D58" i="1" s="1"/>
  <c r="D48" i="1"/>
</calcChain>
</file>

<file path=xl/sharedStrings.xml><?xml version="1.0" encoding="utf-8"?>
<sst xmlns="http://schemas.openxmlformats.org/spreadsheetml/2006/main" count="67" uniqueCount="58">
  <si>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</si>
  <si>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</si>
  <si>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</si>
  <si>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</si>
  <si>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</si>
  <si>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</si>
  <si>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</si>
  <si>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</si>
  <si>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</si>
  <si>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</si>
  <si>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</si>
  <si>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</si>
  <si>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</si>
  <si>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</si>
  <si>
    <t>Avg KP synthetic training error:</t>
  </si>
  <si>
    <t>Avg KP synthetic testing error</t>
  </si>
  <si>
    <t>Avg KP synthetic Gen error</t>
  </si>
  <si>
    <t>Avg KPB synthetic training error</t>
  </si>
  <si>
    <t>Avg KPB synthetic testing error</t>
  </si>
  <si>
    <t>Avg KPB synthetic Gen error</t>
  </si>
  <si>
    <t>Avg KPD synthetic training error</t>
  </si>
  <si>
    <t>Avg KPD synthetic testing error</t>
  </si>
  <si>
    <t>Avg KPD synthetic Gen error</t>
  </si>
  <si>
    <t>Standard deviation of KP</t>
  </si>
  <si>
    <t>Standard deviation of KPB</t>
  </si>
  <si>
    <t>Standard deviation of KPD</t>
  </si>
  <si>
    <t>95% Confidence Interval KP</t>
  </si>
  <si>
    <t>95% Confidence Interval KPB</t>
  </si>
  <si>
    <t>95% Confidence Interval KPD</t>
  </si>
  <si>
    <t>Synthetic</t>
  </si>
  <si>
    <t>sonar 157/51 10k</t>
  </si>
  <si>
    <t>sonar 116/92 10k</t>
  </si>
  <si>
    <t>eps</t>
  </si>
  <si>
    <t>KP Training Set Size</t>
  </si>
  <si>
    <t>KPB Training Set Size</t>
  </si>
  <si>
    <t>KPD Training Set Size</t>
  </si>
  <si>
    <t>KPB Support Set Size</t>
  </si>
  <si>
    <t>KPD Support Set Size</t>
  </si>
  <si>
    <t>KP</t>
  </si>
  <si>
    <t>KPB</t>
  </si>
  <si>
    <t>KPD</t>
  </si>
  <si>
    <t>Dimensionality</t>
  </si>
  <si>
    <t>sonar 157/51 10k norm</t>
  </si>
  <si>
    <t>sonar 116/92 10k norm</t>
  </si>
  <si>
    <t>58 support vectors</t>
  </si>
  <si>
    <t>29 support vectors</t>
  </si>
  <si>
    <t>39 support vectors</t>
  </si>
  <si>
    <t>91 support vectors</t>
  </si>
  <si>
    <t>10% mistakes</t>
  </si>
  <si>
    <t>Iris50</t>
  </si>
  <si>
    <t>Iris75</t>
  </si>
  <si>
    <t>Sonar50</t>
  </si>
  <si>
    <t>Sonar75</t>
  </si>
  <si>
    <t>Left Axis</t>
  </si>
  <si>
    <t>Right Axis</t>
  </si>
  <si>
    <t>Kernel Perceptron</t>
  </si>
  <si>
    <t>Budget Kernel Perceptron</t>
  </si>
  <si>
    <t>Description Kernel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</si>
</sst>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Generalization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GenError!$D$7:$D$26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BD3-AB66-ABF1143632C9}"/>
            </c:ext>
          </c:extLst>
        </c:ser>
        <c:ser>
          <c:idx val="5"/>
          <c:order val="5"/>
          <c:tx>
            <c:v>Budget Kernel Perceptron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GenError!$G$7:$G$26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2-4BD3-AB66-ABF1143632C9}"/>
            </c:ext>
          </c:extLst>
        </c:ser>
        <c:ser>
          <c:idx val="8"/>
          <c:order val="7"/>
          <c:tx>
            <c:v>Description 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GenError!$J$7:$J$26</c:f>
              <c:numCache>
                <c:formatCode>General</c:formatCode>
                <c:ptCount val="20"/>
                <c:pt idx="0">
                  <c:v>9.000000000000008E-3</c:v>
                </c:pt>
                <c:pt idx="1">
                  <c:v>5.9999999999998943E-3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1.0000000000000009E-2</c:v>
                </c:pt>
                <c:pt idx="5">
                  <c:v>7.0000000000000062E-3</c:v>
                </c:pt>
                <c:pt idx="6">
                  <c:v>1.100000000000001E-2</c:v>
                </c:pt>
                <c:pt idx="7">
                  <c:v>1.4000000000000012E-2</c:v>
                </c:pt>
                <c:pt idx="8">
                  <c:v>6.0000000000000053E-3</c:v>
                </c:pt>
                <c:pt idx="9">
                  <c:v>6.0000000000000053E-3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3.0000000000000027E-3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5.0000000000000044E-3</c:v>
                </c:pt>
                <c:pt idx="16">
                  <c:v>6.0000000000000053E-3</c:v>
                </c:pt>
                <c:pt idx="17">
                  <c:v>7.0000000000000062E-3</c:v>
                </c:pt>
                <c:pt idx="18">
                  <c:v>4.0000000000000036E-3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2-4BD3-AB66-ABF114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3336"/>
        <c:axId val="45932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GenError!$B$7:$B$26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2-4BD3-AB66-ABF1143632C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GenError!$C$7:$C$26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2-4BD3-AB66-ABF1143632C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GenError!$E$7:$E$26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C2-4BD3-AB66-ABF1143632C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GenError!$F$7:$F$26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C2-4BD3-AB66-ABF1143632C9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GenError!$I$7:$I$26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0.97099999999999997</c:v>
                      </c:pt>
                      <c:pt idx="1">
                        <c:v>0.94199999999999995</c:v>
                      </c:pt>
                      <c:pt idx="2">
                        <c:v>0.99299999999999999</c:v>
                      </c:pt>
                      <c:pt idx="3">
                        <c:v>0.96099999999999997</c:v>
                      </c:pt>
                      <c:pt idx="4">
                        <c:v>0.97899999999999998</c:v>
                      </c:pt>
                      <c:pt idx="5">
                        <c:v>0.99</c:v>
                      </c:pt>
                      <c:pt idx="6">
                        <c:v>0.96199999999999997</c:v>
                      </c:pt>
                      <c:pt idx="7">
                        <c:v>0.97199999999999998</c:v>
                      </c:pt>
                      <c:pt idx="8">
                        <c:v>0.98199999999999998</c:v>
                      </c:pt>
                      <c:pt idx="9">
                        <c:v>0.94799999999999995</c:v>
                      </c:pt>
                      <c:pt idx="10">
                        <c:v>0.95599999999999996</c:v>
                      </c:pt>
                      <c:pt idx="11">
                        <c:v>0.95</c:v>
                      </c:pt>
                      <c:pt idx="12">
                        <c:v>0.97399999999999998</c:v>
                      </c:pt>
                      <c:pt idx="13">
                        <c:v>0.99399999999999999</c:v>
                      </c:pt>
                      <c:pt idx="14">
                        <c:v>0.98899999999999999</c:v>
                      </c:pt>
                      <c:pt idx="15">
                        <c:v>0.95799999999999996</c:v>
                      </c:pt>
                      <c:pt idx="16">
                        <c:v>0.99</c:v>
                      </c:pt>
                      <c:pt idx="17">
                        <c:v>0.92800000000000005</c:v>
                      </c:pt>
                      <c:pt idx="18">
                        <c:v>0.98</c:v>
                      </c:pt>
                      <c:pt idx="19">
                        <c:v>0.95499999999999996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C2-4BD3-AB66-ABF1143632C9}"/>
                  </c:ext>
                </c:extLst>
              </c15:ser>
            </c15:filteredBarSeries>
          </c:ext>
        </c:extLst>
      </c:barChart>
      <c:catAx>
        <c:axId val="45932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2024"/>
        <c:crosses val="autoZero"/>
        <c:auto val="1"/>
        <c:lblAlgn val="ctr"/>
        <c:lblOffset val="100"/>
        <c:noMultiLvlLbl val="0"/>
      </c:catAx>
      <c:valAx>
        <c:axId val="459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Synthetic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Left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Timing!$B$2:$B$21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9346-4F9D-A084-E0A6CA914929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Budget Kernel Perceptron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Timing!$C$2:$C$21</c:f>
              <c:numCache>
                <c:formatCode>General</c:formatCode>
                <c:ptCount val="20"/>
                <c:pt idx="0">
                  <c:v>0.3498</c:v>
                </c:pt>
                <c:pt idx="1">
                  <c:v>0.34360000000000002</c:v>
                </c:pt>
                <c:pt idx="2">
                  <c:v>0.34500000000000003</c:v>
                </c:pt>
                <c:pt idx="3">
                  <c:v>0.34560000000000002</c:v>
                </c:pt>
                <c:pt idx="4">
                  <c:v>0.34680000000000005</c:v>
                </c:pt>
                <c:pt idx="5">
                  <c:v>0.35039999999999999</c:v>
                </c:pt>
                <c:pt idx="6">
                  <c:v>0.34839999999999999</c:v>
                </c:pt>
                <c:pt idx="7">
                  <c:v>0.35320000000000001</c:v>
                </c:pt>
                <c:pt idx="8">
                  <c:v>0.34820000000000001</c:v>
                </c:pt>
                <c:pt idx="9">
                  <c:v>0.35020000000000001</c:v>
                </c:pt>
                <c:pt idx="10">
                  <c:v>0.35020000000000001</c:v>
                </c:pt>
                <c:pt idx="11">
                  <c:v>0.34860000000000002</c:v>
                </c:pt>
                <c:pt idx="12">
                  <c:v>0.34920000000000001</c:v>
                </c:pt>
                <c:pt idx="13">
                  <c:v>0.34440000000000004</c:v>
                </c:pt>
                <c:pt idx="14">
                  <c:v>0.34620000000000001</c:v>
                </c:pt>
                <c:pt idx="15">
                  <c:v>0.35799999999999998</c:v>
                </c:pt>
                <c:pt idx="16">
                  <c:v>0.34920000000000001</c:v>
                </c:pt>
                <c:pt idx="17">
                  <c:v>0.34920000000000007</c:v>
                </c:pt>
                <c:pt idx="18">
                  <c:v>0.34760000000000002</c:v>
                </c:pt>
                <c:pt idx="19">
                  <c:v>0.3498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6-4F9D-A084-E0A6CA914929}"/>
            </c:ext>
          </c:extLst>
        </c:ser>
        <c:ser>
          <c:idx val="2"/>
          <c:order val="2"/>
          <c:tx>
            <c:strRef>
              <c:f>Timing!$D$1</c:f>
              <c:strCache>
                <c:ptCount val="1"/>
                <c:pt idx="0">
                  <c:v>Description 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Timing!$D$2:$D$21</c:f>
              <c:numCache>
                <c:formatCode>General</c:formatCode>
                <c:ptCount val="20"/>
                <c:pt idx="0">
                  <c:v>0.29459999999999997</c:v>
                </c:pt>
                <c:pt idx="1">
                  <c:v>0.29380000000000006</c:v>
                </c:pt>
                <c:pt idx="2">
                  <c:v>0.29320000000000002</c:v>
                </c:pt>
                <c:pt idx="3">
                  <c:v>0.29399999999999998</c:v>
                </c:pt>
                <c:pt idx="4">
                  <c:v>0.29459999999999997</c:v>
                </c:pt>
                <c:pt idx="5">
                  <c:v>0.2944</c:v>
                </c:pt>
                <c:pt idx="6">
                  <c:v>0.29339999999999999</c:v>
                </c:pt>
                <c:pt idx="7">
                  <c:v>0.29500000000000004</c:v>
                </c:pt>
                <c:pt idx="8">
                  <c:v>0.29360000000000003</c:v>
                </c:pt>
                <c:pt idx="9">
                  <c:v>0.29380000000000006</c:v>
                </c:pt>
                <c:pt idx="10">
                  <c:v>0.29420000000000002</c:v>
                </c:pt>
                <c:pt idx="11">
                  <c:v>0.29400000000000004</c:v>
                </c:pt>
                <c:pt idx="12">
                  <c:v>0.29480000000000001</c:v>
                </c:pt>
                <c:pt idx="13">
                  <c:v>0.29339999999999999</c:v>
                </c:pt>
                <c:pt idx="14">
                  <c:v>0.29399999999999998</c:v>
                </c:pt>
                <c:pt idx="15">
                  <c:v>0.29500000000000004</c:v>
                </c:pt>
                <c:pt idx="16">
                  <c:v>0.29420000000000002</c:v>
                </c:pt>
                <c:pt idx="17">
                  <c:v>0.29380000000000001</c:v>
                </c:pt>
                <c:pt idx="18">
                  <c:v>0.29380000000000001</c:v>
                </c:pt>
                <c:pt idx="19">
                  <c:v>0.29500000000000004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6-4F9D-A084-E0A6CA914929}"/>
            </c:ext>
          </c:extLst>
        </c:ser>
        <c:ser>
          <c:idx val="3"/>
          <c:order val="3"/>
          <c:tx>
            <c:strRef>
              <c:f>Timing!$E$1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Timing!$E$2:$E$21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33112"/>
        <c:axId val="477529832"/>
      </c:barChart>
      <c:barChart>
        <c:barDir val="col"/>
        <c:grouping val="clustered"/>
        <c:varyColors val="0"/>
        <c:ser>
          <c:idx val="4"/>
          <c:order val="4"/>
          <c:tx>
            <c:strRef>
              <c:f>Timing!$F$1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Timing!$F$2:$F$21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9346-4F9D-A084-E0A6CA914929}"/>
            </c:ext>
          </c:extLst>
        </c:ser>
        <c:ser>
          <c:idx val="5"/>
          <c:order val="5"/>
          <c:tx>
            <c:strRef>
              <c:f>Timing!$G$1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Timing!$G$2:$G$21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9346-4F9D-A084-E0A6CA914929}"/>
            </c:ext>
          </c:extLst>
        </c:ser>
        <c:ser>
          <c:idx val="6"/>
          <c:order val="6"/>
          <c:tx>
            <c:strRef>
              <c:f>Timing!$H$1</c:f>
              <c:strCache>
                <c:ptCount val="1"/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Timing!$H$2:$H$21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9346-4F9D-A084-E0A6CA914929}"/>
            </c:ext>
          </c:extLst>
        </c:ser>
        <c:ser>
          <c:idx val="7"/>
          <c:order val="7"/>
          <c:tx>
            <c:strRef>
              <c:f>Timing!$I$1</c:f>
              <c:strCache>
                <c:ptCount val="1"/>
                <c:pt idx="0">
                  <c:v>Right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Timing!$I$2:$I$21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9346-4F9D-A084-E0A6CA914929}"/>
            </c:ext>
          </c:extLst>
        </c:ser>
        <c:ser>
          <c:idx val="8"/>
          <c:order val="8"/>
          <c:tx>
            <c:strRef>
              <c:f>Timing!$J$1</c:f>
              <c:strCache>
                <c:ptCount val="1"/>
                <c:pt idx="0">
                  <c:v>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Timing!$J$2:$J$21</c:f>
              <c:numCache>
                <c:formatCode>General</c:formatCode>
                <c:ptCount val="20"/>
                <c:pt idx="0">
                  <c:v>199.9434</c:v>
                </c:pt>
                <c:pt idx="1">
                  <c:v>202.02459999999999</c:v>
                </c:pt>
                <c:pt idx="2">
                  <c:v>202.14519999999999</c:v>
                </c:pt>
                <c:pt idx="3">
                  <c:v>200.9006</c:v>
                </c:pt>
                <c:pt idx="4">
                  <c:v>202.012</c:v>
                </c:pt>
                <c:pt idx="5">
                  <c:v>201.78599999999997</c:v>
                </c:pt>
                <c:pt idx="6">
                  <c:v>199.99579999999997</c:v>
                </c:pt>
                <c:pt idx="7">
                  <c:v>201.45499999999998</c:v>
                </c:pt>
                <c:pt idx="8">
                  <c:v>201.36160000000001</c:v>
                </c:pt>
                <c:pt idx="9">
                  <c:v>202.54619999999994</c:v>
                </c:pt>
                <c:pt idx="10">
                  <c:v>200.0514</c:v>
                </c:pt>
                <c:pt idx="11">
                  <c:v>200.60939999999999</c:v>
                </c:pt>
                <c:pt idx="12">
                  <c:v>200.47879999999998</c:v>
                </c:pt>
                <c:pt idx="13">
                  <c:v>203.65479999999999</c:v>
                </c:pt>
                <c:pt idx="14">
                  <c:v>202.86579999999998</c:v>
                </c:pt>
                <c:pt idx="15">
                  <c:v>201.82739999999998</c:v>
                </c:pt>
                <c:pt idx="16">
                  <c:v>200.62719999999999</c:v>
                </c:pt>
                <c:pt idx="17">
                  <c:v>202.40899999999999</c:v>
                </c:pt>
                <c:pt idx="18">
                  <c:v>201.20320000000001</c:v>
                </c:pt>
                <c:pt idx="19">
                  <c:v>201.6052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28888"/>
        <c:axId val="411439712"/>
      </c:barChart>
      <c:catAx>
        <c:axId val="47753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File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9832"/>
        <c:crosses val="autoZero"/>
        <c:auto val="1"/>
        <c:lblAlgn val="ctr"/>
        <c:lblOffset val="100"/>
        <c:noMultiLvlLbl val="0"/>
      </c:catAx>
      <c:valAx>
        <c:axId val="4775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3112"/>
        <c:crosses val="autoZero"/>
        <c:crossBetween val="between"/>
      </c:valAx>
      <c:valAx>
        <c:axId val="411439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8888"/>
        <c:crosses val="max"/>
        <c:crossBetween val="between"/>
      </c:valAx>
      <c:catAx>
        <c:axId val="411428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439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Iris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Budget Kernel Perceptron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Timing!$C$22:$C$23</c:f>
              <c:numCache>
                <c:formatCode>General</c:formatCode>
                <c:ptCount val="2"/>
                <c:pt idx="0">
                  <c:v>4.9999999999999992E-3</c:v>
                </c:pt>
                <c:pt idx="1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8-4DCB-8A87-ACC09B9D146B}"/>
            </c:ext>
          </c:extLst>
        </c:ser>
        <c:ser>
          <c:idx val="2"/>
          <c:order val="2"/>
          <c:tx>
            <c:v>Description 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Timing!$D$22:$D$23</c:f>
              <c:numCache>
                <c:formatCode>General</c:formatCode>
                <c:ptCount val="2"/>
                <c:pt idx="0">
                  <c:v>4.2000000000000006E-3</c:v>
                </c:pt>
                <c:pt idx="1">
                  <c:v>6.8000000000000005E-3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8-4DCB-8A87-ACC09B9D146B}"/>
            </c:ext>
          </c:extLst>
        </c:ser>
        <c:ser>
          <c:idx val="8"/>
          <c:order val="8"/>
          <c:tx>
            <c:v>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Timing!$J$22:$J$23</c:f>
              <c:numCache>
                <c:formatCode>General</c:formatCode>
                <c:ptCount val="2"/>
                <c:pt idx="0">
                  <c:v>8.7200000000000014E-2</c:v>
                </c:pt>
                <c:pt idx="1">
                  <c:v>0.22080000000000002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8-4DCB-8A87-ACC09B9D1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991744"/>
        <c:axId val="408990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Timing!$B$22:$B$23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F8-4DCB-8A87-ACC09B9D146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Timing!$E$22:$E$23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F8-4DCB-8A87-ACC09B9D146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Timing!$F$22:$F$23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EF8-4DCB-8A87-ACC09B9D146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Timing!$G$22:$G$23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EF8-4DCB-8A87-ACC09B9D146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Timing!$H$22:$H$23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EF8-4DCB-8A87-ACC09B9D146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Timing!$I$22:$I$23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EF8-4DCB-8A87-ACC09B9D146B}"/>
                  </c:ext>
                </c:extLst>
              </c15:ser>
            </c15:filteredBarSeries>
          </c:ext>
        </c:extLst>
      </c:barChart>
      <c:catAx>
        <c:axId val="4089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0104"/>
        <c:crosses val="autoZero"/>
        <c:auto val="1"/>
        <c:lblAlgn val="ctr"/>
        <c:lblOffset val="100"/>
        <c:noMultiLvlLbl val="0"/>
      </c:catAx>
      <c:valAx>
        <c:axId val="4089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36</xdr:row>
      <xdr:rowOff>147636</xdr:rowOff>
    </xdr:from>
    <xdr:to>
      <xdr:col>9</xdr:col>
      <xdr:colOff>790575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C45E-961E-4730-B68B-6091AB12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328610</xdr:colOff>
      <xdr:row>25</xdr:row>
      <xdr:rowOff>128586</xdr:rowOff>
    </xdr:from>
    <xdr:to>
      <xdr:col>15</xdr:col>
      <xdr:colOff>523875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D0512-1A6C-4027-A10A-532752EC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9</xdr:row>
      <xdr:rowOff>61912</xdr:rowOff>
    </xdr:from>
    <xdr:to>
      <xdr:col>18</xdr:col>
      <xdr:colOff>14287</xdr:colOff>
      <xdr:row>23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BEBAB-2563-4BCE-A8C0-37382E2AA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opLeftCell="A16" workbookViewId="0">
      <selection activeCell="H31" sqref="H31"/>
    </sheetView>
  </sheetViews>
  <sheetFormatPr defaultRowHeight="15" x14ac:dyDescent="0.25"/>
  <cols>
    <col min="1" max="1" width="21" customWidth="1"/>
    <col min="2" max="2" width="18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9" si="0">ABS(B2-C2)</f>
        <v>0</v>
      </c>
      <c r="E2" s="2">
        <v>1</v>
      </c>
      <c r="F2" s="2">
        <v>1</v>
      </c>
      <c r="G2" s="2">
        <f t="shared" ref="G2:G3" si="1">ABS(E2-F2)</f>
        <v>0</v>
      </c>
      <c r="H2" s="2">
        <v>1</v>
      </c>
      <c r="I2" s="2">
        <v>1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H3" s="2">
        <v>1</v>
      </c>
      <c r="I3" s="2">
        <v>1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H4" s="2">
        <v>0.54139999999999999</v>
      </c>
      <c r="I4" s="2">
        <v>0.50980000000000003</v>
      </c>
      <c r="J4" s="2">
        <f>ABS(H4-I4)</f>
        <v>3.1599999999999961E-2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6" si="3">ABS(E5-F5)</f>
        <v>4.0799999999999947E-2</v>
      </c>
      <c r="H5" s="2">
        <v>0.55169999999999997</v>
      </c>
      <c r="I5" s="2">
        <v>0.51090000000000002</v>
      </c>
      <c r="J5" s="2">
        <f t="shared" ref="J5:J26" si="4">ABS(H5-I5)</f>
        <v>4.0799999999999947E-2</v>
      </c>
    </row>
    <row r="6" spans="1:10" s="2" customFormat="1" x14ac:dyDescent="0.25"/>
    <row r="7" spans="1:10" x14ac:dyDescent="0.25">
      <c r="A7">
        <v>1</v>
      </c>
      <c r="B7">
        <v>0.96599999999999997</v>
      </c>
      <c r="C7">
        <v>0.96299999999999997</v>
      </c>
      <c r="D7">
        <f t="shared" si="0"/>
        <v>3.0000000000000027E-3</v>
      </c>
      <c r="E7">
        <v>0.96599999999999997</v>
      </c>
      <c r="F7">
        <v>0.96299999999999997</v>
      </c>
      <c r="G7">
        <f t="shared" si="3"/>
        <v>3.0000000000000027E-3</v>
      </c>
      <c r="H7">
        <v>0.96199999999999997</v>
      </c>
      <c r="I7">
        <v>0.97099999999999997</v>
      </c>
      <c r="J7">
        <f t="shared" si="4"/>
        <v>9.000000000000008E-3</v>
      </c>
    </row>
    <row r="8" spans="1:10" x14ac:dyDescent="0.25">
      <c r="A8">
        <v>2</v>
      </c>
      <c r="B8">
        <v>1</v>
      </c>
      <c r="C8">
        <v>0.997</v>
      </c>
      <c r="D8">
        <f t="shared" si="0"/>
        <v>3.0000000000000027E-3</v>
      </c>
      <c r="E8">
        <v>1</v>
      </c>
      <c r="F8">
        <v>0.997</v>
      </c>
      <c r="G8">
        <f t="shared" si="3"/>
        <v>3.0000000000000027E-3</v>
      </c>
      <c r="H8">
        <v>0.93600000000000005</v>
      </c>
      <c r="I8">
        <v>0.94199999999999995</v>
      </c>
      <c r="J8">
        <f t="shared" si="4"/>
        <v>5.9999999999998943E-3</v>
      </c>
    </row>
    <row r="9" spans="1:10" s="1" customFormat="1" x14ac:dyDescent="0.25">
      <c r="A9" s="1">
        <v>3</v>
      </c>
      <c r="B9" s="1">
        <v>0.99399999999999999</v>
      </c>
      <c r="C9" s="1">
        <v>0.99299999999999999</v>
      </c>
      <c r="D9" s="1">
        <f t="shared" si="0"/>
        <v>1.0000000000000009E-3</v>
      </c>
      <c r="E9" s="1">
        <v>0.99399999999999999</v>
      </c>
      <c r="F9" s="1">
        <v>0.99299999999999999</v>
      </c>
      <c r="G9" s="1">
        <f t="shared" si="3"/>
        <v>1.0000000000000009E-3</v>
      </c>
      <c r="H9" s="1">
        <v>0.99399999999999999</v>
      </c>
      <c r="I9" s="1">
        <v>0.99299999999999999</v>
      </c>
      <c r="J9" s="1">
        <f t="shared" si="4"/>
        <v>1.0000000000000009E-3</v>
      </c>
    </row>
    <row r="10" spans="1:10" x14ac:dyDescent="0.25">
      <c r="A10">
        <v>4</v>
      </c>
      <c r="B10">
        <v>0.98899999999999999</v>
      </c>
      <c r="C10">
        <v>0.999</v>
      </c>
      <c r="D10">
        <f>ABS(B10-C10)</f>
        <v>1.0000000000000009E-2</v>
      </c>
      <c r="E10">
        <v>0.98899999999999999</v>
      </c>
      <c r="F10">
        <v>0.999</v>
      </c>
      <c r="G10">
        <f t="shared" si="3"/>
        <v>1.0000000000000009E-2</v>
      </c>
      <c r="H10">
        <v>0.96199999999999997</v>
      </c>
      <c r="I10">
        <v>0.96099999999999997</v>
      </c>
      <c r="J10">
        <f t="shared" si="4"/>
        <v>1.0000000000000009E-3</v>
      </c>
    </row>
    <row r="11" spans="1:10" x14ac:dyDescent="0.25">
      <c r="A11">
        <v>5</v>
      </c>
      <c r="B11">
        <v>0.96699999999999997</v>
      </c>
      <c r="C11">
        <v>0.97799999999999998</v>
      </c>
      <c r="D11">
        <f t="shared" ref="D11:D26" si="5">ABS(B11-C11)</f>
        <v>1.100000000000001E-2</v>
      </c>
      <c r="E11">
        <v>0.96699999999999997</v>
      </c>
      <c r="F11">
        <v>0.97799999999999998</v>
      </c>
      <c r="G11">
        <f t="shared" si="3"/>
        <v>1.100000000000001E-2</v>
      </c>
      <c r="H11">
        <v>0.96899999999999997</v>
      </c>
      <c r="I11">
        <v>0.97899999999999998</v>
      </c>
      <c r="J11">
        <f t="shared" si="4"/>
        <v>1.0000000000000009E-2</v>
      </c>
    </row>
    <row r="12" spans="1:10" x14ac:dyDescent="0.25">
      <c r="A12">
        <v>6</v>
      </c>
      <c r="B12">
        <v>0.98399999999999999</v>
      </c>
      <c r="C12">
        <v>0.98899999999999999</v>
      </c>
      <c r="D12">
        <f t="shared" si="5"/>
        <v>5.0000000000000044E-3</v>
      </c>
      <c r="E12">
        <v>0.98399999999999999</v>
      </c>
      <c r="F12">
        <v>0.98899999999999999</v>
      </c>
      <c r="G12">
        <f t="shared" si="3"/>
        <v>5.0000000000000044E-3</v>
      </c>
      <c r="H12">
        <v>0.98299999999999998</v>
      </c>
      <c r="I12">
        <v>0.99</v>
      </c>
      <c r="J12">
        <f t="shared" si="4"/>
        <v>7.0000000000000062E-3</v>
      </c>
    </row>
    <row r="13" spans="1:10" x14ac:dyDescent="0.25">
      <c r="A13">
        <v>7</v>
      </c>
      <c r="B13">
        <v>0.98799999999999999</v>
      </c>
      <c r="C13">
        <v>0.98599999999999999</v>
      </c>
      <c r="D13">
        <f t="shared" si="5"/>
        <v>2.0000000000000018E-3</v>
      </c>
      <c r="E13">
        <v>0.98799999999999999</v>
      </c>
      <c r="F13">
        <v>0.98599999999999999</v>
      </c>
      <c r="G13">
        <f t="shared" si="3"/>
        <v>2.0000000000000018E-3</v>
      </c>
      <c r="H13">
        <v>0.97299999999999998</v>
      </c>
      <c r="I13">
        <v>0.96199999999999997</v>
      </c>
      <c r="J13">
        <f t="shared" si="4"/>
        <v>1.100000000000001E-2</v>
      </c>
    </row>
    <row r="14" spans="1:10" x14ac:dyDescent="0.25">
      <c r="A14">
        <v>8</v>
      </c>
      <c r="B14">
        <v>0.996</v>
      </c>
      <c r="C14">
        <v>0.996</v>
      </c>
      <c r="D14">
        <f t="shared" si="5"/>
        <v>0</v>
      </c>
      <c r="E14">
        <v>0.996</v>
      </c>
      <c r="F14">
        <v>0.996</v>
      </c>
      <c r="G14">
        <f t="shared" si="3"/>
        <v>0</v>
      </c>
      <c r="H14">
        <v>0.95799999999999996</v>
      </c>
      <c r="I14">
        <v>0.97199999999999998</v>
      </c>
      <c r="J14">
        <f t="shared" si="4"/>
        <v>1.4000000000000012E-2</v>
      </c>
    </row>
    <row r="15" spans="1:10" x14ac:dyDescent="0.25">
      <c r="A15">
        <v>9</v>
      </c>
      <c r="B15">
        <v>0.97399999999999998</v>
      </c>
      <c r="C15">
        <v>0.97299999999999998</v>
      </c>
      <c r="D15">
        <f t="shared" si="5"/>
        <v>1.0000000000000009E-3</v>
      </c>
      <c r="E15">
        <v>0.97399999999999998</v>
      </c>
      <c r="F15">
        <v>0.97299999999999998</v>
      </c>
      <c r="G15">
        <f t="shared" si="3"/>
        <v>1.0000000000000009E-3</v>
      </c>
      <c r="H15">
        <v>0.98799999999999999</v>
      </c>
      <c r="I15">
        <v>0.98199999999999998</v>
      </c>
      <c r="J15">
        <f t="shared" si="4"/>
        <v>6.0000000000000053E-3</v>
      </c>
    </row>
    <row r="16" spans="1:10" x14ac:dyDescent="0.25">
      <c r="A16">
        <v>10</v>
      </c>
      <c r="B16">
        <v>0.998</v>
      </c>
      <c r="C16">
        <v>0.999</v>
      </c>
      <c r="D16">
        <f t="shared" si="5"/>
        <v>1.0000000000000009E-3</v>
      </c>
      <c r="E16">
        <v>0.998</v>
      </c>
      <c r="F16">
        <v>0.999</v>
      </c>
      <c r="G16">
        <f t="shared" si="3"/>
        <v>1.0000000000000009E-3</v>
      </c>
      <c r="H16">
        <v>0.95399999999999996</v>
      </c>
      <c r="I16">
        <v>0.94799999999999995</v>
      </c>
      <c r="J16">
        <f t="shared" si="4"/>
        <v>6.0000000000000053E-3</v>
      </c>
    </row>
    <row r="17" spans="1:10" x14ac:dyDescent="0.25">
      <c r="A17">
        <v>11</v>
      </c>
      <c r="B17">
        <v>0.98199999999999998</v>
      </c>
      <c r="C17">
        <v>0.97699999999999998</v>
      </c>
      <c r="D17">
        <f t="shared" si="5"/>
        <v>5.0000000000000044E-3</v>
      </c>
      <c r="E17">
        <v>0.98199999999999998</v>
      </c>
      <c r="F17">
        <v>0.97699999999999998</v>
      </c>
      <c r="G17">
        <f t="shared" si="3"/>
        <v>5.0000000000000044E-3</v>
      </c>
      <c r="H17">
        <v>0.95399999999999996</v>
      </c>
      <c r="I17">
        <v>0.95599999999999996</v>
      </c>
      <c r="J17">
        <f t="shared" si="4"/>
        <v>2.0000000000000018E-3</v>
      </c>
    </row>
    <row r="18" spans="1:10" x14ac:dyDescent="0.25">
      <c r="A18">
        <v>12</v>
      </c>
      <c r="B18">
        <v>0.98799999999999999</v>
      </c>
      <c r="C18">
        <v>0.98199999999999998</v>
      </c>
      <c r="D18">
        <f t="shared" si="5"/>
        <v>6.0000000000000053E-3</v>
      </c>
      <c r="E18">
        <v>0.98799999999999999</v>
      </c>
      <c r="F18">
        <v>0.98199999999999998</v>
      </c>
      <c r="G18">
        <f t="shared" si="3"/>
        <v>6.0000000000000053E-3</v>
      </c>
      <c r="H18">
        <v>0.95199999999999996</v>
      </c>
      <c r="I18">
        <v>0.95</v>
      </c>
      <c r="J18">
        <f t="shared" si="4"/>
        <v>2.0000000000000018E-3</v>
      </c>
    </row>
    <row r="19" spans="1:10" x14ac:dyDescent="0.25">
      <c r="A19">
        <v>13</v>
      </c>
      <c r="B19">
        <v>0.98</v>
      </c>
      <c r="C19">
        <v>0.97299999999999998</v>
      </c>
      <c r="D19">
        <f t="shared" si="5"/>
        <v>7.0000000000000062E-3</v>
      </c>
      <c r="E19">
        <v>0.98</v>
      </c>
      <c r="F19">
        <v>0.97299999999999998</v>
      </c>
      <c r="G19">
        <f t="shared" si="3"/>
        <v>7.0000000000000062E-3</v>
      </c>
      <c r="H19">
        <v>0.97699999999999998</v>
      </c>
      <c r="I19">
        <v>0.97399999999999998</v>
      </c>
      <c r="J19">
        <f t="shared" si="4"/>
        <v>3.0000000000000027E-3</v>
      </c>
    </row>
    <row r="20" spans="1:10" s="1" customFormat="1" x14ac:dyDescent="0.25">
      <c r="A20" s="1">
        <v>14</v>
      </c>
      <c r="B20" s="1">
        <v>1</v>
      </c>
      <c r="C20" s="1">
        <v>0.99399999999999999</v>
      </c>
      <c r="D20" s="1">
        <f t="shared" si="5"/>
        <v>6.0000000000000053E-3</v>
      </c>
      <c r="E20" s="1">
        <v>1</v>
      </c>
      <c r="F20" s="1">
        <v>0.99399999999999999</v>
      </c>
      <c r="G20" s="1">
        <f t="shared" si="3"/>
        <v>6.0000000000000053E-3</v>
      </c>
      <c r="H20" s="1">
        <v>1</v>
      </c>
      <c r="I20" s="1">
        <v>0.99399999999999999</v>
      </c>
      <c r="J20" s="1">
        <f t="shared" si="4"/>
        <v>6.0000000000000053E-3</v>
      </c>
    </row>
    <row r="21" spans="1:10" x14ac:dyDescent="0.25">
      <c r="A21">
        <v>15</v>
      </c>
      <c r="B21">
        <v>0.997</v>
      </c>
      <c r="C21">
        <v>0.998</v>
      </c>
      <c r="D21">
        <f t="shared" si="5"/>
        <v>1.0000000000000009E-3</v>
      </c>
      <c r="E21">
        <v>0.997</v>
      </c>
      <c r="F21">
        <v>0.998</v>
      </c>
      <c r="G21">
        <f t="shared" si="3"/>
        <v>1.0000000000000009E-3</v>
      </c>
      <c r="H21">
        <v>0.99</v>
      </c>
      <c r="I21">
        <v>0.98899999999999999</v>
      </c>
      <c r="J21">
        <f t="shared" si="4"/>
        <v>1.0000000000000009E-3</v>
      </c>
    </row>
    <row r="22" spans="1:10" x14ac:dyDescent="0.25">
      <c r="A22">
        <v>16</v>
      </c>
      <c r="B22">
        <v>0.94499999999999995</v>
      </c>
      <c r="C22">
        <v>0.94499999999999995</v>
      </c>
      <c r="D22">
        <f t="shared" si="5"/>
        <v>0</v>
      </c>
      <c r="E22">
        <v>0.94499999999999995</v>
      </c>
      <c r="F22">
        <v>0.94499999999999995</v>
      </c>
      <c r="G22">
        <f t="shared" si="3"/>
        <v>0</v>
      </c>
      <c r="H22">
        <v>0.96299999999999997</v>
      </c>
      <c r="I22">
        <v>0.95799999999999996</v>
      </c>
      <c r="J22">
        <f t="shared" si="4"/>
        <v>5.0000000000000044E-3</v>
      </c>
    </row>
    <row r="23" spans="1:10" x14ac:dyDescent="0.25">
      <c r="A23">
        <v>17</v>
      </c>
      <c r="B23">
        <v>0.98799999999999999</v>
      </c>
      <c r="C23">
        <v>0.98699999999999999</v>
      </c>
      <c r="D23">
        <f t="shared" si="5"/>
        <v>1.0000000000000009E-3</v>
      </c>
      <c r="E23">
        <v>0.98799999999999999</v>
      </c>
      <c r="F23">
        <v>0.98699999999999999</v>
      </c>
      <c r="G23">
        <f t="shared" si="3"/>
        <v>1.0000000000000009E-3</v>
      </c>
      <c r="H23">
        <v>0.996</v>
      </c>
      <c r="I23">
        <v>0.99</v>
      </c>
      <c r="J23">
        <f t="shared" si="4"/>
        <v>6.0000000000000053E-3</v>
      </c>
    </row>
    <row r="24" spans="1:10" x14ac:dyDescent="0.25">
      <c r="A24">
        <v>18</v>
      </c>
      <c r="B24">
        <v>0.997</v>
      </c>
      <c r="C24">
        <v>0.99299999999999999</v>
      </c>
      <c r="D24">
        <f t="shared" si="5"/>
        <v>4.0000000000000036E-3</v>
      </c>
      <c r="E24">
        <v>0.997</v>
      </c>
      <c r="F24">
        <v>0.99299999999999999</v>
      </c>
      <c r="G24">
        <f t="shared" si="3"/>
        <v>4.0000000000000036E-3</v>
      </c>
      <c r="H24">
        <v>0.93500000000000005</v>
      </c>
      <c r="I24">
        <v>0.92800000000000005</v>
      </c>
      <c r="J24">
        <f t="shared" si="4"/>
        <v>7.0000000000000062E-3</v>
      </c>
    </row>
    <row r="25" spans="1:10" x14ac:dyDescent="0.25">
      <c r="A25">
        <v>19</v>
      </c>
      <c r="B25">
        <v>1</v>
      </c>
      <c r="C25">
        <v>0.997</v>
      </c>
      <c r="D25">
        <f t="shared" si="5"/>
        <v>3.0000000000000027E-3</v>
      </c>
      <c r="E25">
        <v>1</v>
      </c>
      <c r="F25">
        <v>0.997</v>
      </c>
      <c r="G25">
        <f t="shared" si="3"/>
        <v>3.0000000000000027E-3</v>
      </c>
      <c r="H25">
        <v>0.97599999999999998</v>
      </c>
      <c r="I25">
        <v>0.98</v>
      </c>
      <c r="J25">
        <f t="shared" si="4"/>
        <v>4.0000000000000036E-3</v>
      </c>
    </row>
    <row r="26" spans="1:10" x14ac:dyDescent="0.25">
      <c r="A26">
        <v>20</v>
      </c>
      <c r="B26">
        <v>0.98899999999999999</v>
      </c>
      <c r="C26">
        <v>0.997</v>
      </c>
      <c r="D26">
        <f t="shared" si="5"/>
        <v>8.0000000000000071E-3</v>
      </c>
      <c r="E26">
        <v>0.98899999999999999</v>
      </c>
      <c r="F26">
        <v>0.997</v>
      </c>
      <c r="G26">
        <f t="shared" si="3"/>
        <v>8.0000000000000071E-3</v>
      </c>
      <c r="H26">
        <v>0.96099999999999997</v>
      </c>
      <c r="I26">
        <v>0.95499999999999996</v>
      </c>
      <c r="J26">
        <f t="shared" si="4"/>
        <v>6.0000000000000053E-3</v>
      </c>
    </row>
    <row r="28" spans="1:10" x14ac:dyDescent="0.25">
      <c r="A28" t="s">
        <v>30</v>
      </c>
      <c r="B28">
        <v>0.82799999999999996</v>
      </c>
      <c r="C28">
        <v>0.68630000000000002</v>
      </c>
      <c r="D28">
        <f>B28-C28</f>
        <v>0.14169999999999994</v>
      </c>
      <c r="E28">
        <v>0.54139999999999999</v>
      </c>
      <c r="F28">
        <v>0.50980000000000003</v>
      </c>
      <c r="G28">
        <f>E28-F28</f>
        <v>3.1599999999999961E-2</v>
      </c>
      <c r="H28">
        <v>0.54779999999999995</v>
      </c>
      <c r="I28">
        <v>0.50980000000000003</v>
      </c>
      <c r="J28">
        <f>H28-I28</f>
        <v>3.7999999999999923E-2</v>
      </c>
    </row>
    <row r="29" spans="1:10" x14ac:dyDescent="0.25">
      <c r="A29" t="s">
        <v>31</v>
      </c>
      <c r="B29">
        <v>1</v>
      </c>
      <c r="C29">
        <v>0.70650000000000002</v>
      </c>
      <c r="D29">
        <f>B29-C29</f>
        <v>0.29349999999999998</v>
      </c>
      <c r="E29">
        <v>0.55169999999999997</v>
      </c>
      <c r="F29">
        <v>0.51090000000000002</v>
      </c>
      <c r="G29">
        <f>E29-F29</f>
        <v>4.0799999999999947E-2</v>
      </c>
      <c r="H29">
        <v>0.55169999999999997</v>
      </c>
      <c r="I29">
        <v>0.51090000000000002</v>
      </c>
      <c r="J29">
        <f>H29-I29</f>
        <v>4.0799999999999947E-2</v>
      </c>
    </row>
    <row r="30" spans="1:10" x14ac:dyDescent="0.25">
      <c r="H30" t="s">
        <v>48</v>
      </c>
    </row>
    <row r="31" spans="1:10" x14ac:dyDescent="0.25">
      <c r="A31" t="s">
        <v>42</v>
      </c>
      <c r="B31">
        <v>0.84079999999999999</v>
      </c>
      <c r="C31">
        <v>0.82350000000000001</v>
      </c>
      <c r="D31">
        <f>B31-C31</f>
        <v>1.7299999999999982E-2</v>
      </c>
    </row>
    <row r="32" spans="1:10" x14ac:dyDescent="0.25">
      <c r="A32" t="s">
        <v>43</v>
      </c>
      <c r="B32">
        <v>1</v>
      </c>
      <c r="C32">
        <v>0.69569999999999999</v>
      </c>
      <c r="D32">
        <f>B32-C32</f>
        <v>0.30430000000000001</v>
      </c>
    </row>
    <row r="33" spans="1:7" x14ac:dyDescent="0.25">
      <c r="A33" t="s">
        <v>42</v>
      </c>
      <c r="D33" t="s">
        <v>47</v>
      </c>
      <c r="E33">
        <v>0.85350000000000004</v>
      </c>
      <c r="F33">
        <v>0.82350000000000001</v>
      </c>
      <c r="G33">
        <f>E33-F33</f>
        <v>3.0000000000000027E-2</v>
      </c>
    </row>
    <row r="34" spans="1:7" x14ac:dyDescent="0.25">
      <c r="A34" t="s">
        <v>43</v>
      </c>
      <c r="D34" t="s">
        <v>44</v>
      </c>
      <c r="E34">
        <v>1</v>
      </c>
      <c r="F34">
        <v>0.69569999999999999</v>
      </c>
      <c r="G34">
        <f t="shared" ref="G34:G36" si="6">E34-F34</f>
        <v>0.30430000000000001</v>
      </c>
    </row>
    <row r="35" spans="1:7" x14ac:dyDescent="0.25">
      <c r="A35" t="s">
        <v>42</v>
      </c>
      <c r="D35" t="s">
        <v>46</v>
      </c>
      <c r="E35">
        <v>0.54139999999999999</v>
      </c>
      <c r="F35">
        <v>0.50980000000000003</v>
      </c>
      <c r="G35">
        <f t="shared" si="6"/>
        <v>3.1599999999999961E-2</v>
      </c>
    </row>
    <row r="36" spans="1:7" x14ac:dyDescent="0.25">
      <c r="A36" t="s">
        <v>43</v>
      </c>
      <c r="D36" t="s">
        <v>45</v>
      </c>
      <c r="E36">
        <v>0.55169999999999997</v>
      </c>
      <c r="F36">
        <v>0.51090000000000002</v>
      </c>
      <c r="G36">
        <f t="shared" si="6"/>
        <v>4.0799999999999947E-2</v>
      </c>
    </row>
    <row r="38" spans="1:7" x14ac:dyDescent="0.25">
      <c r="B38" t="s">
        <v>14</v>
      </c>
      <c r="D38">
        <f>SUM(B7:B26)/20</f>
        <v>0.98610000000000009</v>
      </c>
    </row>
    <row r="39" spans="1:7" x14ac:dyDescent="0.25">
      <c r="B39" t="s">
        <v>15</v>
      </c>
      <c r="D39">
        <f>SUM(C7:C26)/20</f>
        <v>0.9857999999999999</v>
      </c>
    </row>
    <row r="40" spans="1:7" x14ac:dyDescent="0.25">
      <c r="B40" t="s">
        <v>16</v>
      </c>
      <c r="D40">
        <f>SUM(D7:D26)/20</f>
        <v>3.9000000000000033E-3</v>
      </c>
    </row>
    <row r="42" spans="1:7" x14ac:dyDescent="0.25">
      <c r="B42" t="s">
        <v>17</v>
      </c>
      <c r="D42">
        <f>SUM(E7:E26)/20</f>
        <v>0.98610000000000009</v>
      </c>
    </row>
    <row r="43" spans="1:7" x14ac:dyDescent="0.25">
      <c r="B43" t="s">
        <v>18</v>
      </c>
      <c r="D43">
        <f>SUM(F7:F26)/20</f>
        <v>0.9857999999999999</v>
      </c>
    </row>
    <row r="44" spans="1:7" x14ac:dyDescent="0.25">
      <c r="B44" t="s">
        <v>19</v>
      </c>
      <c r="D44">
        <f>SUM(G7:G26)/20</f>
        <v>3.9000000000000033E-3</v>
      </c>
    </row>
    <row r="46" spans="1:7" x14ac:dyDescent="0.25">
      <c r="B46" t="s">
        <v>20</v>
      </c>
      <c r="D46">
        <f>SUM(H7:H26)/20</f>
        <v>0.96914999999999973</v>
      </c>
    </row>
    <row r="47" spans="1:7" x14ac:dyDescent="0.25">
      <c r="B47" t="s">
        <v>21</v>
      </c>
      <c r="D47">
        <f>SUM(I7:I26)/20</f>
        <v>0.96869999999999989</v>
      </c>
    </row>
    <row r="48" spans="1:7" x14ac:dyDescent="0.25">
      <c r="B48" t="s">
        <v>22</v>
      </c>
      <c r="D48">
        <f>SUM(J7:J26)/20</f>
        <v>5.6499999999999996E-3</v>
      </c>
    </row>
    <row r="52" spans="1:4" x14ac:dyDescent="0.25">
      <c r="A52" t="s">
        <v>29</v>
      </c>
      <c r="B52" t="s">
        <v>23</v>
      </c>
      <c r="D52">
        <f>_xlfn.STDEV.S(D7:D26)</f>
        <v>3.2751054623437253E-3</v>
      </c>
    </row>
    <row r="53" spans="1:4" x14ac:dyDescent="0.25">
      <c r="A53" t="s">
        <v>29</v>
      </c>
      <c r="B53" t="s">
        <v>24</v>
      </c>
      <c r="D53">
        <f>_xlfn.STDEV.S(G7:G26)</f>
        <v>3.2751054623437253E-3</v>
      </c>
    </row>
    <row r="54" spans="1:4" x14ac:dyDescent="0.25">
      <c r="A54" t="s">
        <v>29</v>
      </c>
      <c r="B54" t="s">
        <v>25</v>
      </c>
      <c r="D54">
        <f>_xlfn.STDEV.S(J7:J26)</f>
        <v>3.513507768897813E-3</v>
      </c>
    </row>
    <row r="56" spans="1:4" x14ac:dyDescent="0.25">
      <c r="A56" t="s">
        <v>29</v>
      </c>
      <c r="B56" t="s">
        <v>26</v>
      </c>
      <c r="D56">
        <f>_xlfn.CONFIDENCE.NORM(0.05, D52, 20)</f>
        <v>1.4353518802548806E-3</v>
      </c>
    </row>
    <row r="57" spans="1:4" x14ac:dyDescent="0.25">
      <c r="A57" t="s">
        <v>29</v>
      </c>
      <c r="B57" t="s">
        <v>27</v>
      </c>
      <c r="D57">
        <f>_xlfn.CONFIDENCE.NORM(0.05,D53,20)</f>
        <v>1.4353518802548806E-3</v>
      </c>
    </row>
    <row r="58" spans="1:4" x14ac:dyDescent="0.25">
      <c r="A58" t="s">
        <v>29</v>
      </c>
      <c r="B58" t="s">
        <v>28</v>
      </c>
      <c r="D58">
        <f>_xlfn.CONFIDENCE.NORM(0.05, D54,20)</f>
        <v>1.5398343779649333E-3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718F-DF94-4DDA-BA48-1B1D5687EE31}">
  <dimension ref="A1:J25"/>
  <sheetViews>
    <sheetView tabSelected="1" topLeftCell="A9" workbookViewId="0">
      <selection activeCell="S19" sqref="S19"/>
    </sheetView>
  </sheetViews>
  <sheetFormatPr defaultRowHeight="15" x14ac:dyDescent="0.25"/>
  <cols>
    <col min="2" max="2" width="8.5703125" bestFit="1" customWidth="1"/>
    <col min="5" max="7" width="9.140625" customWidth="1"/>
    <col min="8" max="8" width="17.7109375" customWidth="1"/>
    <col min="9" max="9" width="9.5703125" customWidth="1"/>
  </cols>
  <sheetData>
    <row r="1" spans="1:10" x14ac:dyDescent="0.25">
      <c r="B1" t="s">
        <v>53</v>
      </c>
      <c r="C1" t="s">
        <v>56</v>
      </c>
      <c r="D1" t="s">
        <v>57</v>
      </c>
      <c r="I1" t="s">
        <v>54</v>
      </c>
      <c r="J1" t="s">
        <v>55</v>
      </c>
    </row>
    <row r="2" spans="1:10" x14ac:dyDescent="0.25">
      <c r="A2">
        <v>1</v>
      </c>
      <c r="C2">
        <f>(0.462+0.322+0.323+0.322+0.32)/5</f>
        <v>0.3498</v>
      </c>
      <c r="D2">
        <f>(0.409+0.267+0.265+0.267+0.265)/5</f>
        <v>0.29459999999999997</v>
      </c>
      <c r="J2">
        <f>(196.85+200.581+197.57+198.813+205.903)/5</f>
        <v>199.9434</v>
      </c>
    </row>
    <row r="3" spans="1:10" x14ac:dyDescent="0.25">
      <c r="A3">
        <v>2</v>
      </c>
      <c r="C3">
        <f>(0.448+0.317+0.319+0.316+0.318)/5</f>
        <v>0.34360000000000002</v>
      </c>
      <c r="D3">
        <f>(0.406+0.267+0.264+0.267+0.265)/5</f>
        <v>0.29380000000000006</v>
      </c>
      <c r="J3">
        <f>(201.912+200.987+201.092+199.391+206.741)/5</f>
        <v>202.02459999999999</v>
      </c>
    </row>
    <row r="4" spans="1:10" x14ac:dyDescent="0.25">
      <c r="A4">
        <v>3</v>
      </c>
      <c r="C4">
        <f>(0.452+0.316+0.321+0.318+0.318)/5</f>
        <v>0.34500000000000003</v>
      </c>
      <c r="D4">
        <f>(0.406+0.266+0.263+0.267+0.264)/5</f>
        <v>0.29320000000000002</v>
      </c>
      <c r="J4">
        <f>(202.428+200.622+199.961+199.999+207.716)/5</f>
        <v>202.14519999999999</v>
      </c>
    </row>
    <row r="5" spans="1:10" x14ac:dyDescent="0.25">
      <c r="A5">
        <v>4</v>
      </c>
      <c r="C5">
        <f>(0.453+0.319+0.319+0.318+0.319)/5</f>
        <v>0.34560000000000002</v>
      </c>
      <c r="D5">
        <f>(0.405+0.268+0.265+0.268+0.264)/5</f>
        <v>0.29399999999999998</v>
      </c>
      <c r="J5">
        <f>(199.584+199.628+199.387+199.64+206.264)/5</f>
        <v>200.9006</v>
      </c>
    </row>
    <row r="6" spans="1:10" x14ac:dyDescent="0.25">
      <c r="A6">
        <v>5</v>
      </c>
      <c r="C6">
        <f>(0.456+0.318+0.32+0.32+0.32)/5</f>
        <v>0.34680000000000005</v>
      </c>
      <c r="D6">
        <f>(0.408+0.266+0.265+0.268+0.266)/5</f>
        <v>0.29459999999999997</v>
      </c>
      <c r="J6">
        <f>(202.048+199.581+198.762+202.233+207.436)/5</f>
        <v>202.012</v>
      </c>
    </row>
    <row r="7" spans="1:10" x14ac:dyDescent="0.25">
      <c r="A7">
        <v>6</v>
      </c>
      <c r="C7">
        <f>(0.464+0.322+0.323+0.321+0.322)/5</f>
        <v>0.35039999999999999</v>
      </c>
      <c r="D7">
        <f>(0.41+0.267+0.266+0.266+0.263)/5</f>
        <v>0.2944</v>
      </c>
      <c r="J7">
        <f>(201.118+202.436+199.796+199.275+206.305)/5</f>
        <v>201.78599999999997</v>
      </c>
    </row>
    <row r="8" spans="1:10" x14ac:dyDescent="0.25">
      <c r="A8">
        <v>7</v>
      </c>
      <c r="C8">
        <f>(0.454+0.322+0.321+0.323+0.322)/5</f>
        <v>0.34839999999999999</v>
      </c>
      <c r="D8">
        <f>(0.404+0.268+0.263+0.266+0.266)/5</f>
        <v>0.29339999999999999</v>
      </c>
      <c r="J8">
        <f>(199.591+199.239+197.91+197.968+205.271)/5</f>
        <v>199.99579999999997</v>
      </c>
    </row>
    <row r="9" spans="1:10" x14ac:dyDescent="0.25">
      <c r="A9">
        <v>8</v>
      </c>
      <c r="C9">
        <f>(0.466+0.325+0.324+0.326+0.325)/5</f>
        <v>0.35320000000000001</v>
      </c>
      <c r="D9">
        <f>(0.406+0.268+0.266+0.269+0.266)/5</f>
        <v>0.29500000000000004</v>
      </c>
      <c r="J9">
        <f>(200.324+199.908+198.839+200.583+207.621)/5</f>
        <v>201.45499999999998</v>
      </c>
    </row>
    <row r="10" spans="1:10" x14ac:dyDescent="0.25">
      <c r="A10">
        <v>9</v>
      </c>
      <c r="C10">
        <f>(0.46+0.321+0.321+0.32+0.319)/5</f>
        <v>0.34820000000000001</v>
      </c>
      <c r="D10">
        <f>(0.407+0.266+0.264+0.267+0.264)/5</f>
        <v>0.29360000000000003</v>
      </c>
      <c r="J10">
        <f>(201.124+201.844+199.87+197.443+206.527)/5</f>
        <v>201.36160000000001</v>
      </c>
    </row>
    <row r="11" spans="1:10" x14ac:dyDescent="0.25">
      <c r="A11">
        <v>10</v>
      </c>
      <c r="C11">
        <f>(0.459+0.324+0.321+0.323+0.324)/5</f>
        <v>0.35020000000000001</v>
      </c>
      <c r="D11">
        <f>(0.405+0.269+0.263+0.267+0.265)/5</f>
        <v>0.29380000000000006</v>
      </c>
      <c r="J11">
        <f>(202.562+200.011+200.402+201.503+208.253)/5</f>
        <v>202.54619999999994</v>
      </c>
    </row>
    <row r="12" spans="1:10" x14ac:dyDescent="0.25">
      <c r="A12">
        <v>11</v>
      </c>
      <c r="C12">
        <f>(0.459+0.321+0.323+0.324+0.324)/5</f>
        <v>0.35020000000000001</v>
      </c>
      <c r="D12">
        <f>(0.405+0.268+0.265+0.269+0.264)/5</f>
        <v>0.29420000000000002</v>
      </c>
      <c r="J12">
        <f>(199.746+198.875+198.366+198.066+205.204)/5</f>
        <v>200.0514</v>
      </c>
    </row>
    <row r="13" spans="1:10" x14ac:dyDescent="0.25">
      <c r="A13">
        <v>12</v>
      </c>
      <c r="C13">
        <f>(0.455+0.321+0.322+0.321+0.324)/5</f>
        <v>0.34860000000000002</v>
      </c>
      <c r="D13">
        <f>(0.407+0.266+0.265+0.267+0.265)/5</f>
        <v>0.29400000000000004</v>
      </c>
      <c r="J13">
        <f>(200.343+198.52+199.919+197.629+206.636)/5</f>
        <v>200.60939999999999</v>
      </c>
    </row>
    <row r="14" spans="1:10" x14ac:dyDescent="0.25">
      <c r="A14">
        <v>13</v>
      </c>
      <c r="C14">
        <f>(0.458+0.323+0.322+0.322+0.321)/5</f>
        <v>0.34920000000000001</v>
      </c>
      <c r="D14">
        <f>(0.41+0.268+0.264+0.268+0.264)/5</f>
        <v>0.29480000000000001</v>
      </c>
      <c r="J14">
        <f>(200.139+201.385+197.294+197.214+206.362)/5</f>
        <v>200.47879999999998</v>
      </c>
    </row>
    <row r="15" spans="1:10" x14ac:dyDescent="0.25">
      <c r="A15">
        <v>14</v>
      </c>
      <c r="C15">
        <f>(0.451+0.316+0.321+0.318+0.316)/5</f>
        <v>0.34440000000000004</v>
      </c>
      <c r="D15">
        <f>(0.402+0.267+0.265+0.268+0.265)/5</f>
        <v>0.29339999999999999</v>
      </c>
      <c r="J15">
        <f>(202.604+201.954+202.032+201.117+210.567)/5</f>
        <v>203.65479999999999</v>
      </c>
    </row>
    <row r="16" spans="1:10" x14ac:dyDescent="0.25">
      <c r="A16">
        <v>15</v>
      </c>
      <c r="C16">
        <f>(0.456+0.317+0.321+0.316+0.321)/5</f>
        <v>0.34620000000000001</v>
      </c>
      <c r="D16">
        <f>(0.406+0.266+0.267+0.267+0.264)/5</f>
        <v>0.29399999999999998</v>
      </c>
      <c r="J16">
        <f>(204.526+202.242+198.686+198.7+210.175)/5</f>
        <v>202.86579999999998</v>
      </c>
    </row>
    <row r="17" spans="1:10" x14ac:dyDescent="0.25">
      <c r="A17">
        <v>16</v>
      </c>
      <c r="C17">
        <f>(0.46+0.324+0.363+0.322+0.321)/5</f>
        <v>0.35799999999999998</v>
      </c>
      <c r="D17">
        <f>(0.409+0.267+0.265+0.268+0.266)/5</f>
        <v>0.29500000000000004</v>
      </c>
      <c r="J17">
        <f>(201.14+199.529+198.682+200.472+209.314)/5</f>
        <v>201.82739999999998</v>
      </c>
    </row>
    <row r="18" spans="1:10" x14ac:dyDescent="0.25">
      <c r="A18">
        <v>17</v>
      </c>
      <c r="C18">
        <f>(0.458+0.32+0.323+0.321+0.324)/5</f>
        <v>0.34920000000000001</v>
      </c>
      <c r="D18">
        <f>(0.407+0.266+0.264+0.268+0.266)/5</f>
        <v>0.29420000000000002</v>
      </c>
      <c r="J18">
        <f>(200.815+196.99+200.107+197.42+207.804)/5</f>
        <v>200.62719999999999</v>
      </c>
    </row>
    <row r="19" spans="1:10" x14ac:dyDescent="0.25">
      <c r="A19">
        <v>18</v>
      </c>
      <c r="C19">
        <f>(0.459+0.323+0.32+0.322+0.322)/5</f>
        <v>0.34920000000000007</v>
      </c>
      <c r="D19">
        <f>(0.405+0.268+0.265+0.267+0.264)/5</f>
        <v>0.29380000000000001</v>
      </c>
      <c r="J19">
        <f>(201.124+201.456+200.643+200.159+208.663)/5</f>
        <v>202.40899999999999</v>
      </c>
    </row>
    <row r="20" spans="1:10" x14ac:dyDescent="0.25">
      <c r="A20">
        <v>19</v>
      </c>
      <c r="C20">
        <f>(0.458+0.319+0.32+0.32+0.321)/5</f>
        <v>0.34760000000000002</v>
      </c>
      <c r="D20">
        <f>(0.409+0.265+0.264+0.267+0.264)/5</f>
        <v>0.29380000000000001</v>
      </c>
      <c r="J20">
        <f>(200.642+199.833+199.627+199.624+206.29)/5</f>
        <v>201.20320000000001</v>
      </c>
    </row>
    <row r="21" spans="1:10" x14ac:dyDescent="0.25">
      <c r="A21">
        <v>20</v>
      </c>
      <c r="C21">
        <f>(0.459+0.322+0.322+0.323+0.323)/5</f>
        <v>0.3498</v>
      </c>
      <c r="D21">
        <f>(0.406+0.27+0.265+0.268+0.266)/5</f>
        <v>0.29500000000000004</v>
      </c>
      <c r="J21">
        <f>(202.236+200.64+198.093+200.082+206.975)/5</f>
        <v>201.6052</v>
      </c>
    </row>
    <row r="22" spans="1:10" x14ac:dyDescent="0.25">
      <c r="A22" t="s">
        <v>49</v>
      </c>
      <c r="C22">
        <f>(0.013+0.003+0.003+0.003+0.003)/5</f>
        <v>4.9999999999999992E-3</v>
      </c>
      <c r="D22">
        <f>(0.013+0.002+0.002+0.002+0.002)/5</f>
        <v>4.2000000000000006E-3</v>
      </c>
      <c r="J22">
        <f>(0.094+0.085+0.085+0.085+0.087)/5</f>
        <v>8.7200000000000014E-2</v>
      </c>
    </row>
    <row r="23" spans="1:10" x14ac:dyDescent="0.25">
      <c r="A23" t="s">
        <v>50</v>
      </c>
      <c r="C23">
        <f>(0.017+0.006+0.005+0.005+0.005)/5</f>
        <v>7.6E-3</v>
      </c>
      <c r="D23">
        <f>(0.017+0.005+0.004+0.004+0.004)/5</f>
        <v>6.8000000000000005E-3</v>
      </c>
      <c r="J23">
        <f>(0.232+0.218+0.22+0.218+0.216)/5</f>
        <v>0.22080000000000002</v>
      </c>
    </row>
    <row r="24" spans="1:10" x14ac:dyDescent="0.25">
      <c r="A24" t="s">
        <v>51</v>
      </c>
    </row>
    <row r="25" spans="1:10" x14ac:dyDescent="0.25">
      <c r="A25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E763-7B26-4572-B2E3-B397149B68CA}">
  <dimension ref="A1:E21"/>
  <sheetViews>
    <sheetView workbookViewId="0">
      <selection activeCell="F10" sqref="F10"/>
    </sheetView>
  </sheetViews>
  <sheetFormatPr defaultRowHeight="15" x14ac:dyDescent="0.25"/>
  <cols>
    <col min="3" max="3" width="17.140625" customWidth="1"/>
    <col min="4" max="4" width="17.42578125" customWidth="1"/>
    <col min="5" max="5" width="17.140625" customWidth="1"/>
  </cols>
  <sheetData>
    <row r="1" spans="1:5" x14ac:dyDescent="0.25">
      <c r="A1" t="s">
        <v>32</v>
      </c>
      <c r="C1" t="s">
        <v>38</v>
      </c>
      <c r="D1" t="s">
        <v>39</v>
      </c>
      <c r="E1" t="s">
        <v>40</v>
      </c>
    </row>
    <row r="2" spans="1:5" x14ac:dyDescent="0.25">
      <c r="A2">
        <v>0</v>
      </c>
      <c r="C2">
        <f>POWER(2,(E14*E21*32 +32*E14))*EXP(-2*A2^2*E14)</f>
        <v>3.4028236692093846E+38</v>
      </c>
      <c r="D2">
        <f>POWER(2,(32*E18+(1+E21*32)*E18))*EXP(-2*E15*A2^2)</f>
        <v>6.8056473384187693E+38</v>
      </c>
      <c r="E2">
        <f>POWER(2, (32+(1+E21*32)*E19))*EXP(-2*E16*A2^2)</f>
        <v>6.8056473384187693E+38</v>
      </c>
    </row>
    <row r="3" spans="1:5" x14ac:dyDescent="0.25">
      <c r="A3">
        <v>0.1</v>
      </c>
      <c r="C3">
        <f>POWER(2,(E14*E21*32 +32*E14))*EXP(-2*A3^2*E14)</f>
        <v>3.3354432460558638E+38</v>
      </c>
      <c r="D3">
        <f>POWER(2,(32*E18+(1+E21*32)*E18))*EXP(-2*E15*A3^2)</f>
        <v>1.4027484664621126E+30</v>
      </c>
      <c r="E3">
        <f>POWER(2, (32+(1+E21*32)*E19))*EXP(-2*E16*A3^2)</f>
        <v>1.4027484664621126E+30</v>
      </c>
    </row>
    <row r="4" spans="1:5" x14ac:dyDescent="0.25">
      <c r="A4">
        <v>0.2</v>
      </c>
      <c r="C4">
        <f>POWER(2,(E14*E21*32 +32*E14))*EXP(-2*A4^2*E14)</f>
        <v>3.1412021529185332E+38</v>
      </c>
      <c r="D4">
        <f>POWER(2,(32*E18+(1+E21*32)*E18))*EXP(-2*E15*A4^2)</f>
        <v>12283.182043931398</v>
      </c>
      <c r="E4">
        <f>POWER(2, (32+(1+E21*32)*E19))*EXP(-2*E16*A4^2)</f>
        <v>12283.182043931398</v>
      </c>
    </row>
    <row r="5" spans="1:5" x14ac:dyDescent="0.25">
      <c r="A5">
        <v>0.3</v>
      </c>
      <c r="C5">
        <f>POWER(2,(E14*E21*32 +32*E14))*EXP(-2*A5^2*E14)</f>
        <v>2.842277245575803E+38</v>
      </c>
      <c r="D5">
        <f>POWER(2,(32*E18+(1+E21*32)*E18))*EXP(-2*E15*A5^2)</f>
        <v>4.5694370430720351E-40</v>
      </c>
      <c r="E5">
        <f>POWER(2, (32+(1+E21*32)*E19))*EXP(-2*E16*A5^2)</f>
        <v>4.5694370430720351E-40</v>
      </c>
    </row>
    <row r="6" spans="1:5" x14ac:dyDescent="0.25">
      <c r="A6">
        <v>0.4</v>
      </c>
      <c r="C6">
        <f>POWER(2,(E14*E21*32 +32*E14))*EXP(-2*A6^2*E14)</f>
        <v>2.4709571307279581E+38</v>
      </c>
      <c r="D6">
        <f>POWER(2,(32*E18+(1+E21*32)*E18))*EXP(-2*E15*A6^2)</f>
        <v>7.2216299670279742E-101</v>
      </c>
      <c r="E6">
        <f>POWER(2, (32+(1+E21*32)*E19))*EXP(-2*E16*A6^2)</f>
        <v>7.2216299670279742E-101</v>
      </c>
    </row>
    <row r="7" spans="1:5" x14ac:dyDescent="0.25">
      <c r="A7">
        <v>0.5</v>
      </c>
      <c r="C7">
        <f>POWER(2,(E14*E21*32 +32*E14))*EXP(-2*A7^2*E14)</f>
        <v>2.063916884971332E+38</v>
      </c>
      <c r="D7">
        <f>POWER(2,(32*E18+(1+E21*32)*E18))*EXP(-2*E15*A7^2)</f>
        <v>4.8487354459899989E-179</v>
      </c>
      <c r="E7">
        <f>POWER(2, (32+(1+E21*32)*E19))*EXP(-2*E16*A7^2)</f>
        <v>4.8487354459899989E-179</v>
      </c>
    </row>
    <row r="8" spans="1:5" x14ac:dyDescent="0.25">
      <c r="A8">
        <v>0.6</v>
      </c>
      <c r="C8">
        <f>POWER(2,(E14*E21*32 +32*E14))*EXP(-2*A8^2*E14)</f>
        <v>1.6563320976216564E+38</v>
      </c>
      <c r="D8">
        <f>POWER(2,(32*E18+(1+E21*32)*E18))*EXP(-2*E15*A8^2)</f>
        <v>1.3830646151531151E-274</v>
      </c>
      <c r="E8">
        <f>POWER(2, (32+(1+E21*32)*E19))*EXP(-2*E16*A8^2)</f>
        <v>1.3830646151531151E-274</v>
      </c>
    </row>
    <row r="9" spans="1:5" x14ac:dyDescent="0.25">
      <c r="A9">
        <v>0.7</v>
      </c>
      <c r="C9">
        <f>POWER(2,(E14*E21*32 +32*E14))*EXP(-2*A9^2*E14)</f>
        <v>1.2771174904885256E+38</v>
      </c>
      <c r="D9">
        <f>POWER(2,(32*E18+(1+E21*32)*E18))*EXP(-2*E15*A9^2)</f>
        <v>0</v>
      </c>
      <c r="E9">
        <f>POWER(2, (32+(1+E21*32)*E19))*EXP(-2*E16*A9^2)</f>
        <v>0</v>
      </c>
    </row>
    <row r="10" spans="1:5" x14ac:dyDescent="0.25">
      <c r="A10">
        <v>0.8</v>
      </c>
      <c r="C10">
        <f>POWER(2,(E14*E21*32 +32*E14))*EXP(-2*A10^2*E14)</f>
        <v>9.4611190690520998E+37</v>
      </c>
      <c r="D10">
        <f>POWER(2,(32*E18+(1+E21*32)*E18))*EXP(-2*E15*A10^2)</f>
        <v>0</v>
      </c>
      <c r="E10">
        <f>POWER(2, (32+(1+E21*32)*E19))*EXP(-2*E16*A10^2)</f>
        <v>0</v>
      </c>
    </row>
    <row r="11" spans="1:5" x14ac:dyDescent="0.25">
      <c r="A11">
        <v>0.9</v>
      </c>
      <c r="C11">
        <f>POWER(2,(E14*E21*32 +32*E14))*EXP(-2*A11^2*E14)</f>
        <v>6.734143773474695E+37</v>
      </c>
      <c r="D11">
        <f>POWER(2,(32*E18+(1+E21*32)*E18))*EXP(-2*E15*A11^2)</f>
        <v>0</v>
      </c>
      <c r="E11">
        <f>POWER(2, (32+(1+E21*32)*E19))*EXP(-2*E16*A11^2)</f>
        <v>0</v>
      </c>
    </row>
    <row r="12" spans="1:5" x14ac:dyDescent="0.25">
      <c r="A12">
        <v>1</v>
      </c>
      <c r="C12">
        <f>POWER(2,(E14*E21*32 +32*E14))*EXP(-2*A12^2*E14)</f>
        <v>4.6052210507670176E+37</v>
      </c>
      <c r="D12">
        <f>POWER(2,(32*E18+(1+E21*32)*E18))*EXP(-2*E15*A12^2)</f>
        <v>0</v>
      </c>
      <c r="E12">
        <f>POWER(2, (32+(1+E21*32)*E19))*EXP(-2*E16*A12^2)</f>
        <v>0</v>
      </c>
    </row>
    <row r="14" spans="1:5" x14ac:dyDescent="0.25">
      <c r="B14" t="s">
        <v>33</v>
      </c>
      <c r="E14">
        <v>1</v>
      </c>
    </row>
    <row r="15" spans="1:5" x14ac:dyDescent="0.25">
      <c r="B15" t="s">
        <v>34</v>
      </c>
      <c r="E15">
        <v>1000</v>
      </c>
    </row>
    <row r="16" spans="1:5" x14ac:dyDescent="0.25">
      <c r="B16" t="s">
        <v>35</v>
      </c>
      <c r="E16">
        <v>1000</v>
      </c>
    </row>
    <row r="18" spans="2:5" x14ac:dyDescent="0.25">
      <c r="B18" t="s">
        <v>36</v>
      </c>
      <c r="E18">
        <v>1</v>
      </c>
    </row>
    <row r="19" spans="2:5" x14ac:dyDescent="0.25">
      <c r="B19" t="s">
        <v>37</v>
      </c>
      <c r="E19">
        <v>1</v>
      </c>
    </row>
    <row r="21" spans="2:5" x14ac:dyDescent="0.25">
      <c r="B21" t="s">
        <v>41</v>
      </c>
      <c r="E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GenError</vt:lpstr>
      <vt:lpstr>Timing</vt:lpstr>
      <vt:lpstr>GenErrorCalc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2020-05-05T12:36:06Z</dcterms:modified>
</cp:coreProperties>
</file>