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autoCompressPictures="0"/>
  <mc:AlternateContent xmlns:mc="http://schemas.openxmlformats.org/markup-compatibility/2006">
    <mc:Choice Requires="x15">
      <x15ac:absPath xmlns:x15ac="http://schemas.microsoft.com/office/spreadsheetml/2010/11/ac" url="C:\Users\mathis_hesse\Documents\Git\owasp-mstg\Checklists\"/>
    </mc:Choice>
  </mc:AlternateContent>
  <xr:revisionPtr revIDLastSave="0" documentId="13_ncr:1_{EDDCE5D5-2E34-4456-9990-1B55D6EEF37B}" xr6:coauthVersionLast="44" xr6:coauthVersionMax="45" xr10:uidLastSave="{00000000-0000-0000-0000-000000000000}"/>
  <bookViews>
    <workbookView xWindow="28680" yWindow="-120" windowWidth="29040" windowHeight="15840" tabRatio="608" activeTab="4"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Android'!$B$3:$K$81</definedName>
    <definedName name="BASE_URL">Dashboard!$D$14</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 name="MASVS_VERSION" localSheetId="7">[1]Dashboard!$D$11</definedName>
    <definedName name="MASVS_VERSION">Dashboard!$D$11</definedName>
    <definedName name="MSTG_VERSION">Dashboard!$D$13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c r="D45" i="7"/>
  <c r="E45" i="7"/>
  <c r="F45" i="7"/>
  <c r="D47" i="7"/>
  <c r="E47" i="7"/>
  <c r="F47" i="7"/>
  <c r="G48" i="7"/>
  <c r="D49" i="7"/>
  <c r="E49" i="7"/>
  <c r="H45" i="7"/>
  <c r="I45" i="7"/>
  <c r="H47" i="7"/>
  <c r="I47" i="7"/>
  <c r="H49" i="7"/>
  <c r="I49" i="7"/>
  <c r="G43" i="7"/>
  <c r="F49" i="7"/>
  <c r="J49" i="7"/>
  <c r="J47" i="7"/>
  <c r="J45" i="7"/>
  <c r="G50" i="7" l="1"/>
  <c r="K45" i="7"/>
  <c r="G46" i="7"/>
  <c r="G45" i="7"/>
  <c r="G49" i="7"/>
  <c r="K44" i="7"/>
  <c r="I57" i="10"/>
  <c r="G17" i="3"/>
  <c r="I43" i="1"/>
  <c r="H76" i="1"/>
  <c r="H64" i="1"/>
  <c r="H55" i="1"/>
  <c r="H45" i="1"/>
  <c r="H36" i="1"/>
  <c r="H24" i="1"/>
  <c r="H13" i="1"/>
  <c r="H5" i="1"/>
  <c r="G6" i="11"/>
  <c r="I41" i="10"/>
  <c r="I5" i="10"/>
  <c r="H74" i="10"/>
  <c r="H62" i="10"/>
  <c r="H51" i="10"/>
  <c r="H43" i="10"/>
  <c r="H34" i="10"/>
  <c r="H22" i="10"/>
  <c r="H11" i="10"/>
  <c r="I11" i="1"/>
  <c r="H34" i="1"/>
  <c r="H11" i="1"/>
  <c r="J41" i="10"/>
  <c r="I36" i="10"/>
  <c r="H68" i="10"/>
  <c r="H59" i="10"/>
  <c r="H28" i="10"/>
  <c r="G10" i="11"/>
  <c r="H26" i="10"/>
  <c r="H48" i="1"/>
  <c r="I62" i="10"/>
  <c r="H65" i="10"/>
  <c r="H37" i="10"/>
  <c r="G15" i="3"/>
  <c r="I41" i="1"/>
  <c r="H75" i="1"/>
  <c r="H63" i="1"/>
  <c r="H54" i="1"/>
  <c r="H44" i="1"/>
  <c r="H35" i="1"/>
  <c r="H23" i="1"/>
  <c r="H12" i="1"/>
  <c r="G17" i="11"/>
  <c r="G5" i="11"/>
  <c r="I37" i="10"/>
  <c r="H81" i="10"/>
  <c r="H73" i="10"/>
  <c r="H61" i="10"/>
  <c r="H50" i="10"/>
  <c r="H42" i="10"/>
  <c r="H29" i="10"/>
  <c r="H21" i="10"/>
  <c r="H10" i="10"/>
  <c r="G7" i="3"/>
  <c r="H74" i="1"/>
  <c r="H51" i="1"/>
  <c r="H43" i="1"/>
  <c r="H22" i="1"/>
  <c r="G15" i="11"/>
  <c r="H80" i="10"/>
  <c r="H41" i="10"/>
  <c r="I34" i="10"/>
  <c r="H38" i="10"/>
  <c r="H67" i="1"/>
  <c r="H8" i="1"/>
  <c r="H46" i="10"/>
  <c r="H62" i="1"/>
  <c r="H27" i="1"/>
  <c r="H14" i="10"/>
  <c r="G6" i="3"/>
  <c r="H81" i="1"/>
  <c r="H73" i="1"/>
  <c r="H61" i="1"/>
  <c r="H50" i="1"/>
  <c r="H42" i="1"/>
  <c r="H29" i="1"/>
  <c r="H21" i="1"/>
  <c r="H10" i="1"/>
  <c r="G13" i="11"/>
  <c r="J11" i="10"/>
  <c r="I35" i="10"/>
  <c r="H79" i="10"/>
  <c r="H67" i="10"/>
  <c r="H58" i="10"/>
  <c r="H48" i="10"/>
  <c r="H39" i="10"/>
  <c r="H27" i="10"/>
  <c r="H19" i="10"/>
  <c r="H8" i="10"/>
  <c r="G5" i="3"/>
  <c r="H80" i="1"/>
  <c r="H68" i="1"/>
  <c r="H59" i="1"/>
  <c r="H49" i="1"/>
  <c r="H41" i="1"/>
  <c r="H28" i="1"/>
  <c r="H20" i="1"/>
  <c r="H9" i="1"/>
  <c r="I6" i="10"/>
  <c r="H57" i="10"/>
  <c r="H79" i="1"/>
  <c r="G9" i="11"/>
  <c r="H6" i="10"/>
  <c r="I55" i="1"/>
  <c r="H78" i="1"/>
  <c r="H66" i="1"/>
  <c r="H57" i="1"/>
  <c r="H47" i="1"/>
  <c r="H38" i="1"/>
  <c r="H26" i="1"/>
  <c r="H18" i="1"/>
  <c r="H7" i="1"/>
  <c r="G8" i="11"/>
  <c r="I46" i="10"/>
  <c r="I18" i="10"/>
  <c r="H76" i="10"/>
  <c r="H64" i="10"/>
  <c r="H55" i="10"/>
  <c r="H45" i="10"/>
  <c r="H36" i="10"/>
  <c r="H24" i="10"/>
  <c r="H13" i="10"/>
  <c r="H5" i="10"/>
  <c r="H14" i="1"/>
  <c r="I43" i="10"/>
  <c r="H75" i="10"/>
  <c r="H54" i="10"/>
  <c r="H35" i="10"/>
  <c r="H23" i="10"/>
  <c r="H49" i="10"/>
  <c r="H9" i="10"/>
  <c r="H66" i="10"/>
  <c r="H18" i="10"/>
  <c r="I6" i="1"/>
  <c r="H39" i="1"/>
  <c r="I28" i="10"/>
  <c r="H77" i="10"/>
  <c r="H25" i="10"/>
  <c r="I46" i="1"/>
  <c r="H77" i="1"/>
  <c r="H65" i="1"/>
  <c r="H56" i="1"/>
  <c r="H46" i="1"/>
  <c r="H37" i="1"/>
  <c r="H25" i="1"/>
  <c r="H6" i="1"/>
  <c r="G7" i="11"/>
  <c r="I11" i="10"/>
  <c r="H63" i="10"/>
  <c r="H44" i="10"/>
  <c r="H12" i="10"/>
  <c r="H20" i="10"/>
  <c r="H78" i="10"/>
  <c r="H47" i="10"/>
  <c r="H7" i="10"/>
  <c r="H58" i="1"/>
  <c r="H19" i="1"/>
  <c r="H56" i="10"/>
  <c r="K47" i="7"/>
  <c r="G44" i="7"/>
  <c r="K46" i="7"/>
  <c r="G47" i="7"/>
  <c r="K50" i="7"/>
  <c r="K48" i="7"/>
  <c r="K43" i="7"/>
  <c r="K49" i="7"/>
  <c r="V8" i="7" l="1"/>
  <c r="G8" i="7"/>
</calcChain>
</file>

<file path=xl/sharedStrings.xml><?xml version="1.0" encoding="utf-8"?>
<sst xmlns="http://schemas.openxmlformats.org/spreadsheetml/2006/main" count="1139" uniqueCount="424">
  <si>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</si>
  <si>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</si>
  <si>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</si>
  <si>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</si>
  <si>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</si>
  <si>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</si>
  <si>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</si>
  <si>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</si>
  <si>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</si>
  <si>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</si>
  <si>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</si>
  <si>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</si>
  <si>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</si>
  <si>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</si>
  <si>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</si>
  <si>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</si>
  <si>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</si>
  <si>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</si>
  <si>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</si>
  <si>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</si>
  <si>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</si>
  <si>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</si>
  <si>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</si>
  <si>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</si>
  <si>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</si>
  <si>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</si>
  <si>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</si>
  <si>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</si>
  <si>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</si>
  <si>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</si>
  <si>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</si>
  <si>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</si>
  <si>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</si>
  <si>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</si>
  <si>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</si>
  <si>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</si>
  <si>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</si>
  <si>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</si>
  <si>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</si>
  <si>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</si>
  <si>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</si>
  <si>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</si>
  <si>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</si>
  <si>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</si>
  <si>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</si>
  <si>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</si>
  <si>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</si>
  <si>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</si>
  <si>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</si>
  <si>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</si>
  <si>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</si>
  <si>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</si>
  <si>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</si>
  <si>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</si>
  <si>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</si>
  <si>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</si>
  <si>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</si>
  <si>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</si>
  <si>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</si>
  <si>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</si>
  <si>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</si>
  <si>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</si>
  <si>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</si>
  <si>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</si>
  <si>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</si>
  <si>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</si>
  <si>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</si>
  <si>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</si>
  <si>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</si>
  <si>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</si>
  <si>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</si>
  <si>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</si>
  <si>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</si>
  <si>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</si>
  <si>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</si>
  <si>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</si>
  <si>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</si>
  <si>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</si>
  <si>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</si>
  <si>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</si>
  <si>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</si>
  <si>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</si>
  <si>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</si>
  <si>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</si>
  <si>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</si>
  <si>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</si>
  <si>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</si>
  <si>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</si>
  <si>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</si>
  <si>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</si>
  <si>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</si>
  <si>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</si>
  <si>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</si>
  <si>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</si>
  <si>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</si>
  <si>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</si>
  <si>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</si>
  <si>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</si>
  <si>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</si>
  <si>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</si>
  <si>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</si>
  <si>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</si>
  <si>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</si>
  <si>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</si>
  <si>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</si>
  <si>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</si>
  <si>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</si>
  <si>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</si>
  <si>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</si>
  <si>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</si>
  <si>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</si>
  <si>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</si>
  <si>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</si>
  <si>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</si>
  <si>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</si>
  <si>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</si>
  <si>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</si>
  <si>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</si>
  <si>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</si>
  <si>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</si>
  <si>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</si>
  <si>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</si>
  <si>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</si>
  <si>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family val="2"/>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family val="2"/>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</si>
  <si>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</si>
  <si>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</si>
  <si>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</si>
  <si>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</si>
  <si>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</si>
  <si>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</si>
  <si>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</si>
  <si>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</si>
  <si>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</si>
  <si>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</si>
  <si>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</si>
  <si>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</si>
  <si>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</si>
  <si>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</si>
  <si>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1"/>
  </si>
  <si>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1"/>
  </si>
  <si>
    <t>MASVS バージョン</t>
    <phoneticPr fontId="11"/>
  </si>
  <si>
    <t>オンライン版MSTG</t>
    <rPh sb="5" eb="6">
      <t>バン</t>
    </rPh>
    <phoneticPr fontId="11"/>
  </si>
  <si>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1"/>
  </si>
  <si>
    <t>顧客企業名</t>
    <rPh sb="0" eb="2">
      <t>コキャク</t>
    </rPh>
    <rPh sb="2" eb="4">
      <t>キギョウ</t>
    </rPh>
    <rPh sb="4" eb="5">
      <t>メイ</t>
    </rPh>
    <phoneticPr fontId="11"/>
  </si>
  <si>
    <t>テスト場所</t>
    <rPh sb="3" eb="5">
      <t>バショ</t>
    </rPh>
    <phoneticPr fontId="11"/>
  </si>
  <si>
    <t>開始日</t>
    <rPh sb="0" eb="3">
      <t>カイシビ</t>
    </rPh>
    <phoneticPr fontId="11"/>
  </si>
  <si>
    <t>終了日</t>
    <rPh sb="0" eb="3">
      <t>シュウリョウビ</t>
    </rPh>
    <phoneticPr fontId="11"/>
  </si>
  <si>
    <t>テスト実施者名</t>
    <rPh sb="3" eb="6">
      <t>ジッシシャ</t>
    </rPh>
    <rPh sb="6" eb="7">
      <t>メイ</t>
    </rPh>
    <phoneticPr fontId="11"/>
  </si>
  <si>
    <t>テストスコープ</t>
    <phoneticPr fontId="11"/>
  </si>
  <si>
    <t>&lt;アプリ名&gt;アプリで利用可能なすべての機能</t>
    <phoneticPr fontId="11"/>
  </si>
  <si>
    <t>検証レベル</t>
    <rPh sb="0" eb="2">
      <t>ケンショウ</t>
    </rPh>
    <phoneticPr fontId="11"/>
  </si>
  <si>
    <t>テスト情報 Android</t>
    <rPh sb="3" eb="5">
      <t>ジョウホウ</t>
    </rPh>
    <phoneticPr fontId="11"/>
  </si>
  <si>
    <t>アプリケーション名</t>
    <rPh sb="8" eb="9">
      <t>メイ</t>
    </rPh>
    <phoneticPr fontId="11"/>
  </si>
  <si>
    <t>ファイル名</t>
    <rPh sb="4" eb="5">
      <t>メイ</t>
    </rPh>
    <phoneticPr fontId="11"/>
  </si>
  <si>
    <t>バージョン</t>
    <phoneticPr fontId="11"/>
  </si>
  <si>
    <t>APK の SHA256 ハッシュ
(shasum, openssl, sha256sum を使用して取得)</t>
    <rPh sb="47" eb="49">
      <t>シヨウ</t>
    </rPh>
    <rPh sb="51" eb="53">
      <t>シュトク</t>
    </rPh>
    <phoneticPr fontId="11"/>
  </si>
  <si>
    <t>テスト情報 iOS</t>
    <rPh sb="3" eb="5">
      <t>ジョウホウ</t>
    </rPh>
    <phoneticPr fontId="11"/>
  </si>
  <si>
    <t>App Store リンク</t>
    <phoneticPr fontId="11"/>
  </si>
  <si>
    <t>Google Play Store リンク</t>
    <phoneticPr fontId="11"/>
  </si>
  <si>
    <t>IPA の SHA256 ハッシュ
(shasum, openssl, sha256sum を使用して取得)</t>
    <rPh sb="47" eb="49">
      <t>シヨウ</t>
    </rPh>
    <rPh sb="51" eb="53">
      <t>シュトク</t>
    </rPh>
    <phoneticPr fontId="11"/>
  </si>
  <si>
    <t>顧客代表者および連絡先情報</t>
    <rPh sb="0" eb="2">
      <t>コキャク</t>
    </rPh>
    <rPh sb="2" eb="5">
      <t>ダイヒョウシャ</t>
    </rPh>
    <rPh sb="8" eb="11">
      <t>レンラクサキ</t>
    </rPh>
    <rPh sb="11" eb="13">
      <t>ジョウホウ</t>
    </rPh>
    <phoneticPr fontId="11"/>
  </si>
  <si>
    <t>氏名</t>
    <rPh sb="0" eb="2">
      <t>シメイ</t>
    </rPh>
    <phoneticPr fontId="11"/>
  </si>
  <si>
    <t>所属</t>
    <rPh sb="0" eb="2">
      <t>ショゾク</t>
    </rPh>
    <phoneticPr fontId="11"/>
  </si>
  <si>
    <t>役職</t>
    <rPh sb="0" eb="2">
      <t>ヤクショク</t>
    </rPh>
    <phoneticPr fontId="11"/>
  </si>
  <si>
    <t>電話番号</t>
    <rPh sb="0" eb="2">
      <t>デンワ</t>
    </rPh>
    <rPh sb="2" eb="4">
      <t>バンゴウ</t>
    </rPh>
    <phoneticPr fontId="11"/>
  </si>
  <si>
    <t>電子メールアドレス</t>
    <rPh sb="0" eb="2">
      <t>デンシ</t>
    </rPh>
    <phoneticPr fontId="11"/>
  </si>
  <si>
    <t>管理者向けサマリー</t>
    <rPh sb="0" eb="3">
      <t>カンリシャ</t>
    </rPh>
    <rPh sb="3" eb="4">
      <t>ム</t>
    </rPh>
    <phoneticPr fontId="11"/>
  </si>
  <si>
    <t>MASVS 準拠スコア ( / 5)</t>
    <rPh sb="6" eb="8">
      <t>ジュンキョ</t>
    </rPh>
    <phoneticPr fontId="11"/>
  </si>
  <si>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</si>
  <si>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</si>
  <si>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</si>
  <si>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</si>
  <si>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</si>
  <si>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</si>
  <si>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</si>
  <si>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</si>
  <si>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1"/>
  </si>
  <si>
    <t>1.1</t>
    <phoneticPr fontId="11"/>
  </si>
  <si>
    <t>1.0</t>
    <phoneticPr fontId="11"/>
  </si>
  <si>
    <t>モバイルアプリケーションセキュリティ要件 - Android</t>
    <rPh sb="18" eb="20">
      <t>ヨウケン</t>
    </rPh>
    <phoneticPr fontId="11"/>
  </si>
  <si>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</si>
  <si>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</si>
  <si>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</si>
  <si>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</si>
  <si>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1"/>
  </si>
  <si>
    <t>備考</t>
    <rPh sb="0" eb="2">
      <t>ビコウ</t>
    </rPh>
    <phoneticPr fontId="11"/>
  </si>
  <si>
    <t>アーキテクチャ、設計、脅威モデリング</t>
    <rPh sb="8" eb="10">
      <t>セッケイ</t>
    </rPh>
    <rPh sb="11" eb="13">
      <t>キョウイ</t>
    </rPh>
    <phoneticPr fontId="4"/>
  </si>
  <si>
    <t>データストレージとプライバシー</t>
  </si>
  <si>
    <t>1.1.0</t>
    <phoneticPr fontId="11"/>
  </si>
  <si>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</si>
  <si>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</si>
  <si>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</si>
  <si>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</si>
  <si>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</si>
  <si>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1"/>
  </si>
  <si>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</si>
  <si>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</si>
  <si>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</si>
  <si>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</si>
  <si>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</si>
  <si>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</si>
  <si>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</si>
  <si>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</si>
  <si>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</si>
  <si>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</si>
  <si>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1"/>
  </si>
  <si>
    <t>リバースエンジニアリングに対する耐性 - iOS</t>
    <rPh sb="13" eb="14">
      <t>タイ</t>
    </rPh>
    <rPh sb="16" eb="18">
      <t>タイセイ</t>
    </rPh>
    <phoneticPr fontId="11"/>
  </si>
  <si>
    <t>備考</t>
    <rPh sb="0" eb="2">
      <t>ビコウ</t>
    </rPh>
    <phoneticPr fontId="4"/>
  </si>
  <si>
    <t>XLS Version History (Japanese Translation)</t>
    <phoneticPr fontId="11"/>
  </si>
  <si>
    <t>translate ver. 1.1 into Japanese</t>
    <phoneticPr fontId="11"/>
  </si>
  <si>
    <t>translate ver. 1.1.0.7 into Japanese</t>
    <phoneticPr fontId="11"/>
  </si>
  <si>
    <t>1.1.1.1</t>
  </si>
  <si>
    <t>1.1.4</t>
  </si>
  <si>
    <t>1.1.1.2</t>
  </si>
  <si>
    <t>Correcting the Link to the MSTG repo and adding a link to the MASVS repo</t>
  </si>
  <si>
    <t>オンライン版MASVS</t>
    <rPh sb="5" eb="6">
      <t>バン</t>
    </rPh>
    <phoneticPr fontId="11"/>
  </si>
  <si>
    <t>MSTG バージョン</t>
    <phoneticPr fontId="11"/>
  </si>
  <si>
    <t>1.1.4</t>
    <phoneticPr fontId="11"/>
  </si>
  <si>
    <t>1.1.4</t>
    <phoneticPr fontId="11"/>
  </si>
  <si>
    <t>translate ver. 1.1.1.2 into Japanese</t>
    <phoneticPr fontId="11"/>
  </si>
  <si>
    <t>1.1.1.3</t>
  </si>
  <si>
    <t>Synchronizing the requirements wording in excel with the MASVS
changes:
2.9</t>
  </si>
  <si>
    <t xml:space="preserve">Updating the link 2.12 for IOS </t>
  </si>
  <si>
    <t>translate ver. 1.1.1.3 into Japanese</t>
    <phoneticPr fontId="11"/>
  </si>
  <si>
    <t>&lt;顧客企業名&gt;との協議の結果、&lt;レベル1の要件のみ&gt;を&lt;アプリ名&gt;に適用することに決定した。
レベル1：標準セキュリティ
レベル2：多層防御
レベルR：リバースエンジニアリングに対する耐性</t>
    <phoneticPr fontId="11"/>
  </si>
  <si>
    <t>Ensure that tiles are in sync on Excel and MSTG</t>
  </si>
  <si>
    <t>translate ver. 1.1.1.3 - "Ensure that tiles are in sync on Excel and MSTG" into Japanese</t>
    <phoneticPr fontId="11"/>
  </si>
  <si>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</si>
  <si>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</si>
  <si>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</si>
  <si>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</si>
  <si>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</si>
  <si>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</si>
  <si>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</si>
  <si>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</si>
  <si>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</si>
  <si>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</si>
  <si>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</si>
  <si>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</si>
  <si>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</si>
  <si>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</si>
  <si>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</si>
  <si>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</si>
  <si>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</si>
  <si>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</si>
  <si>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</si>
  <si>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</si>
  <si>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</si>
  <si>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</si>
  <si>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</si>
  <si>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</si>
  <si>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</si>
  <si>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</si>
  <si>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</si>
  <si>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</si>
  <si>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</si>
  <si>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</si>
  <si>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</si>
  <si>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</si>
  <si>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</si>
  <si>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</si>
  <si>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</si>
  <si>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</si>
  <si>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</si>
  <si>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</si>
  <si>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</si>
  <si>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</si>
  <si>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</si>
  <si>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</si>
  <si>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</si>
  <si>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</si>
  <si>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</si>
  <si>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</si>
  <si>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</si>
  <si>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</si>
  <si>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</si>
  <si>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</si>
  <si>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</si>
  <si>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</si>
  <si>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</si>
  <si>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</si>
  <si>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</si>
  <si>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</si>
  <si>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</si>
  <si>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</si>
  <si>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</si>
  <si>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</si>
  <si>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</si>
  <si>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</si>
  <si>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</si>
  <si>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</si>
  <si>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</si>
  <si>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</si>
  <si>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</si>
  <si>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</si>
  <si>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</si>
  <si>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</si>
  <si>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</si>
  <si>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</si>
  <si>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</si>
  <si>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</si>
  <si>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</si>
  <si>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</si>
  <si>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</si>
  <si>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</si>
  <si>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</si>
  <si>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 xml:space="preserve"> -</t>
  </si>
  <si>
    <t>1.11</t>
  </si>
  <si>
    <t>1.12</t>
  </si>
  <si>
    <t>MSTG-ARCH-11</t>
  </si>
  <si>
    <t>MSTG-ARCH-12</t>
  </si>
  <si>
    <t>アプリのすべてのコンポーネントを把握し、それらが必要とされている。</t>
  </si>
  <si>
    <t>セキュリティコントロールはクライアント側だけではなくそれぞれのリモートエンドポイントで実施されている。</t>
  </si>
  <si>
    <t>モバイルアプリと接続されるすべてのリモートサービスの高次のアーキテクチャが定義され、そのアーキテクチャにセキュリティが対応されている。</t>
  </si>
  <si>
    <t>モバイルアプリのコンテキストで機密とみなされるデータが明確に特定されている。</t>
  </si>
  <si>
    <t>アプリのすべてのコンポーネントは提供する業務上の機能やセキュリティ上の機能の観点で定義されている。</t>
  </si>
  <si>
    <t>モバイルアプリとそれに関連するリモートサービスの脅威モデルが作られ、潜在的な脅威と対策を特定している。</t>
  </si>
  <si>
    <t>すべてのセキュリティコントロールは集約実装されている。</t>
  </si>
  <si>
    <t>暗号鍵が（もしあれば）どのように管理されるかについての明確な方針があり、暗号鍵のライフサイクルが施行されている。 NIST SP 800-57 などの鍵管理標準に準拠することが理想的である。</t>
  </si>
  <si>
    <t>モバイルアプリの更新を強制するメカニズムが存在している。</t>
  </si>
  <si>
    <t>セキュリティはソフトウェア開発ライフサイクルのあらゆる部分で対処されている。</t>
  </si>
  <si>
    <t>責任ある開示ポリシーを用意しており、効果的に適用している。</t>
  </si>
  <si>
    <t>アプリはプライバシーに関する法律および規制に準拠している。</t>
  </si>
  <si>
    <t>2.13</t>
  </si>
  <si>
    <t>2.14</t>
  </si>
  <si>
    <t>2.15</t>
  </si>
  <si>
    <t>MSTG-STORAGE-13</t>
  </si>
  <si>
    <t>MSTG-STORAGE-14</t>
  </si>
  <si>
    <t>MSTG-STORAGE-15</t>
  </si>
  <si>
    <t>個人識別情報、ユーザー資格情報、暗号化鍵などの機密データを格納するために、システムの資格情報保存機能を使用している。</t>
  </si>
  <si>
    <t>機密データはアプリコンテナまたはシステムの資格情報保存機能の外部に保存されていない。</t>
  </si>
  <si>
    <t>機密データはアプリケーションログに書き込まれていない。</t>
  </si>
  <si>
    <t>機密データはアーキテクチャに必要な部分でない限りサードパーティと共有されていない。</t>
  </si>
  <si>
    <t>機密データを処理するテキスト入力では、キーボードキャッシュが無効にされている。</t>
  </si>
  <si>
    <t>機密データはIPCメカニズムを介して公開されていない。</t>
  </si>
  <si>
    <t>パスワードやピンなどの機密データは、ユーザーインタフェースを介して公開されていない。</t>
  </si>
  <si>
    <t>機密データはモバイルオペレーティングシステムにより生成されるバックアップに含まれていない。</t>
  </si>
  <si>
    <t>バックグラウンドへ移動した際にアプリはビューから機密データを削除している。</t>
  </si>
  <si>
    <t>アプリは必要以上に長くメモリ内に機密データを保持せず、使用後は明示的にメモリがクリアされている。</t>
  </si>
  <si>
    <t>アプリは最低限のデバイスアクセスセキュリティポリシーを適用しており、ユーザーにデバイスパスコードを設定することなどを必要としている。</t>
  </si>
  <si>
    <t>アプリは処理される個人識別情報の種類をユーザーに通知しており、同様にユーザーがアプリを使用する際に従うべきセキュリティのベストプラクティスについて通知している。</t>
  </si>
  <si>
    <t>機密データをモバイルデバイス上のローカルに保存していない。代わりに、必要な時にリモートエンドポイントからデータを取得し、メモリ内にのみ保持している。</t>
  </si>
  <si>
    <t>機密データをローカルに保存する必要がある場合には、認証が必要なハードウェア支援ストレージから取得した鍵を使用して暗号化している。</t>
  </si>
  <si>
    <t>認証の試行が過度の回数にわたり失敗した後には、アプリのローカルストレージを消去している。</t>
  </si>
  <si>
    <t>アプリは暗号化の唯一の方法としてハードコードされた鍵による対称暗号化に依存していない。</t>
  </si>
  <si>
    <t>アプリは実績のある暗号化プリミティブの実装を使用している。</t>
  </si>
  <si>
    <t>アプリは特定のユースケースに適した暗号化プリミティブを使用している。業界のベストプラクティスに基づくパラメータで構成されている。</t>
  </si>
  <si>
    <t>アプリはセキュリティ上の目的で広く非推奨と考えられる暗号プロトコルやアルゴリズムを使用していない。</t>
  </si>
  <si>
    <t>アプリは複数の目的のために同じ暗号化鍵を再利用していない。</t>
  </si>
  <si>
    <t>すべての乱数値は十分にセキュアな乱数生成器を用いて生成されている。</t>
  </si>
  <si>
    <t>4.12</t>
  </si>
  <si>
    <t>MSTG-AUTH-12</t>
  </si>
  <si>
    <t>アプリがユーザーにリモートサービスへのアクセスを提供する場合、ユーザー名/パスワード認証など何らかの形態の認証がリモートエンドポイントで実行されている。</t>
  </si>
  <si>
    <t>ステートフルなセッション管理を使用する場合、リモートエンドポイントはランダムに生成されたセッション識別子を使用し、ユーザーの資格情報を送信せずにクライアントリクエストを認証している。</t>
  </si>
  <si>
    <t>ステートレスなトークンベースの認証を使用する場合、サーバーはセキュアなアルゴリズムを使用して署名されたトークンを提供している。</t>
  </si>
  <si>
    <t>ユーザーがログアウトする際に、リモートエンドポイントは既存のセッションを終了している。</t>
  </si>
  <si>
    <t>パスワードポリシーが存在し、リモートエンドポイントで実施されている。</t>
  </si>
  <si>
    <t>リモートエンドポイントは過度な資格情報の送信に対する保護を実装している。</t>
  </si>
  <si>
    <t>事前に定義された非アクティブ期間およびアクセストークンの有効期限が切れた後に、セッションはリモートエンドポイントで無効にしている。</t>
  </si>
  <si>
    <t>生体認証が使用される場合は（単に「true」や「false」を返すAPIを使うなどの）イベントバインディングは使用しない。代わりに、キーチェーンやキーストアのアンロックに基づいている。</t>
  </si>
  <si>
    <t>リモートエンドポイントに二要素認証が存在し、リモートエンドポイントで二要素認証要件が一貫して適用されている。</t>
  </si>
  <si>
    <t>機密トランザクションはステップアップ認証を必要としている。</t>
  </si>
  <si>
    <t>アプリはユーザーのアカウントでのすべての機密アクティビティをユーザーに通知している。ユーザーはデバイスの一覧を表示したり、コンテキスト情報 (IP アドレス、位置情報など) を表示したり、特定のデバイスをブロックすることができる。</t>
  </si>
  <si>
    <t>認可モデルはリモートエンドポイントで定義および実施されている。</t>
  </si>
  <si>
    <t>データはネットワーク上でTLSを使用して暗号化されている。セキュアチャネルがアプリ全体を通して一貫して使用されている。</t>
  </si>
  <si>
    <t>TLS 設定は現在のベストプラクティスと一致している。モバイルオペレーティングシステムが推奨される標準規格をサポートしていない場合には可能な限り近い状態である。</t>
  </si>
  <si>
    <t>セキュアチャネルが確立されたときに、アプリはリモートエンドポイントのX.509証明書を検証している。信頼されたCAにより署名された証明書のみが受け入れられている。</t>
  </si>
  <si>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</si>
  <si>
    <t>アプリは登録やアカウントリカバリーなどの重要な操作において（電子メールやSMSなどの）単方向のセキュアでない通信チャネルに依存していない。</t>
  </si>
  <si>
    <t>アプリは最新の接続ライブラリとセキュリティライブラリにのみ依存している。</t>
  </si>
  <si>
    <t>6.9</t>
  </si>
  <si>
    <t>6.10</t>
  </si>
  <si>
    <t>6.11</t>
  </si>
  <si>
    <t>MSTG-PLATFORM-9</t>
  </si>
  <si>
    <t>MSTG-PLATFORM-10</t>
  </si>
  <si>
    <t>MSTG-PLATFORM-11</t>
  </si>
  <si>
    <t>アプリは必要となる最低限のパーミッションのみを要求している。</t>
  </si>
  <si>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</si>
  <si>
    <t>アプリはメカニズムが適切に保護されていない限り、カスタムURLスキームを介して機密な機能をエクスポートしていない。</t>
  </si>
  <si>
    <t>アプリはメカニズムが適切に保護されていない限り、IPC機構を通じて機密な機能をエクスポートしていない。</t>
  </si>
  <si>
    <t>明示的に必要でない限りWebViewでJavaScriptが無効化されている。</t>
  </si>
  <si>
    <t>WebViewは最低限必要のプロトコルハンドラのセットのみを許可するよう構成されている（理想的には、httpsのみがサポートされている）。file, tel, app-id などの潜在的に危険なハンドラは無効化されている。</t>
  </si>
  <si>
    <t>アプリのネイティブメソッドがWebViewに公開されている場合、WebViewはアプリパッケージ内に含まれるJavaScriptのみをレンダリングしている。</t>
  </si>
  <si>
    <t>オブジェクトのデシリアライゼーションは、もしあれば、安全なシリアライゼーションAPIを使用して実装されている。</t>
  </si>
  <si>
    <t>アプリはスクリーンオーバーレイ攻撃から自らを保護している。 (Android のみ)</t>
  </si>
  <si>
    <t>WebViewを破棄する前にWebViewのキャッシュ、ストレージ、ロードされたリソース (JavaScript など) をクリアしている。</t>
  </si>
  <si>
    <t>機密データを入力する場合は常に、アプリはカスタムサードパーティキーボードを使用できないようにしている。</t>
  </si>
  <si>
    <t>アプリは有効な証明書で署名およびプロビジョニングされている。その秘密鍵は適切に保護されている。</t>
  </si>
  <si>
    <t>アプリはリリースモードでビルドされている。リリースビルドに適した設定である（デバッグ不可など）。</t>
  </si>
  <si>
    <t>デバッグシンボルはネイティブバイナリから削除されている。</t>
  </si>
  <si>
    <t>デバッグコードおよび開発者支援コード (テストコード、バックドア、隠し設定など) は削除されている。アプリは詳細なエラーやデバッグメッセージをログ出力していない。</t>
  </si>
  <si>
    <t>モバイルアプリで使用されるライブラリ、フレームワークなどのすべてのサードパーティコンポーネントを把握し、既知の脆弱性を確認している。</t>
  </si>
  <si>
    <t>アプリは可能性のある例外をキャッチし処理している。</t>
  </si>
  <si>
    <t>セキュリティコントロールのエラー処理ロジックはデフォルトでアクセスを拒否している。</t>
  </si>
  <si>
    <t>アンマネージドコードでは、メモリはセキュアに割り当て、解放、使用されている。</t>
  </si>
  <si>
    <t>バイトコードの軽量化、スタック保護、PIEサポート、自動参照カウントなどツールチェーンにより提供されるフリーのセキュリティ機能が有効化されている。</t>
  </si>
  <si>
    <t>テスト手順</t>
    <phoneticPr fontId="4"/>
  </si>
  <si>
    <t>8.13</t>
  </si>
  <si>
    <t>MSTG-RESILIENCE-13</t>
  </si>
  <si>
    <t>盗聴防止</t>
    <phoneticPr fontId="11"/>
  </si>
  <si>
    <t>アプリはユーザーに警告するかアプリを終了することでルート化デバイスや脱獄済みデバイスの存在を検知し応答している。</t>
  </si>
  <si>
    <t>アプリはデバッグを防止し、デバッガのアタッチを検知し応答している。利用可能なすべてのデバッグプロトコルを網羅している必要がある。</t>
  </si>
  <si>
    <t>アプリはそれ自身のサンドボックス内の実行ファイルや重要なデータの改竄を検知し応答している。</t>
  </si>
  <si>
    <t>アプリはそのデバイスで広く使用されるリバースエンジニアリングツールやフレームワークの存在を検知し応答している。</t>
  </si>
  <si>
    <t>アプリは任意の方法を使用してエミュレータ内で動作しているかどうかを検知し応答している。</t>
  </si>
  <si>
    <t>アプリはそれ自身のメモリ空間内のコードとデータの改竄を検知し応答している。</t>
  </si>
  <si>
    <t>アプリは各防御カテゴリ(8.1から8.6)で複数のメカニズムを実装している。耐性は使用されるメカニズムのオリジナリティの量、多様性と比例することに注意する。</t>
  </si>
  <si>
    <t>検知メカニズムは遅延応答やステルス応答を含むさまざまな種類の応答をトリガーしている。</t>
  </si>
  <si>
    <t>難読化はプログラムの防御に適用されており、動的解析による逆難読化を妨げている。</t>
  </si>
  <si>
    <t>アプリはデバイスに固有の複数のプロパティから由来するデバイスフィンガープリントを使用して「デバイスバインディング」機能を実装している。</t>
  </si>
  <si>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</si>
  <si>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</si>
  <si>
    <t>多層防御として、通信相手の堅牢化に加えて、アプリケーションレベルのペイロード暗号化を適用して、盗聴をより一層防止している。</t>
  </si>
  <si>
    <t>Koki Takeyama</t>
    <phoneticPr fontId="43"/>
  </si>
  <si>
    <t>1.1.3.1</t>
    <phoneticPr fontId="43"/>
  </si>
  <si>
    <r>
      <rPr>
        <b/>
        <sz val="12"/>
        <color theme="1"/>
        <rFont val="Calibri"/>
        <family val="2"/>
      </rPr>
      <t>Updating the links based on OSS19 restructured chapters:</t>
    </r>
    <r>
      <rPr>
        <sz val="12"/>
        <color theme="1"/>
        <rFont val="Calibri"/>
        <family val="2"/>
      </rPr>
      <t xml:space="preserve">
android 
3.2|3.4|4.9|4.10|5.2|5.4|7.7
IOS
3.2|4.5|4.10|4.11|5.1|5.3|6.4|7.8
</t>
    </r>
  </si>
  <si>
    <t>1.1.3.1</t>
    <phoneticPr fontId="11"/>
  </si>
  <si>
    <t>translate ver. 1.1.3.1 into Japanese</t>
    <phoneticPr fontId="11"/>
  </si>
  <si>
    <t>translate ver. 1.1.2 into Japanese
- sync with 1.1.1.1 to 1.1.2. see "Version history" sheet.</t>
    <phoneticPr fontId="1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</si>
  <si>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3"/>
  </si>
  <si>
    <t>Testing Reverse Engineering Tools Detection (MSTG-RESILIENCE-4)</t>
  </si>
  <si>
    <t>Testing Emulator Detection (MSTG-RESILIENCE-5)</t>
  </si>
  <si>
    <t>Testing Obfuscation (MSTG-RESILIENCE-9)</t>
  </si>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</sst>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6">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amily val="2"/>
    </font>
    <font>
      <b/>
      <sz val="12"/>
      <color theme="1"/>
      <name val="Calibri"/>
      <family val="2"/>
    </font>
    <font>
      <b/>
      <sz val="12"/>
      <color rgb="FF000000"/>
      <name val="Calibri"/>
      <family val="2"/>
    </font>
    <font>
      <sz val="12"/>
      <color theme="1"/>
      <name val="Calibri"/>
      <family val="2"/>
      <scheme val="minor"/>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Calibri"/>
      <family val="2"/>
      <scheme val="minor"/>
    </font>
    <font>
      <b/>
      <sz val="12"/>
      <color theme="10"/>
      <name val="Calibri"/>
      <family val="2"/>
      <scheme val="minor"/>
    </font>
    <font>
      <b/>
      <sz val="14"/>
      <color theme="1"/>
      <name val="Calibri"/>
      <family val="2"/>
    </font>
    <font>
      <b/>
      <sz val="11"/>
      <color rgb="FF000000"/>
      <name val="Calibri"/>
      <family val="2"/>
    </font>
    <font>
      <sz val="6"/>
      <name val="ＭＳ Ｐゴシック"/>
      <family val="3"/>
      <charset val="128"/>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9">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 fillId="0" borderId="0"/>
  </cellStyleXfs>
  <cellXfs count="181">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6" fillId="0" borderId="2" xfId="0" applyFont="1" applyBorder="1"/>
    <xf numFmtId="0" fontId="5" fillId="0" borderId="2" xfId="0" applyFont="1" applyBorder="1" applyAlignment="1">
      <alignment horizontal="center"/>
    </xf>
    <xf numFmtId="0" fontId="5" fillId="0" borderId="2" xfId="0" quotePrefix="1" applyFont="1" applyBorder="1" applyAlignment="1">
      <alignment horizontal="center"/>
    </xf>
    <xf numFmtId="0" fontId="7" fillId="0" borderId="0" xfId="0" applyFont="1" applyBorder="1" applyAlignment="1">
      <alignment horizontal="left"/>
    </xf>
    <xf numFmtId="0" fontId="10" fillId="0" borderId="2" xfId="0" quotePrefix="1" applyFont="1" applyBorder="1" applyAlignment="1">
      <alignment horizontal="center"/>
    </xf>
    <xf numFmtId="0" fontId="10" fillId="0" borderId="2" xfId="0" applyFont="1" applyBorder="1"/>
    <xf numFmtId="14" fontId="10" fillId="0" borderId="2" xfId="0" applyNumberFormat="1" applyFont="1" applyBorder="1"/>
    <xf numFmtId="0" fontId="12" fillId="0" borderId="0" xfId="0" applyFont="1"/>
    <xf numFmtId="0" fontId="15" fillId="9" borderId="13" xfId="0" applyFont="1" applyFill="1" applyBorder="1" applyAlignment="1" applyProtection="1">
      <alignment vertical="center"/>
    </xf>
    <xf numFmtId="0" fontId="15" fillId="9" borderId="11" xfId="0" applyFont="1" applyFill="1" applyBorder="1" applyAlignment="1" applyProtection="1">
      <alignment vertical="center"/>
    </xf>
    <xf numFmtId="0" fontId="15" fillId="9" borderId="12" xfId="0" applyFont="1" applyFill="1" applyBorder="1" applyAlignment="1" applyProtection="1">
      <alignment vertical="center"/>
    </xf>
    <xf numFmtId="0" fontId="16" fillId="0" borderId="15" xfId="0" applyFont="1" applyBorder="1" applyAlignment="1" applyProtection="1">
      <alignment horizontal="left" vertical="center" wrapText="1"/>
      <protection locked="0"/>
    </xf>
    <xf numFmtId="0" fontId="15" fillId="0" borderId="13" xfId="0" applyFont="1" applyBorder="1" applyAlignment="1" applyProtection="1">
      <alignment vertical="center"/>
    </xf>
    <xf numFmtId="0" fontId="15" fillId="0" borderId="14" xfId="0" applyFont="1" applyBorder="1" applyAlignment="1" applyProtection="1">
      <alignment vertical="center"/>
    </xf>
    <xf numFmtId="0" fontId="18" fillId="0" borderId="12" xfId="0" applyFont="1" applyBorder="1" applyAlignment="1" applyProtection="1">
      <alignment vertical="center" wrapText="1"/>
      <protection locked="0"/>
    </xf>
    <xf numFmtId="164" fontId="18" fillId="0" borderId="12" xfId="0" applyNumberFormat="1" applyFont="1" applyBorder="1" applyAlignment="1" applyProtection="1">
      <alignment vertical="center" wrapText="1"/>
      <protection locked="0"/>
    </xf>
    <xf numFmtId="0" fontId="19" fillId="0" borderId="0" xfId="0" applyFont="1"/>
    <xf numFmtId="0" fontId="20" fillId="0" borderId="0" xfId="0" applyFont="1"/>
    <xf numFmtId="0" fontId="15" fillId="9" borderId="16" xfId="0" applyFont="1" applyFill="1" applyBorder="1" applyAlignment="1" applyProtection="1">
      <alignment vertical="center"/>
    </xf>
    <xf numFmtId="0" fontId="18" fillId="0" borderId="0" xfId="0" applyFont="1"/>
    <xf numFmtId="0" fontId="21" fillId="13" borderId="0" xfId="0" applyFont="1" applyFill="1" applyBorder="1" applyAlignment="1">
      <alignment horizontal="center" vertical="center" wrapText="1"/>
    </xf>
    <xf numFmtId="0" fontId="18" fillId="11" borderId="0" xfId="0" applyFont="1" applyFill="1" applyBorder="1" applyAlignment="1">
      <alignment horizontal="left" wrapText="1"/>
    </xf>
    <xf numFmtId="0" fontId="18" fillId="11" borderId="0" xfId="0" applyFont="1" applyFill="1" applyBorder="1"/>
    <xf numFmtId="0" fontId="18" fillId="11" borderId="0" xfId="0" applyFont="1" applyFill="1" applyBorder="1" applyAlignment="1" applyProtection="1">
      <alignment horizontal="center" vertical="center"/>
    </xf>
    <xf numFmtId="0" fontId="16" fillId="11" borderId="0" xfId="0" applyFont="1" applyFill="1" applyBorder="1" applyAlignment="1">
      <alignment horizontal="center" vertical="center" wrapText="1"/>
    </xf>
    <xf numFmtId="9" fontId="18" fillId="11" borderId="0" xfId="0" applyNumberFormat="1" applyFont="1" applyFill="1" applyBorder="1" applyAlignment="1">
      <alignment horizontal="right" vertical="center" indent="1"/>
    </xf>
    <xf numFmtId="0" fontId="19" fillId="0" borderId="0" xfId="0" applyFont="1" applyBorder="1"/>
    <xf numFmtId="0" fontId="19" fillId="0" borderId="2" xfId="0" applyFont="1" applyBorder="1" applyAlignment="1">
      <alignment horizontal="center"/>
    </xf>
    <xf numFmtId="0" fontId="23" fillId="12" borderId="18" xfId="9" applyFont="1" applyFill="1" applyBorder="1" applyAlignment="1">
      <alignment vertical="center"/>
    </xf>
    <xf numFmtId="0" fontId="19" fillId="0" borderId="2" xfId="0" applyFont="1" applyFill="1" applyBorder="1"/>
    <xf numFmtId="0" fontId="19" fillId="0" borderId="18" xfId="0" applyFont="1" applyFill="1" applyBorder="1"/>
    <xf numFmtId="10" fontId="19" fillId="0" borderId="2" xfId="0" applyNumberFormat="1" applyFont="1" applyBorder="1"/>
    <xf numFmtId="0" fontId="19" fillId="0" borderId="2" xfId="0" applyFont="1" applyBorder="1"/>
    <xf numFmtId="0" fontId="19" fillId="0" borderId="18" xfId="0" applyFont="1" applyBorder="1"/>
    <xf numFmtId="0" fontId="12" fillId="0" borderId="0" xfId="0" applyFont="1" applyBorder="1" applyAlignment="1">
      <alignment horizontal="left" vertical="top" wrapText="1"/>
    </xf>
    <xf numFmtId="0" fontId="25" fillId="2" borderId="32" xfId="0" applyFont="1" applyFill="1" applyBorder="1" applyAlignment="1">
      <alignment horizontal="left" vertical="top" wrapText="1"/>
    </xf>
    <xf numFmtId="0" fontId="25" fillId="2" borderId="33" xfId="0" applyFont="1" applyFill="1" applyBorder="1" applyAlignment="1">
      <alignment horizontal="left" vertical="top" wrapText="1"/>
    </xf>
    <xf numFmtId="0" fontId="26" fillId="3" borderId="0" xfId="0" applyFont="1" applyFill="1" applyBorder="1" applyAlignment="1">
      <alignment horizontal="left" vertical="top" wrapText="1"/>
    </xf>
    <xf numFmtId="0" fontId="26" fillId="3" borderId="7" xfId="0" applyFont="1" applyFill="1" applyBorder="1" applyAlignment="1">
      <alignment horizontal="left" vertical="top" wrapText="1"/>
    </xf>
    <xf numFmtId="0" fontId="27" fillId="0" borderId="0" xfId="62" applyFont="1" applyBorder="1" applyAlignment="1">
      <alignment horizontal="left" vertical="top" wrapText="1"/>
    </xf>
    <xf numFmtId="0" fontId="19" fillId="0" borderId="0" xfId="0" applyFont="1" applyBorder="1" applyAlignment="1">
      <alignment horizontal="left" vertical="top" wrapText="1"/>
    </xf>
    <xf numFmtId="0" fontId="28" fillId="3" borderId="0" xfId="0" applyFont="1" applyFill="1" applyBorder="1" applyAlignment="1">
      <alignment horizontal="left" vertical="top" wrapText="1"/>
    </xf>
    <xf numFmtId="0" fontId="28" fillId="3" borderId="7" xfId="0" applyFont="1" applyFill="1" applyBorder="1" applyAlignment="1">
      <alignment horizontal="left" vertical="top" wrapText="1"/>
    </xf>
    <xf numFmtId="0" fontId="27" fillId="0" borderId="0" xfId="0" applyFont="1" applyBorder="1" applyAlignment="1">
      <alignment horizontal="left" vertical="top" wrapText="1"/>
    </xf>
    <xf numFmtId="0" fontId="25" fillId="2" borderId="20" xfId="0" applyFont="1" applyFill="1" applyBorder="1" applyAlignment="1">
      <alignment horizontal="left" vertical="top" wrapText="1"/>
    </xf>
    <xf numFmtId="0" fontId="25" fillId="2" borderId="22" xfId="0" applyFont="1" applyFill="1" applyBorder="1" applyAlignment="1">
      <alignment horizontal="left" vertical="top" wrapText="1"/>
    </xf>
    <xf numFmtId="0" fontId="25" fillId="2" borderId="1" xfId="0" applyFont="1" applyFill="1" applyBorder="1" applyAlignment="1">
      <alignment horizontal="left" vertical="top" wrapText="1"/>
    </xf>
    <xf numFmtId="49" fontId="19" fillId="0" borderId="2" xfId="0" applyNumberFormat="1" applyFont="1" applyBorder="1" applyAlignment="1">
      <alignment vertical="top" wrapText="1"/>
    </xf>
    <xf numFmtId="0" fontId="19" fillId="0" borderId="2" xfId="0" applyFont="1" applyBorder="1" applyAlignment="1">
      <alignment horizontal="left" vertical="top" wrapText="1"/>
    </xf>
    <xf numFmtId="0" fontId="12" fillId="0" borderId="0" xfId="0" applyFont="1" applyAlignment="1">
      <alignment horizontal="left" vertical="top" wrapText="1"/>
    </xf>
    <xf numFmtId="0" fontId="19" fillId="0" borderId="0" xfId="0" applyFont="1" applyAlignment="1">
      <alignment horizontal="left" vertical="top" wrapText="1"/>
    </xf>
    <xf numFmtId="0" fontId="34" fillId="0" borderId="2" xfId="0" applyFont="1" applyBorder="1"/>
    <xf numFmtId="14" fontId="12" fillId="0" borderId="2" xfId="0" applyNumberFormat="1" applyFont="1" applyBorder="1"/>
    <xf numFmtId="0" fontId="12" fillId="0" borderId="2" xfId="0" applyFont="1" applyBorder="1"/>
    <xf numFmtId="0" fontId="12" fillId="0" borderId="2" xfId="0" quotePrefix="1" applyFont="1" applyBorder="1" applyAlignment="1">
      <alignment horizontal="center"/>
    </xf>
    <xf numFmtId="49" fontId="25" fillId="4" borderId="35" xfId="0" applyNumberFormat="1" applyFont="1" applyFill="1" applyBorder="1" applyAlignment="1">
      <alignment horizontal="center" vertical="top" wrapText="1"/>
    </xf>
    <xf numFmtId="49" fontId="25" fillId="4" borderId="35" xfId="0" quotePrefix="1" applyNumberFormat="1" applyFont="1" applyFill="1" applyBorder="1" applyAlignment="1">
      <alignment horizontal="center" vertical="top" wrapText="1"/>
    </xf>
    <xf numFmtId="0" fontId="33" fillId="0" borderId="0" xfId="0" applyFont="1" applyBorder="1" applyAlignment="1">
      <alignment horizontal="left"/>
    </xf>
    <xf numFmtId="0" fontId="2" fillId="0" borderId="15" xfId="9" applyBorder="1" applyAlignment="1" applyProtection="1">
      <alignment horizontal="left" vertical="center" wrapText="1"/>
      <protection locked="0"/>
    </xf>
    <xf numFmtId="49" fontId="25" fillId="4" borderId="0" xfId="0" applyNumberFormat="1" applyFont="1" applyFill="1" applyBorder="1" applyAlignment="1">
      <alignment horizontal="center" vertical="top" wrapText="1"/>
    </xf>
    <xf numFmtId="49" fontId="25" fillId="4" borderId="0" xfId="0" quotePrefix="1" applyNumberFormat="1" applyFont="1" applyFill="1" applyBorder="1" applyAlignment="1">
      <alignment horizontal="center" vertical="top" wrapText="1"/>
    </xf>
    <xf numFmtId="0" fontId="0" fillId="0" borderId="36" xfId="0" applyBorder="1" applyAlignment="1">
      <alignment horizontal="center"/>
    </xf>
    <xf numFmtId="14" fontId="0" fillId="0" borderId="36" xfId="0" applyNumberFormat="1" applyBorder="1"/>
    <xf numFmtId="0" fontId="41" fillId="0" borderId="0" xfId="0" applyFont="1" applyAlignment="1">
      <alignment horizontal="left" vertical="top"/>
    </xf>
    <xf numFmtId="0" fontId="25" fillId="2" borderId="32" xfId="0" applyFont="1" applyFill="1" applyBorder="1" applyAlignment="1">
      <alignment horizontal="center" vertical="top" wrapText="1"/>
    </xf>
    <xf numFmtId="0" fontId="27" fillId="0" borderId="38" xfId="0" applyFont="1" applyBorder="1" applyAlignment="1">
      <alignment horizontal="left" vertical="top" wrapText="1"/>
    </xf>
    <xf numFmtId="0" fontId="29" fillId="0" borderId="38" xfId="0" applyFont="1" applyBorder="1" applyAlignment="1">
      <alignment horizontal="left" vertical="top" wrapText="1"/>
    </xf>
    <xf numFmtId="0" fontId="30" fillId="0" borderId="38" xfId="9" applyFont="1" applyBorder="1" applyAlignment="1">
      <alignment horizontal="left" vertical="top" wrapText="1"/>
    </xf>
    <xf numFmtId="0" fontId="17" fillId="0" borderId="38" xfId="9" applyFont="1" applyBorder="1" applyAlignment="1">
      <alignment horizontal="left" vertical="top" wrapText="1"/>
    </xf>
    <xf numFmtId="0" fontId="31" fillId="0" borderId="38" xfId="0" applyFont="1" applyBorder="1" applyAlignment="1">
      <alignment horizontal="left" vertical="top" wrapText="1"/>
    </xf>
    <xf numFmtId="0" fontId="12" fillId="0" borderId="0" xfId="0" applyFont="1" applyBorder="1" applyAlignment="1">
      <alignment vertical="top"/>
    </xf>
    <xf numFmtId="49" fontId="12" fillId="0" borderId="0" xfId="0" applyNumberFormat="1" applyFont="1" applyBorder="1" applyAlignment="1">
      <alignment vertical="top"/>
    </xf>
    <xf numFmtId="0" fontId="9" fillId="0" borderId="0" xfId="0" applyFont="1" applyAlignment="1">
      <alignment vertical="top"/>
    </xf>
    <xf numFmtId="49" fontId="25" fillId="2" borderId="34" xfId="0" applyNumberFormat="1" applyFont="1" applyFill="1" applyBorder="1" applyAlignment="1">
      <alignment horizontal="center" vertical="top" wrapText="1"/>
    </xf>
    <xf numFmtId="49" fontId="25" fillId="2" borderId="32" xfId="0" applyNumberFormat="1" applyFont="1" applyFill="1" applyBorder="1" applyAlignment="1">
      <alignment horizontal="center" vertical="top" wrapText="1"/>
    </xf>
    <xf numFmtId="49" fontId="26" fillId="3" borderId="35" xfId="0" applyNumberFormat="1" applyFont="1" applyFill="1" applyBorder="1" applyAlignment="1">
      <alignment horizontal="center" vertical="top" wrapText="1"/>
    </xf>
    <xf numFmtId="49" fontId="26" fillId="3" borderId="0" xfId="0" applyNumberFormat="1" applyFont="1" applyFill="1" applyBorder="1" applyAlignment="1">
      <alignment horizontal="center" vertical="top" wrapText="1"/>
    </xf>
    <xf numFmtId="0" fontId="26" fillId="3" borderId="0" xfId="0" applyFont="1" applyFill="1" applyBorder="1" applyAlignment="1">
      <alignment horizontal="center" vertical="top" wrapText="1"/>
    </xf>
    <xf numFmtId="0" fontId="27" fillId="7" borderId="0" xfId="0" applyFont="1" applyFill="1" applyBorder="1" applyAlignment="1">
      <alignment horizontal="center" vertical="top" wrapText="1"/>
    </xf>
    <xf numFmtId="0" fontId="27" fillId="6" borderId="0" xfId="0" applyFont="1" applyFill="1" applyBorder="1" applyAlignment="1">
      <alignment horizontal="center" vertical="top" wrapText="1"/>
    </xf>
    <xf numFmtId="0" fontId="27" fillId="0" borderId="37" xfId="0" applyFont="1" applyBorder="1" applyAlignment="1">
      <alignment horizontal="center" vertical="top" wrapText="1"/>
    </xf>
    <xf numFmtId="0" fontId="2" fillId="0" borderId="0" xfId="9" applyBorder="1" applyAlignment="1">
      <alignment horizontal="left" vertical="top"/>
    </xf>
    <xf numFmtId="0" fontId="38" fillId="0" borderId="0" xfId="0" applyFont="1" applyBorder="1" applyAlignment="1">
      <alignment vertical="top" wrapText="1"/>
    </xf>
    <xf numFmtId="0" fontId="2" fillId="0" borderId="0" xfId="9" applyBorder="1" applyAlignment="1">
      <alignment vertical="top" wrapText="1"/>
    </xf>
    <xf numFmtId="0" fontId="0" fillId="0" borderId="0" xfId="0" applyBorder="1" applyAlignment="1">
      <alignment vertical="top"/>
    </xf>
    <xf numFmtId="0" fontId="27" fillId="0" borderId="0" xfId="0" applyFont="1" applyBorder="1" applyAlignment="1">
      <alignment vertical="top" wrapText="1"/>
    </xf>
    <xf numFmtId="0" fontId="27" fillId="0" borderId="0" xfId="0" applyFont="1" applyFill="1" applyBorder="1" applyAlignment="1">
      <alignment vertical="top" wrapText="1"/>
    </xf>
    <xf numFmtId="49" fontId="28" fillId="3" borderId="35" xfId="0" applyNumberFormat="1" applyFont="1" applyFill="1" applyBorder="1" applyAlignment="1">
      <alignment horizontal="center" vertical="top" wrapText="1"/>
    </xf>
    <xf numFmtId="49" fontId="28" fillId="3" borderId="0" xfId="0" applyNumberFormat="1" applyFont="1" applyFill="1" applyBorder="1" applyAlignment="1">
      <alignment horizontal="center" vertical="top" wrapText="1"/>
    </xf>
    <xf numFmtId="0" fontId="28" fillId="3" borderId="0" xfId="0" applyFont="1" applyFill="1" applyBorder="1" applyAlignment="1">
      <alignment vertical="top" wrapText="1"/>
    </xf>
    <xf numFmtId="0" fontId="28" fillId="3" borderId="0" xfId="0" applyFont="1" applyFill="1" applyBorder="1" applyAlignment="1">
      <alignment horizontal="center" vertical="top" wrapText="1"/>
    </xf>
    <xf numFmtId="0" fontId="35" fillId="3" borderId="0" xfId="0" applyFont="1" applyFill="1" applyBorder="1" applyAlignment="1">
      <alignment vertical="top" wrapText="1"/>
    </xf>
    <xf numFmtId="0" fontId="2" fillId="0" borderId="0" xfId="9" quotePrefix="1" applyBorder="1" applyAlignment="1">
      <alignment vertical="top" wrapText="1"/>
    </xf>
    <xf numFmtId="0" fontId="2" fillId="0" borderId="0" xfId="9" applyBorder="1" applyAlignment="1">
      <alignment vertical="top"/>
    </xf>
    <xf numFmtId="0" fontId="30" fillId="0" borderId="0" xfId="9" applyFont="1" applyBorder="1" applyAlignment="1">
      <alignment horizontal="left" vertical="top" wrapText="1"/>
    </xf>
    <xf numFmtId="0" fontId="39" fillId="0" borderId="0" xfId="9" applyFont="1" applyBorder="1" applyAlignment="1">
      <alignment horizontal="left" vertical="top" wrapText="1"/>
    </xf>
    <xf numFmtId="0" fontId="2" fillId="0" borderId="0" xfId="9" applyBorder="1" applyAlignment="1">
      <alignment horizontal="left" vertical="top" wrapText="1"/>
    </xf>
    <xf numFmtId="0" fontId="27" fillId="0" borderId="0" xfId="0" applyFont="1" applyFill="1" applyBorder="1" applyAlignment="1">
      <alignment horizontal="center" vertical="top" wrapText="1"/>
    </xf>
    <xf numFmtId="0" fontId="31" fillId="0" borderId="0" xfId="0" applyFont="1" applyBorder="1" applyAlignment="1">
      <alignment vertical="top"/>
    </xf>
    <xf numFmtId="49" fontId="25" fillId="2" borderId="21" xfId="0" applyNumberFormat="1" applyFont="1" applyFill="1" applyBorder="1" applyAlignment="1">
      <alignment horizontal="center" vertical="top" wrapText="1"/>
    </xf>
    <xf numFmtId="49" fontId="25" fillId="2" borderId="20" xfId="0" applyNumberFormat="1" applyFont="1" applyFill="1" applyBorder="1" applyAlignment="1">
      <alignment horizontal="center" vertical="top" wrapText="1"/>
    </xf>
    <xf numFmtId="0" fontId="25" fillId="2" borderId="20" xfId="0" applyFont="1" applyFill="1" applyBorder="1" applyAlignment="1">
      <alignment horizontal="center" vertical="top" wrapText="1"/>
    </xf>
    <xf numFmtId="0" fontId="36" fillId="2" borderId="20" xfId="0" applyFont="1" applyFill="1" applyBorder="1" applyAlignment="1">
      <alignment horizontal="center" vertical="top" wrapText="1"/>
    </xf>
    <xf numFmtId="49" fontId="19" fillId="0" borderId="0" xfId="0" applyNumberFormat="1" applyFont="1" applyBorder="1" applyAlignment="1">
      <alignment vertical="top"/>
    </xf>
    <xf numFmtId="0" fontId="19" fillId="0" borderId="0" xfId="0" applyFont="1" applyBorder="1" applyAlignment="1">
      <alignment vertical="top"/>
    </xf>
    <xf numFmtId="0" fontId="37" fillId="0" borderId="0" xfId="0" applyFont="1" applyAlignment="1">
      <alignment vertical="top"/>
    </xf>
    <xf numFmtId="49" fontId="32" fillId="0" borderId="0" xfId="0" applyNumberFormat="1" applyFont="1" applyBorder="1" applyAlignment="1">
      <alignment horizontal="left" vertical="top"/>
    </xf>
    <xf numFmtId="49" fontId="25" fillId="2" borderId="1" xfId="0" applyNumberFormat="1" applyFont="1" applyFill="1" applyBorder="1" applyAlignment="1">
      <alignment vertical="top" wrapText="1"/>
    </xf>
    <xf numFmtId="0" fontId="1" fillId="0" borderId="0" xfId="0" applyFont="1" applyAlignment="1">
      <alignment vertical="top"/>
    </xf>
    <xf numFmtId="0" fontId="0" fillId="0" borderId="0" xfId="0" applyAlignment="1">
      <alignment vertical="top"/>
    </xf>
    <xf numFmtId="49" fontId="24" fillId="0" borderId="0" xfId="0" applyNumberFormat="1" applyFont="1" applyBorder="1" applyAlignment="1">
      <alignment vertical="top"/>
    </xf>
    <xf numFmtId="0" fontId="27" fillId="5" borderId="0"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49" fontId="24" fillId="0" borderId="0" xfId="0" applyNumberFormat="1" applyFont="1" applyAlignment="1">
      <alignment vertical="top"/>
    </xf>
    <xf numFmtId="0" fontId="12" fillId="0" borderId="0" xfId="0" applyFont="1" applyAlignment="1">
      <alignment vertical="top"/>
    </xf>
    <xf numFmtId="49" fontId="12" fillId="0" borderId="0" xfId="0" applyNumberFormat="1" applyFont="1" applyAlignment="1">
      <alignment vertical="top"/>
    </xf>
    <xf numFmtId="0" fontId="12" fillId="0" borderId="0" xfId="0" applyFont="1" applyAlignment="1">
      <alignment vertical="top" wrapText="1"/>
    </xf>
    <xf numFmtId="49" fontId="19" fillId="0" borderId="0" xfId="0" applyNumberFormat="1" applyFont="1" applyAlignment="1">
      <alignment vertical="top"/>
    </xf>
    <xf numFmtId="0" fontId="19" fillId="0" borderId="0" xfId="0" applyFont="1" applyAlignment="1">
      <alignment vertical="top"/>
    </xf>
    <xf numFmtId="49" fontId="32" fillId="0" borderId="0" xfId="0" applyNumberFormat="1" applyFont="1" applyAlignment="1">
      <alignment horizontal="left" vertical="top"/>
    </xf>
    <xf numFmtId="0" fontId="42" fillId="3" borderId="0" xfId="0" applyFont="1" applyFill="1" applyBorder="1" applyAlignment="1">
      <alignment horizontal="center" vertical="top" wrapText="1"/>
    </xf>
    <xf numFmtId="0" fontId="5" fillId="0" borderId="2" xfId="0" applyFont="1" applyBorder="1" applyAlignment="1">
      <alignment wrapText="1"/>
    </xf>
    <xf numFmtId="0" fontId="5" fillId="0" borderId="36" xfId="0" applyFont="1" applyBorder="1" applyAlignment="1">
      <alignment horizontal="center"/>
    </xf>
    <xf numFmtId="14" fontId="5" fillId="0" borderId="36" xfId="0" applyNumberFormat="1" applyFont="1" applyBorder="1"/>
    <xf numFmtId="0" fontId="5" fillId="0" borderId="36" xfId="0" applyFont="1" applyBorder="1" applyAlignment="1">
      <alignment wrapText="1"/>
    </xf>
    <xf numFmtId="0" fontId="10" fillId="0" borderId="36" xfId="0" applyFont="1" applyBorder="1" applyAlignment="1">
      <alignment horizontal="center"/>
    </xf>
    <xf numFmtId="0" fontId="12" fillId="0" borderId="2" xfId="0" applyFont="1" applyBorder="1" applyAlignment="1">
      <alignment wrapText="1"/>
    </xf>
    <xf numFmtId="0" fontId="44" fillId="0" borderId="0" xfId="0" applyFont="1"/>
    <xf numFmtId="0" fontId="2" fillId="0" borderId="0" xfId="9"/>
    <xf numFmtId="0" fontId="45" fillId="0" borderId="0" xfId="0" applyFont="1" applyAlignment="1">
      <alignment horizontal="center" vertical="top" wrapText="1"/>
    </xf>
    <xf numFmtId="0" fontId="15" fillId="0" borderId="13" xfId="0" applyFont="1" applyBorder="1" applyAlignment="1" applyProtection="1">
      <alignment horizontal="left" vertical="center"/>
    </xf>
    <xf numFmtId="0" fontId="15" fillId="0" borderId="12" xfId="0" applyFont="1" applyBorder="1" applyAlignment="1" applyProtection="1">
      <alignment horizontal="left" vertical="center"/>
    </xf>
    <xf numFmtId="0" fontId="12" fillId="10" borderId="13" xfId="0" applyFont="1" applyFill="1" applyBorder="1" applyAlignment="1" applyProtection="1">
      <alignment horizontal="center" vertical="center"/>
    </xf>
    <xf numFmtId="0" fontId="12" fillId="10" borderId="11" xfId="0" applyFont="1" applyFill="1" applyBorder="1" applyAlignment="1" applyProtection="1">
      <alignment horizontal="center" vertical="center"/>
    </xf>
    <xf numFmtId="0" fontId="12" fillId="10" borderId="12" xfId="0" applyFont="1" applyFill="1" applyBorder="1" applyAlignment="1" applyProtection="1">
      <alignment horizontal="center" vertical="center"/>
    </xf>
    <xf numFmtId="0" fontId="15" fillId="0" borderId="13" xfId="0" applyFont="1" applyBorder="1" applyAlignment="1" applyProtection="1">
      <alignment vertical="center"/>
    </xf>
    <xf numFmtId="0" fontId="15" fillId="0" borderId="14" xfId="0" applyFont="1" applyBorder="1" applyAlignment="1" applyProtection="1">
      <alignment vertical="center"/>
    </xf>
    <xf numFmtId="0" fontId="12" fillId="0" borderId="11" xfId="0" applyFont="1" applyBorder="1" applyAlignment="1" applyProtection="1">
      <alignment horizontal="center"/>
    </xf>
    <xf numFmtId="0" fontId="12" fillId="0" borderId="12" xfId="0" applyFont="1" applyBorder="1" applyAlignment="1" applyProtection="1">
      <alignment horizontal="center"/>
    </xf>
    <xf numFmtId="0" fontId="15" fillId="0" borderId="13" xfId="0" applyFont="1" applyBorder="1" applyAlignment="1" applyProtection="1">
      <alignment vertical="center" wrapText="1"/>
    </xf>
    <xf numFmtId="0" fontId="15" fillId="0" borderId="14" xfId="0" applyFont="1" applyBorder="1" applyAlignment="1" applyProtection="1">
      <alignment horizontal="left" vertical="center"/>
    </xf>
    <xf numFmtId="0" fontId="13" fillId="8" borderId="3" xfId="0" applyFont="1" applyFill="1" applyBorder="1" applyAlignment="1" applyProtection="1">
      <alignment horizontal="left" vertical="top" wrapText="1"/>
    </xf>
    <xf numFmtId="0" fontId="13" fillId="8" borderId="4" xfId="0" applyFont="1" applyFill="1" applyBorder="1" applyAlignment="1" applyProtection="1">
      <alignment horizontal="left" vertical="top"/>
    </xf>
    <xf numFmtId="0" fontId="13" fillId="8" borderId="5" xfId="0" applyFont="1" applyFill="1" applyBorder="1" applyAlignment="1" applyProtection="1">
      <alignment horizontal="left" vertical="top"/>
    </xf>
    <xf numFmtId="0" fontId="13" fillId="8" borderId="6" xfId="0" applyFont="1" applyFill="1" applyBorder="1" applyAlignment="1" applyProtection="1">
      <alignment horizontal="left" vertical="top"/>
    </xf>
    <xf numFmtId="0" fontId="13" fillId="8" borderId="0" xfId="0" applyFont="1" applyFill="1" applyBorder="1" applyAlignment="1" applyProtection="1">
      <alignment horizontal="left" vertical="top"/>
    </xf>
    <xf numFmtId="0" fontId="13" fillId="8" borderId="7" xfId="0" applyFont="1" applyFill="1" applyBorder="1" applyAlignment="1" applyProtection="1">
      <alignment horizontal="left" vertical="top"/>
    </xf>
    <xf numFmtId="0" fontId="13" fillId="8" borderId="8" xfId="0" applyFont="1" applyFill="1" applyBorder="1" applyAlignment="1" applyProtection="1">
      <alignment horizontal="left" vertical="top"/>
    </xf>
    <xf numFmtId="0" fontId="13" fillId="8" borderId="9" xfId="0" applyFont="1" applyFill="1" applyBorder="1" applyAlignment="1" applyProtection="1">
      <alignment horizontal="left" vertical="top"/>
    </xf>
    <xf numFmtId="0" fontId="13" fillId="8" borderId="10" xfId="0" applyFont="1" applyFill="1" applyBorder="1" applyAlignment="1" applyProtection="1">
      <alignment horizontal="left" vertical="top"/>
    </xf>
    <xf numFmtId="0" fontId="12" fillId="0" borderId="11" xfId="0" quotePrefix="1" applyFont="1" applyBorder="1" applyAlignment="1" applyProtection="1">
      <alignment horizontal="center"/>
    </xf>
    <xf numFmtId="0" fontId="15" fillId="0" borderId="13" xfId="0" applyFont="1" applyBorder="1" applyAlignment="1" applyProtection="1">
      <alignment horizontal="left" vertical="center" wrapText="1"/>
    </xf>
    <xf numFmtId="0" fontId="15" fillId="0" borderId="11" xfId="0" applyFont="1" applyBorder="1" applyAlignment="1" applyProtection="1">
      <alignment horizontal="left" vertical="center" wrapText="1"/>
    </xf>
    <xf numFmtId="0" fontId="15" fillId="0" borderId="12" xfId="0" applyFont="1" applyBorder="1" applyAlignment="1" applyProtection="1">
      <alignment horizontal="left" vertical="center" wrapText="1"/>
    </xf>
    <xf numFmtId="0" fontId="18" fillId="0" borderId="30" xfId="0" applyFont="1" applyBorder="1" applyAlignment="1">
      <alignment horizontal="center"/>
    </xf>
    <xf numFmtId="0" fontId="18" fillId="0" borderId="31" xfId="0" applyFont="1" applyBorder="1" applyAlignment="1">
      <alignment horizontal="center"/>
    </xf>
    <xf numFmtId="0" fontId="18" fillId="0" borderId="17" xfId="0" applyFont="1" applyBorder="1" applyAlignment="1">
      <alignment horizontal="center"/>
    </xf>
    <xf numFmtId="1" fontId="22" fillId="0" borderId="23" xfId="0" applyNumberFormat="1" applyFont="1" applyBorder="1" applyAlignment="1">
      <alignment horizontal="center" vertical="center"/>
    </xf>
    <xf numFmtId="1" fontId="22" fillId="0" borderId="19" xfId="0" applyNumberFormat="1" applyFont="1" applyBorder="1" applyAlignment="1">
      <alignment horizontal="center" vertical="center"/>
    </xf>
    <xf numFmtId="1" fontId="22" fillId="0" borderId="24" xfId="0" applyNumberFormat="1" applyFont="1" applyBorder="1" applyAlignment="1">
      <alignment horizontal="center" vertical="center"/>
    </xf>
    <xf numFmtId="1" fontId="22" fillId="0" borderId="25" xfId="0" applyNumberFormat="1" applyFont="1" applyBorder="1" applyAlignment="1">
      <alignment horizontal="center" vertical="center"/>
    </xf>
    <xf numFmtId="1" fontId="22" fillId="0" borderId="0" xfId="0" applyNumberFormat="1" applyFont="1" applyBorder="1" applyAlignment="1">
      <alignment horizontal="center" vertical="center"/>
    </xf>
    <xf numFmtId="1" fontId="22" fillId="0" borderId="26" xfId="0" applyNumberFormat="1" applyFont="1" applyBorder="1" applyAlignment="1">
      <alignment horizontal="center" vertical="center"/>
    </xf>
    <xf numFmtId="1" fontId="22" fillId="0" borderId="27" xfId="0" applyNumberFormat="1" applyFont="1" applyBorder="1" applyAlignment="1">
      <alignment horizontal="center" vertical="center"/>
    </xf>
    <xf numFmtId="1" fontId="22" fillId="0" borderId="28" xfId="0" applyNumberFormat="1" applyFont="1" applyBorder="1" applyAlignment="1">
      <alignment horizontal="center" vertical="center"/>
    </xf>
    <xf numFmtId="1" fontId="22" fillId="0" borderId="29" xfId="0" applyNumberFormat="1" applyFont="1" applyBorder="1" applyAlignment="1">
      <alignment horizontal="center" vertical="center"/>
    </xf>
    <xf numFmtId="0" fontId="21" fillId="13" borderId="0" xfId="0" applyFont="1" applyFill="1" applyBorder="1" applyAlignment="1">
      <alignment horizontal="center" vertical="center" wrapText="1"/>
    </xf>
    <xf numFmtId="0" fontId="23" fillId="12" borderId="21" xfId="9" applyFont="1" applyFill="1" applyBorder="1" applyAlignment="1">
      <alignment horizontal="center" vertical="center"/>
    </xf>
    <xf numFmtId="0" fontId="23" fillId="12" borderId="20" xfId="9" applyFont="1" applyFill="1" applyBorder="1" applyAlignment="1">
      <alignment horizontal="center" vertical="center"/>
    </xf>
    <xf numFmtId="0" fontId="23" fillId="12" borderId="22" xfId="9" applyFont="1" applyFill="1" applyBorder="1" applyAlignment="1">
      <alignment horizontal="center" vertical="center"/>
    </xf>
    <xf numFmtId="0" fontId="18" fillId="0" borderId="0" xfId="0" applyFont="1"/>
    <xf numFmtId="0" fontId="24" fillId="0" borderId="0" xfId="0" applyFont="1" applyBorder="1" applyAlignment="1">
      <alignment horizontal="left" vertical="top"/>
    </xf>
    <xf numFmtId="0" fontId="25" fillId="2" borderId="32" xfId="0" applyFont="1" applyFill="1" applyBorder="1" applyAlignment="1">
      <alignment horizontal="center" vertical="top" wrapText="1"/>
    </xf>
    <xf numFmtId="0" fontId="7" fillId="0" borderId="20" xfId="0" applyFont="1" applyBorder="1" applyAlignment="1">
      <alignment horizontal="left"/>
    </xf>
    <xf numFmtId="0" fontId="33" fillId="0" borderId="20" xfId="0" applyFont="1" applyBorder="1" applyAlignment="1">
      <alignment horizontal="left"/>
    </xf>
  </cellXfs>
  <cellStyles count="63">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Link" xfId="1" builtinId="8" hidden="1"/>
    <cellStyle name="Link" xfId="3" builtinId="8" hidden="1"/>
    <cellStyle name="Link" xfId="5" builtinId="8" hidden="1"/>
    <cellStyle name="Link" xfId="7" builtinId="8" hidden="1"/>
    <cellStyle name="Link" xfId="9" builtinId="8"/>
    <cellStyle name="Normal 3" xfId="62" xr:uid="{00000000-0005-0000-0000-00003E000000}"/>
    <cellStyle name="Standard" xfId="0" builtinId="0"/>
  </cellStyles>
  <dxfs count="6">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de-DE"/>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de-DE"/>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de-DE"/>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de-DE"/>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de-DE"/>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de-DE"/>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de-DE"/>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de-DE"/>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4</xdr:col>
      <xdr:colOff>7873</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zoomScaleNormal="100" zoomScalePageLayoutView="120" workbookViewId="0">
      <selection activeCell="D13" sqref="D13"/>
    </sheetView>
  </sheetViews>
  <sheetFormatPr baseColWidth="10" defaultColWidth="8.69921875" defaultRowHeight="15.6"/>
  <cols>
    <col min="1" max="1" width="1.796875" style="12" customWidth="1"/>
    <col min="2" max="2" width="8.69921875" style="12"/>
    <col min="3" max="3" width="13.69921875" style="12" customWidth="1"/>
    <col min="4" max="4" width="70.69921875" style="12" customWidth="1"/>
    <col min="5" max="16384" width="8.69921875" style="12"/>
  </cols>
  <sheetData>
    <row r="1" spans="2:4" ht="7.95" customHeight="1"/>
    <row r="2" spans="2:4">
      <c r="B2" s="147" t="s">
        <v>139</v>
      </c>
      <c r="C2" s="148"/>
      <c r="D2" s="149"/>
    </row>
    <row r="3" spans="2:4">
      <c r="B3" s="150"/>
      <c r="C3" s="151"/>
      <c r="D3" s="152"/>
    </row>
    <row r="4" spans="2:4">
      <c r="B4" s="150"/>
      <c r="C4" s="151"/>
      <c r="D4" s="152"/>
    </row>
    <row r="5" spans="2:4">
      <c r="B5" s="150"/>
      <c r="C5" s="151"/>
      <c r="D5" s="152"/>
    </row>
    <row r="6" spans="2:4">
      <c r="B6" s="150"/>
      <c r="C6" s="151"/>
      <c r="D6" s="152"/>
    </row>
    <row r="7" spans="2:4">
      <c r="B7" s="150"/>
      <c r="C7" s="151"/>
      <c r="D7" s="152"/>
    </row>
    <row r="8" spans="2:4" hidden="1">
      <c r="B8" s="153"/>
      <c r="C8" s="154"/>
      <c r="D8" s="155"/>
    </row>
    <row r="9" spans="2:4">
      <c r="B9" s="156" t="s">
        <v>66</v>
      </c>
      <c r="C9" s="143"/>
      <c r="D9" s="144"/>
    </row>
    <row r="10" spans="2:4">
      <c r="B10" s="13" t="s">
        <v>138</v>
      </c>
      <c r="C10" s="14"/>
      <c r="D10" s="15"/>
    </row>
    <row r="11" spans="2:4">
      <c r="B11" s="141" t="s">
        <v>140</v>
      </c>
      <c r="C11" s="142"/>
      <c r="D11" s="16">
        <v>1.2</v>
      </c>
    </row>
    <row r="12" spans="2:4">
      <c r="B12" s="141" t="s">
        <v>215</v>
      </c>
      <c r="C12" s="142"/>
      <c r="D12" s="63" t="str">
        <f>HYPERLINK(CONCATENATE(
"https://github.com/OWASP/owasp-masvs/blob/",
MASVS_VERSION,
"/Document/"))</f>
        <v>https://github.com/OWASP/owasp-masvs/blob/1.2/Document/</v>
      </c>
    </row>
    <row r="13" spans="2:4">
      <c r="B13" s="141" t="s">
        <v>216</v>
      </c>
      <c r="C13" s="142"/>
      <c r="D13" s="16" t="s">
        <v>423</v>
      </c>
    </row>
    <row r="14" spans="2:4">
      <c r="B14" s="141" t="s">
        <v>141</v>
      </c>
      <c r="C14" s="142"/>
      <c r="D14" s="63" t="str">
        <f>HYPERLINK(CONCATENATE(
"https://github.com/OWASP/owasp-mstg/blob/",
MSTG_VERSION,
"/Document/"))</f>
        <v>https://github.com/OWASP/owasp-mstg/blob/1.1.3-excel/Document/</v>
      </c>
    </row>
    <row r="15" spans="2:4" ht="31.95" customHeight="1">
      <c r="B15" s="157" t="s">
        <v>142</v>
      </c>
      <c r="C15" s="158"/>
      <c r="D15" s="159"/>
    </row>
    <row r="16" spans="2:4">
      <c r="B16" s="141" t="s">
        <v>143</v>
      </c>
      <c r="C16" s="142"/>
      <c r="D16" s="16"/>
    </row>
    <row r="17" spans="2:4">
      <c r="B17" s="136" t="s">
        <v>144</v>
      </c>
      <c r="C17" s="146"/>
      <c r="D17" s="16"/>
    </row>
    <row r="18" spans="2:4">
      <c r="B18" s="141" t="s">
        <v>145</v>
      </c>
      <c r="C18" s="142"/>
      <c r="D18" s="16"/>
    </row>
    <row r="19" spans="2:4">
      <c r="B19" s="141" t="s">
        <v>146</v>
      </c>
      <c r="C19" s="142"/>
      <c r="D19" s="16"/>
    </row>
    <row r="20" spans="2:4">
      <c r="B20" s="141" t="s">
        <v>147</v>
      </c>
      <c r="C20" s="142"/>
      <c r="D20" s="16"/>
    </row>
    <row r="21" spans="2:4">
      <c r="B21" s="141" t="s">
        <v>148</v>
      </c>
      <c r="C21" s="142"/>
      <c r="D21" s="16" t="s">
        <v>149</v>
      </c>
    </row>
    <row r="22" spans="2:4" ht="70.5" customHeight="1">
      <c r="B22" s="141" t="s">
        <v>150</v>
      </c>
      <c r="C22" s="142"/>
      <c r="D22" s="16" t="s">
        <v>224</v>
      </c>
    </row>
    <row r="23" spans="2:4">
      <c r="B23" s="143"/>
      <c r="C23" s="143"/>
      <c r="D23" s="144"/>
    </row>
    <row r="24" spans="2:4">
      <c r="B24" s="13" t="s">
        <v>151</v>
      </c>
      <c r="C24" s="14"/>
      <c r="D24" s="15"/>
    </row>
    <row r="25" spans="2:4">
      <c r="B25" s="17" t="s">
        <v>152</v>
      </c>
      <c r="C25" s="18"/>
      <c r="D25" s="16"/>
    </row>
    <row r="26" spans="2:4">
      <c r="B26" s="141" t="s">
        <v>158</v>
      </c>
      <c r="C26" s="142"/>
      <c r="D26" s="16"/>
    </row>
    <row r="27" spans="2:4">
      <c r="B27" s="141" t="s">
        <v>153</v>
      </c>
      <c r="C27" s="142"/>
      <c r="D27" s="16"/>
    </row>
    <row r="28" spans="2:4">
      <c r="B28" s="141" t="s">
        <v>154</v>
      </c>
      <c r="C28" s="142"/>
      <c r="D28" s="16"/>
    </row>
    <row r="29" spans="2:4" ht="52.05" customHeight="1">
      <c r="B29" s="145" t="s">
        <v>155</v>
      </c>
      <c r="C29" s="142"/>
      <c r="D29" s="16"/>
    </row>
    <row r="30" spans="2:4">
      <c r="B30" s="143"/>
      <c r="C30" s="143"/>
      <c r="D30" s="144"/>
    </row>
    <row r="31" spans="2:4">
      <c r="B31" s="13" t="s">
        <v>156</v>
      </c>
      <c r="C31" s="14"/>
      <c r="D31" s="15"/>
    </row>
    <row r="32" spans="2:4">
      <c r="B32" s="17" t="s">
        <v>152</v>
      </c>
      <c r="C32" s="18"/>
      <c r="D32" s="16"/>
    </row>
    <row r="33" spans="2:4">
      <c r="B33" s="141" t="s">
        <v>157</v>
      </c>
      <c r="C33" s="142"/>
      <c r="D33" s="16"/>
    </row>
    <row r="34" spans="2:4">
      <c r="B34" s="141" t="s">
        <v>153</v>
      </c>
      <c r="C34" s="142"/>
      <c r="D34" s="16"/>
    </row>
    <row r="35" spans="2:4">
      <c r="B35" s="141" t="s">
        <v>154</v>
      </c>
      <c r="C35" s="142"/>
      <c r="D35" s="16"/>
    </row>
    <row r="36" spans="2:4" ht="52.05" customHeight="1">
      <c r="B36" s="145" t="s">
        <v>159</v>
      </c>
      <c r="C36" s="142"/>
      <c r="D36" s="16"/>
    </row>
    <row r="37" spans="2:4">
      <c r="B37" s="143"/>
      <c r="C37" s="143"/>
      <c r="D37" s="144"/>
    </row>
    <row r="38" spans="2:4">
      <c r="B38" s="13" t="s">
        <v>160</v>
      </c>
      <c r="C38" s="14"/>
      <c r="D38" s="15"/>
    </row>
    <row r="39" spans="2:4">
      <c r="B39" s="138"/>
      <c r="C39" s="139"/>
      <c r="D39" s="140"/>
    </row>
    <row r="40" spans="2:4">
      <c r="B40" s="136" t="s">
        <v>161</v>
      </c>
      <c r="C40" s="137"/>
      <c r="D40" s="19"/>
    </row>
    <row r="41" spans="2:4">
      <c r="B41" s="136" t="s">
        <v>162</v>
      </c>
      <c r="C41" s="137"/>
      <c r="D41" s="19"/>
    </row>
    <row r="42" spans="2:4">
      <c r="B42" s="136" t="s">
        <v>163</v>
      </c>
      <c r="C42" s="137"/>
      <c r="D42" s="19"/>
    </row>
    <row r="43" spans="2:4">
      <c r="B43" s="136" t="s">
        <v>164</v>
      </c>
      <c r="C43" s="137"/>
      <c r="D43" s="20"/>
    </row>
    <row r="44" spans="2:4">
      <c r="B44" s="136" t="s">
        <v>165</v>
      </c>
      <c r="C44" s="137"/>
      <c r="D44" s="19"/>
    </row>
    <row r="45" spans="2:4">
      <c r="B45" s="138"/>
      <c r="C45" s="139"/>
      <c r="D45" s="140"/>
    </row>
    <row r="46" spans="2:4">
      <c r="B46" s="136" t="s">
        <v>161</v>
      </c>
      <c r="C46" s="137"/>
      <c r="D46" s="19"/>
    </row>
    <row r="47" spans="2:4">
      <c r="B47" s="136" t="s">
        <v>162</v>
      </c>
      <c r="C47" s="137"/>
      <c r="D47" s="19"/>
    </row>
    <row r="48" spans="2:4">
      <c r="B48" s="136" t="s">
        <v>163</v>
      </c>
      <c r="C48" s="137"/>
      <c r="D48" s="19"/>
    </row>
    <row r="49" spans="2:4">
      <c r="B49" s="136" t="s">
        <v>164</v>
      </c>
      <c r="C49" s="137"/>
      <c r="D49" s="20"/>
    </row>
    <row r="50" spans="2:4">
      <c r="B50" s="136" t="s">
        <v>165</v>
      </c>
      <c r="C50" s="137"/>
      <c r="D50" s="19"/>
    </row>
  </sheetData>
  <mergeCells count="37">
    <mergeCell ref="B21:C21"/>
    <mergeCell ref="B19:C19"/>
    <mergeCell ref="B17:C17"/>
    <mergeCell ref="B2:D8"/>
    <mergeCell ref="B9:D9"/>
    <mergeCell ref="B11:C11"/>
    <mergeCell ref="B18:C18"/>
    <mergeCell ref="B20:C20"/>
    <mergeCell ref="B16:C16"/>
    <mergeCell ref="B15:D15"/>
    <mergeCell ref="B12:C12"/>
    <mergeCell ref="B13:C13"/>
    <mergeCell ref="B14:C14"/>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11"/>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9921875" defaultRowHeight="14.4"/>
  <cols>
    <col min="1" max="1" width="1.5" style="21" customWidth="1"/>
    <col min="2" max="2" width="9.296875" style="21" customWidth="1"/>
    <col min="3" max="3" width="35.69921875" style="21" customWidth="1"/>
    <col min="4" max="11" width="9" style="21" customWidth="1"/>
    <col min="12" max="21" width="4.69921875" style="21" customWidth="1"/>
    <col min="22" max="16384" width="8.69921875" style="21"/>
  </cols>
  <sheetData>
    <row r="1" spans="2:24" ht="15" thickBot="1"/>
    <row r="2" spans="2:24" ht="15" thickBot="1">
      <c r="B2" s="22"/>
      <c r="C2" s="23" t="s">
        <v>166</v>
      </c>
      <c r="D2" s="24"/>
      <c r="E2" s="24"/>
      <c r="F2" s="24"/>
    </row>
    <row r="3" spans="2:24">
      <c r="B3" s="24"/>
      <c r="C3" s="24"/>
      <c r="D3" s="24"/>
      <c r="E3" s="24"/>
      <c r="F3" s="24"/>
    </row>
    <row r="4" spans="2:24">
      <c r="B4" s="176"/>
      <c r="C4" s="176"/>
      <c r="D4" s="176"/>
      <c r="E4" s="176"/>
      <c r="F4" s="176"/>
    </row>
    <row r="5" spans="2:24" ht="16.05" customHeight="1" thickBot="1">
      <c r="B5" s="25"/>
      <c r="C5" s="25"/>
      <c r="D5" s="25"/>
      <c r="E5" s="25"/>
      <c r="F5" s="25"/>
    </row>
    <row r="6" spans="2:24" ht="19.05" customHeight="1" thickBot="1">
      <c r="B6" s="26"/>
      <c r="C6" s="26"/>
      <c r="D6" s="26"/>
      <c r="E6" s="26"/>
      <c r="F6" s="26"/>
      <c r="G6" s="160" t="s">
        <v>167</v>
      </c>
      <c r="H6" s="161"/>
      <c r="I6" s="162"/>
      <c r="V6" s="160" t="s">
        <v>76</v>
      </c>
      <c r="W6" s="161"/>
      <c r="X6" s="162"/>
    </row>
    <row r="7" spans="2:24" ht="15" thickBot="1">
      <c r="B7" s="27"/>
      <c r="C7" s="27"/>
      <c r="D7" s="27"/>
      <c r="E7" s="27"/>
      <c r="F7" s="27"/>
    </row>
    <row r="8" spans="2:24" ht="16.05" customHeight="1">
      <c r="B8" s="25"/>
      <c r="C8" s="25"/>
      <c r="D8" s="25"/>
      <c r="E8" s="25"/>
      <c r="F8" s="25"/>
      <c r="G8" s="163">
        <f>AVERAGE(G43:G50)*5</f>
        <v>0</v>
      </c>
      <c r="H8" s="164"/>
      <c r="I8" s="165"/>
      <c r="V8" s="163">
        <f>AVERAGE(K43:K50)*5</f>
        <v>0</v>
      </c>
      <c r="W8" s="164"/>
      <c r="X8" s="165"/>
    </row>
    <row r="9" spans="2:24" ht="91.05" customHeight="1">
      <c r="B9" s="26"/>
      <c r="C9" s="26"/>
      <c r="D9" s="26"/>
      <c r="E9" s="26"/>
      <c r="F9" s="26"/>
      <c r="G9" s="166"/>
      <c r="H9" s="167"/>
      <c r="I9" s="168"/>
      <c r="V9" s="166"/>
      <c r="W9" s="167"/>
      <c r="X9" s="168"/>
    </row>
    <row r="10" spans="2:24" ht="16.5" customHeight="1">
      <c r="B10" s="27"/>
      <c r="C10" s="27"/>
      <c r="D10" s="27"/>
      <c r="E10" s="27"/>
      <c r="F10" s="27"/>
      <c r="G10" s="166"/>
      <c r="H10" s="167"/>
      <c r="I10" s="168"/>
      <c r="V10" s="166"/>
      <c r="W10" s="167"/>
      <c r="X10" s="168"/>
    </row>
    <row r="11" spans="2:24" ht="17.25" customHeight="1" thickBot="1">
      <c r="B11" s="27"/>
      <c r="C11" s="27"/>
      <c r="D11" s="27"/>
      <c r="E11" s="27"/>
      <c r="F11" s="27"/>
      <c r="G11" s="169"/>
      <c r="H11" s="170"/>
      <c r="I11" s="171"/>
      <c r="V11" s="169"/>
      <c r="W11" s="170"/>
      <c r="X11" s="171"/>
    </row>
    <row r="12" spans="2:24" ht="16.05" customHeight="1">
      <c r="B12" s="172"/>
      <c r="C12" s="172"/>
      <c r="D12" s="172"/>
      <c r="E12" s="172"/>
      <c r="F12" s="172"/>
    </row>
    <row r="13" spans="2:24">
      <c r="B13" s="28"/>
      <c r="C13" s="28"/>
      <c r="D13" s="28"/>
      <c r="E13" s="28"/>
      <c r="F13" s="28"/>
    </row>
    <row r="14" spans="2:24">
      <c r="B14" s="29"/>
      <c r="C14" s="29"/>
      <c r="D14" s="29"/>
      <c r="E14" s="29"/>
      <c r="F14" s="30"/>
    </row>
    <row r="15" spans="2:24">
      <c r="B15" s="27"/>
      <c r="C15" s="27"/>
      <c r="D15" s="27"/>
      <c r="E15" s="27"/>
      <c r="F15" s="27"/>
    </row>
    <row r="16" spans="2:24" ht="16.05" customHeight="1">
      <c r="B16" s="172"/>
      <c r="C16" s="172"/>
      <c r="D16" s="172"/>
      <c r="E16" s="172"/>
      <c r="F16" s="172"/>
    </row>
    <row r="17" spans="2:6">
      <c r="B17" s="28"/>
      <c r="C17" s="28"/>
      <c r="D17" s="28"/>
      <c r="E17" s="28"/>
      <c r="F17" s="28"/>
    </row>
    <row r="18" spans="2:6">
      <c r="B18" s="29"/>
      <c r="C18" s="29"/>
      <c r="D18" s="29"/>
      <c r="E18" s="29"/>
      <c r="F18" s="30"/>
    </row>
    <row r="23" spans="2:6">
      <c r="C23" s="31"/>
    </row>
    <row r="24" spans="2:6">
      <c r="C24" s="31"/>
    </row>
    <row r="25" spans="2:6">
      <c r="C25" s="31"/>
    </row>
    <row r="26" spans="2:6">
      <c r="C26" s="31"/>
    </row>
    <row r="27" spans="2:6">
      <c r="C27" s="31"/>
    </row>
    <row r="28" spans="2:6">
      <c r="C28" s="31"/>
    </row>
    <row r="29" spans="2:6">
      <c r="C29" s="31"/>
    </row>
    <row r="30" spans="2:6">
      <c r="C30" s="31"/>
    </row>
    <row r="31" spans="2:6">
      <c r="C31" s="31"/>
    </row>
    <row r="32" spans="2:6">
      <c r="C32" s="31"/>
    </row>
    <row r="35" spans="3:11" ht="15.75" customHeight="1"/>
    <row r="41" spans="3:11">
      <c r="D41" s="173" t="s">
        <v>74</v>
      </c>
      <c r="E41" s="174"/>
      <c r="F41" s="174"/>
      <c r="G41" s="175"/>
      <c r="H41" s="173" t="s">
        <v>75</v>
      </c>
      <c r="I41" s="174"/>
      <c r="J41" s="174"/>
      <c r="K41" s="175"/>
    </row>
    <row r="42" spans="3:11">
      <c r="D42" s="32" t="s">
        <v>70</v>
      </c>
      <c r="E42" s="32" t="s">
        <v>71</v>
      </c>
      <c r="F42" s="32" t="s">
        <v>72</v>
      </c>
      <c r="G42" s="32" t="s">
        <v>73</v>
      </c>
      <c r="H42" s="32" t="s">
        <v>70</v>
      </c>
      <c r="I42" s="32" t="s">
        <v>71</v>
      </c>
      <c r="J42" s="32" t="s">
        <v>72</v>
      </c>
      <c r="K42" s="32" t="s">
        <v>73</v>
      </c>
    </row>
    <row r="43" spans="3:11">
      <c r="C43" s="33" t="s">
        <v>168</v>
      </c>
      <c r="D43" s="34">
        <f>COUNTIFS('Security Requirements - Android'!G5:G16,'Security Requirements - Android'!B88)</f>
        <v>0</v>
      </c>
      <c r="E43" s="34">
        <f>COUNTIFS('Security Requirements - Android'!G5:G16,'Security Requirements - Android'!B89)</f>
        <v>0</v>
      </c>
      <c r="F43" s="35">
        <f>COUNTIFS('Security Requirements - Android'!G5:G16,'Security Requirements - Android'!B90)</f>
        <v>7</v>
      </c>
      <c r="G43" s="36">
        <f t="shared" ref="G43:G49" si="0">IF(D43+E43=0, 0, D43/(E43+D43))</f>
        <v>0</v>
      </c>
      <c r="H43" s="37">
        <f>COUNTIFS('Security Requirements - iOS'!G5:G16,'Security Requirements - Android'!B88)</f>
        <v>0</v>
      </c>
      <c r="I43" s="37">
        <f>COUNTIFS('Security Requirements - iOS'!G5:G16,'Security Requirements - Android'!B89)</f>
        <v>0</v>
      </c>
      <c r="J43" s="38">
        <f>COUNTIFS('Security Requirements - iOS'!G5:G16,'Security Requirements - Android'!B90)</f>
        <v>7</v>
      </c>
      <c r="K43" s="36">
        <f t="shared" ref="K43:K49" si="1">IF(H43+I43=0, 0, H43/(H43+I43))</f>
        <v>0</v>
      </c>
    </row>
    <row r="44" spans="3:11">
      <c r="C44" s="33" t="s">
        <v>169</v>
      </c>
      <c r="D44" s="34">
        <f>COUNTIFS('Security Requirements - Android'!G18:G32,'Security Requirements - Android'!B88)</f>
        <v>0</v>
      </c>
      <c r="E44" s="34">
        <f>COUNTIFS('Security Requirements - Android'!G18:G32,'Security Requirements - Android'!B89)</f>
        <v>0</v>
      </c>
      <c r="F44" s="34">
        <f>COUNTIFS('Security Requirements - Android'!G18:G32,'Security Requirements - Android'!B90)</f>
        <v>8</v>
      </c>
      <c r="G44" s="36">
        <f t="shared" si="0"/>
        <v>0</v>
      </c>
      <c r="H44" s="37">
        <f>COUNTIFS('Security Requirements - iOS'!G18:G32,'Security Requirements - Android'!B88)</f>
        <v>0</v>
      </c>
      <c r="I44" s="37">
        <f>COUNTIFS('Security Requirements - iOS'!G18:G32,'Security Requirements - Android'!B89)</f>
        <v>0</v>
      </c>
      <c r="J44" s="37">
        <f>COUNTIFS('Security Requirements - iOS'!G18:G32,'Security Requirements - Android'!B90)</f>
        <v>8</v>
      </c>
      <c r="K44" s="36">
        <f t="shared" si="1"/>
        <v>0</v>
      </c>
    </row>
    <row r="45" spans="3:11">
      <c r="C45" s="33" t="s">
        <v>170</v>
      </c>
      <c r="D45" s="34">
        <f>COUNTIFS('Security Requirements - Android'!G34:G39,'Security Requirements - Android'!B88)</f>
        <v>0</v>
      </c>
      <c r="E45" s="34">
        <f>COUNTIFS('Security Requirements - Android'!G34:G39,'Security Requirements - Android'!B89)</f>
        <v>0</v>
      </c>
      <c r="F45" s="34">
        <f>COUNTIFS('Security Requirements - Android'!G34:G39,'Security Requirements - Android'!B90)</f>
        <v>0</v>
      </c>
      <c r="G45" s="36">
        <f t="shared" si="0"/>
        <v>0</v>
      </c>
      <c r="H45" s="37">
        <f>COUNTIFS('Security Requirements - iOS'!G34:G39,'Security Requirements - Android'!B88)</f>
        <v>0</v>
      </c>
      <c r="I45" s="37">
        <f>COUNTIFS('Security Requirements - iOS'!G34:G39,'Security Requirements - Android'!B89)</f>
        <v>0</v>
      </c>
      <c r="J45" s="37">
        <f>COUNTIFS('Security Requirements - iOS'!G34:G39,'Security Requirements - Android'!B90)</f>
        <v>0</v>
      </c>
      <c r="K45" s="36">
        <f t="shared" si="1"/>
        <v>0</v>
      </c>
    </row>
    <row r="46" spans="3:11">
      <c r="C46" s="33" t="s">
        <v>171</v>
      </c>
      <c r="D46" s="34">
        <f>COUNTIFS('Security Requirements - Android'!G41:G52,'Security Requirements - Android'!B88)</f>
        <v>0</v>
      </c>
      <c r="E46" s="34">
        <f>COUNTIFS('Security Requirements - Android'!G41:G52,'Security Requirements - Android'!B89)</f>
        <v>0</v>
      </c>
      <c r="F46" s="34">
        <f>COUNTIFS('Security Requirements - Android'!G41:G52,'Security Requirements - Android'!B90)</f>
        <v>4</v>
      </c>
      <c r="G46" s="36">
        <f t="shared" si="0"/>
        <v>0</v>
      </c>
      <c r="H46" s="37">
        <f>COUNTIFS('Security Requirements - iOS'!G41:G52,'Security Requirements - Android'!B88)</f>
        <v>0</v>
      </c>
      <c r="I46" s="37">
        <f>COUNTIFS('Security Requirements - iOS'!G41:G52,'Security Requirements - Android'!B89)</f>
        <v>0</v>
      </c>
      <c r="J46" s="37">
        <f>COUNTIFS('Security Requirements - iOS'!G41:G52,'Security Requirements - Android'!B90)</f>
        <v>4</v>
      </c>
      <c r="K46" s="36">
        <f t="shared" si="1"/>
        <v>0</v>
      </c>
    </row>
    <row r="47" spans="3:11">
      <c r="C47" s="33" t="s">
        <v>172</v>
      </c>
      <c r="D47" s="34">
        <f>COUNTIFS('Security Requirements - Android'!G54:G59,'Security Requirements - Android'!B88)</f>
        <v>0</v>
      </c>
      <c r="E47" s="34">
        <f>COUNTIFS('Security Requirements - Android'!G54:G59,'Security Requirements - Android'!B89)</f>
        <v>0</v>
      </c>
      <c r="F47" s="34">
        <f>COUNTIFS('Security Requirements - Android'!G54:G59,'Security Requirements - Android'!B90)</f>
        <v>3</v>
      </c>
      <c r="G47" s="36">
        <f t="shared" si="0"/>
        <v>0</v>
      </c>
      <c r="H47" s="37">
        <f>COUNTIFS('Security Requirements - iOS'!G54:G59,'Security Requirements - Android'!B88)</f>
        <v>0</v>
      </c>
      <c r="I47" s="37">
        <f>COUNTIFS('Security Requirements - iOS'!G54:G59,'Security Requirements - Android'!B89)</f>
        <v>0</v>
      </c>
      <c r="J47" s="37">
        <f>COUNTIFS('Security Requirements - iOS'!G54:G59,'Security Requirements - Android'!B90)</f>
        <v>3</v>
      </c>
      <c r="K47" s="36">
        <f t="shared" si="1"/>
        <v>0</v>
      </c>
    </row>
    <row r="48" spans="3:11">
      <c r="C48" s="33" t="s">
        <v>173</v>
      </c>
      <c r="D48" s="34">
        <f>COUNTIFS('Security Requirements - Android'!G61:G71,'Security Requirements - Android'!B88)</f>
        <v>0</v>
      </c>
      <c r="E48" s="34">
        <f>COUNTIFS('Security Requirements - Android'!G61:G71,'Security Requirements - Android'!B89)</f>
        <v>0</v>
      </c>
      <c r="F48" s="34">
        <f>COUNTIFS('Security Requirements - Android'!G61:G71,'Security Requirements - Android'!B90)</f>
        <v>3</v>
      </c>
      <c r="G48" s="36">
        <f t="shared" si="0"/>
        <v>0</v>
      </c>
      <c r="H48" s="37">
        <f>COUNTIFS('Security Requirements - iOS'!G61:G71,'Security Requirements - Android'!B88)</f>
        <v>0</v>
      </c>
      <c r="I48" s="37">
        <f>COUNTIFS('Security Requirements - iOS'!G61:G71,'Security Requirements - Android'!B89)</f>
        <v>0</v>
      </c>
      <c r="J48" s="37">
        <f>COUNTIFS('Security Requirements - iOS'!G61:G71,'Security Requirements - Android'!B90)</f>
        <v>3</v>
      </c>
      <c r="K48" s="36">
        <f t="shared" si="1"/>
        <v>0</v>
      </c>
    </row>
    <row r="49" spans="3:11">
      <c r="C49" s="33" t="s">
        <v>174</v>
      </c>
      <c r="D49" s="37">
        <f>COUNTIFS('Security Requirements - Android'!G73:G81,'Security Requirements - Android'!B88)</f>
        <v>0</v>
      </c>
      <c r="E49" s="37">
        <f>COUNTIFS('Security Requirements - Android'!G73:G81,'Security Requirements - Android'!B89)</f>
        <v>0</v>
      </c>
      <c r="F49" s="37">
        <f>COUNTIFS('Security Requirements - Android'!G73:G81,'Security Requirements - Android'!B90)</f>
        <v>0</v>
      </c>
      <c r="G49" s="36">
        <f t="shared" si="0"/>
        <v>0</v>
      </c>
      <c r="H49" s="37">
        <f>COUNTIFS('Security Requirements - iOS'!G73:G81,'Security Requirements - Android'!B88)</f>
        <v>0</v>
      </c>
      <c r="I49" s="37">
        <f>COUNTIFS('Security Requirements - iOS'!G73:G81,'Security Requirements - Android'!B89)</f>
        <v>0</v>
      </c>
      <c r="J49" s="37">
        <f>COUNTIFS('Security Requirements - iOS'!G73:G81,'Security Requirements - Android'!B90)</f>
        <v>0</v>
      </c>
      <c r="K49" s="36">
        <f t="shared" si="1"/>
        <v>0</v>
      </c>
    </row>
    <row r="50" spans="3:11">
      <c r="C50" s="33" t="s">
        <v>175</v>
      </c>
      <c r="D50" s="34">
        <f>COUNTIFS('Anti-RE - Android'!F5:F20,'Security Requirements - Android'!B88)</f>
        <v>0</v>
      </c>
      <c r="E50" s="34">
        <f>COUNTIFS('Anti-RE - Android'!F5:F20,'Security Requirements - Android'!B89)</f>
        <v>0</v>
      </c>
      <c r="F50" s="34">
        <f>COUNTIFS('Anti-RE - Android'!F5:F20,'Security Requirements - Android'!B90)</f>
        <v>13</v>
      </c>
      <c r="G50" s="36">
        <f>IF(D50+E50=0, 0, D50/(E50+D50))</f>
        <v>0</v>
      </c>
      <c r="H50" s="37">
        <f>COUNTIFS('Anti-RE - iOS'!F5:F20,'Security Requirements - Android'!B88)</f>
        <v>0</v>
      </c>
      <c r="I50" s="37">
        <f>COUNTIFS('Anti-RE - iOS'!F5:F20,'Security Requirements - Android'!B89)</f>
        <v>0</v>
      </c>
      <c r="J50" s="37">
        <f>COUNTIFS('Anti-RE - iOS'!F5:F20,'Security Requirements - Android'!B90)</f>
        <v>13</v>
      </c>
      <c r="K50" s="36">
        <f>IF(H50+I50=0, 0, H50/(H50+I50))</f>
        <v>0</v>
      </c>
    </row>
  </sheetData>
  <mergeCells count="9">
    <mergeCell ref="B4:F4"/>
    <mergeCell ref="G8:I11"/>
    <mergeCell ref="G6:I6"/>
    <mergeCell ref="V6:X6"/>
    <mergeCell ref="V8:X11"/>
    <mergeCell ref="B12:F12"/>
    <mergeCell ref="B16:F16"/>
    <mergeCell ref="D41:G41"/>
    <mergeCell ref="H41:K41"/>
  </mergeCells>
  <phoneticPr fontId="11"/>
  <conditionalFormatting sqref="F14">
    <cfRule type="iconSet" priority="3">
      <iconSet>
        <cfvo type="percent" val="0"/>
        <cfvo type="num" val="0.4"/>
        <cfvo type="num" val="0.8"/>
      </iconSet>
    </cfRule>
  </conditionalFormatting>
  <conditionalFormatting sqref="F14">
    <cfRule type="expression" dxfId="5"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4"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94"/>
  <sheetViews>
    <sheetView topLeftCell="A25" zoomScaleNormal="100" zoomScalePageLayoutView="130" workbookViewId="0">
      <selection activeCell="F44" sqref="F44"/>
    </sheetView>
  </sheetViews>
  <sheetFormatPr baseColWidth="10" defaultColWidth="10.796875" defaultRowHeight="15.6"/>
  <cols>
    <col min="1" max="1" width="1.5" style="75" customWidth="1"/>
    <col min="2" max="2" width="7.796875" style="76" customWidth="1"/>
    <col min="3" max="3" width="18.296875" style="76" customWidth="1"/>
    <col min="4" max="4" width="97.19921875" style="39" customWidth="1"/>
    <col min="5" max="6" width="6.69921875" style="75" customWidth="1"/>
    <col min="7" max="7" width="5.69921875" style="75" customWidth="1"/>
    <col min="8" max="8" width="101.69921875" style="114" customWidth="1"/>
    <col min="9" max="9" width="83.69921875" style="114" customWidth="1"/>
    <col min="10" max="10" width="71.19921875" style="114" customWidth="1"/>
    <col min="11" max="11" width="30.69921875" style="39" customWidth="1"/>
    <col min="12" max="12" width="10.796875" style="75"/>
    <col min="13" max="14" width="10.69921875" style="75" customWidth="1"/>
    <col min="15" max="16384" width="10.796875" style="75"/>
  </cols>
  <sheetData>
    <row r="1" spans="2:11" ht="18">
      <c r="B1" s="177" t="s">
        <v>179</v>
      </c>
      <c r="C1" s="177"/>
      <c r="D1" s="177"/>
      <c r="E1" s="177"/>
      <c r="F1" s="177"/>
      <c r="G1" s="177"/>
      <c r="H1" s="177"/>
      <c r="I1" s="177"/>
      <c r="J1" s="177"/>
      <c r="K1" s="177"/>
    </row>
    <row r="2" spans="2:11">
      <c r="H2" s="77"/>
      <c r="I2" s="77"/>
      <c r="J2" s="77"/>
    </row>
    <row r="3" spans="2:11" ht="28.8">
      <c r="B3" s="78" t="s">
        <v>0</v>
      </c>
      <c r="C3" s="79" t="s">
        <v>227</v>
      </c>
      <c r="D3" s="40" t="s">
        <v>180</v>
      </c>
      <c r="E3" s="69" t="s">
        <v>181</v>
      </c>
      <c r="F3" s="69" t="s">
        <v>182</v>
      </c>
      <c r="G3" s="69" t="s">
        <v>183</v>
      </c>
      <c r="H3" s="178" t="s">
        <v>184</v>
      </c>
      <c r="I3" s="178"/>
      <c r="J3" s="178"/>
      <c r="K3" s="41" t="s">
        <v>185</v>
      </c>
    </row>
    <row r="4" spans="2:11">
      <c r="B4" s="80" t="s">
        <v>1</v>
      </c>
      <c r="C4" s="81"/>
      <c r="D4" s="42" t="s">
        <v>186</v>
      </c>
      <c r="E4" s="82"/>
      <c r="F4" s="82"/>
      <c r="G4" s="82"/>
      <c r="H4" s="42"/>
      <c r="I4" s="42"/>
      <c r="J4" s="42"/>
      <c r="K4" s="43"/>
    </row>
    <row r="5" spans="2:11">
      <c r="B5" s="60" t="s">
        <v>2</v>
      </c>
      <c r="C5" s="64" t="s">
        <v>228</v>
      </c>
      <c r="D5" s="44" t="s">
        <v>311</v>
      </c>
      <c r="E5" s="83" t="s">
        <v>3</v>
      </c>
      <c r="F5" s="84" t="s">
        <v>3</v>
      </c>
      <c r="G5" s="85"/>
      <c r="H5" s="86" t="str">
        <f>HYPERLINK(CONCATENATE(
BASE_URL,
"0x04b-Mobile-App-Security-Testing.md#architectural-information"),
"Architectural Information")</f>
        <v>Architectural Information</v>
      </c>
      <c r="I5" s="86"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7"/>
      <c r="K5" s="70"/>
    </row>
    <row r="6" spans="2:11">
      <c r="B6" s="60" t="s">
        <v>112</v>
      </c>
      <c r="C6" s="64" t="s">
        <v>229</v>
      </c>
      <c r="D6" s="44" t="s">
        <v>312</v>
      </c>
      <c r="E6" s="83" t="s">
        <v>3</v>
      </c>
      <c r="F6" s="84" t="s">
        <v>3</v>
      </c>
      <c r="G6" s="85"/>
      <c r="H6" s="86" t="str">
        <f>HYPERLINK(CONCATENATE(
BASE_URL,
"0x04h-Testing-Code-Quality.md#injection-flaws-mstg-arch-2-and-mstg-platform-2"),
"Injection Flaws (MSTG-ARCH-2 and MSTG-PLATFORM-2)")</f>
        <v>Injection Flaws (MSTG-ARCH-2 and MSTG-PLATFORM-2)</v>
      </c>
      <c r="I6"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28.8">
      <c r="B7" s="60" t="s">
        <v>111</v>
      </c>
      <c r="C7" s="64" t="s">
        <v>230</v>
      </c>
      <c r="D7" s="44" t="s">
        <v>313</v>
      </c>
      <c r="E7" s="83" t="s">
        <v>3</v>
      </c>
      <c r="F7" s="84" t="s">
        <v>3</v>
      </c>
      <c r="G7" s="85"/>
      <c r="H7" s="86" t="str">
        <f>HYPERLINK(CONCATENATE(
BASE_URL,
"0x04b-Mobile-App-Security-Testing.md#architectural-information"),
"Architectural Information")</f>
        <v>Architectural Information</v>
      </c>
      <c r="I7" s="87"/>
      <c r="J7" s="87"/>
      <c r="K7" s="70"/>
    </row>
    <row r="8" spans="2:11">
      <c r="B8" s="60" t="s">
        <v>110</v>
      </c>
      <c r="C8" s="64" t="s">
        <v>231</v>
      </c>
      <c r="D8" s="44" t="s">
        <v>314</v>
      </c>
      <c r="E8" s="83" t="s">
        <v>3</v>
      </c>
      <c r="F8" s="84" t="s">
        <v>3</v>
      </c>
      <c r="G8" s="85"/>
      <c r="H8" s="86" t="str">
        <f>HYPERLINK(CONCATENATE(
BASE_URL,
"0x04b-Mobile-App-Security-Testing.md#identifying-sensitive-data"),
"Identifying Sensitive Data")</f>
        <v>Identifying Sensitive Data</v>
      </c>
      <c r="I8" s="87"/>
      <c r="J8" s="87"/>
      <c r="K8" s="70"/>
    </row>
    <row r="9" spans="2:11">
      <c r="B9" s="60" t="s">
        <v>109</v>
      </c>
      <c r="C9" s="64" t="s">
        <v>232</v>
      </c>
      <c r="D9" s="44" t="s">
        <v>315</v>
      </c>
      <c r="E9" s="90"/>
      <c r="F9" s="84" t="s">
        <v>3</v>
      </c>
      <c r="G9" s="85" t="s">
        <v>64</v>
      </c>
      <c r="H9" s="86" t="str">
        <f>HYPERLINK(CONCATENATE(
BASE_URL,
"0x04b-Mobile-App-Security-Testing.md#environmental-information"),
"Environmental Information")</f>
        <v>Environmental Information</v>
      </c>
      <c r="I9" s="87"/>
      <c r="J9" s="87"/>
      <c r="K9" s="70"/>
    </row>
    <row r="10" spans="2:11">
      <c r="B10" s="60" t="s">
        <v>108</v>
      </c>
      <c r="C10" s="64" t="s">
        <v>233</v>
      </c>
      <c r="D10" s="44" t="s">
        <v>316</v>
      </c>
      <c r="E10" s="90"/>
      <c r="F10" s="84" t="s">
        <v>3</v>
      </c>
      <c r="G10" s="85" t="s">
        <v>64</v>
      </c>
      <c r="H10" s="86" t="str">
        <f>HYPERLINK(CONCATENATE(
BASE_URL,
"0x04b-Mobile-App-Security-Testing.md#mapping-the-application"),
"Mapping the Application")</f>
        <v>Mapping the Application</v>
      </c>
      <c r="I10" s="87"/>
      <c r="J10" s="87"/>
      <c r="K10" s="70"/>
    </row>
    <row r="11" spans="2:11">
      <c r="B11" s="60" t="s">
        <v>4</v>
      </c>
      <c r="C11" s="64" t="s">
        <v>234</v>
      </c>
      <c r="D11" s="44" t="s">
        <v>317</v>
      </c>
      <c r="E11" s="91"/>
      <c r="F11" s="84" t="s">
        <v>3</v>
      </c>
      <c r="G11" s="85" t="s">
        <v>64</v>
      </c>
      <c r="H11" s="86"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8" t="str">
        <f>HYPERLINK(CONCATENATE(
BASE_URL,
"0x04b-Mobile-App-Security-Testing.md#principles-of-testing"),
"Principles of Testing")</f>
        <v>Principles of Testing</v>
      </c>
      <c r="J11" s="86" t="str">
        <f>HYPERLINK(CONCATENATE(
BASE_URL,
"0x04b-Mobile-App-Security-Testing.md#penetration-testing-aka-pentesting"),
"Penetration Testing (a.k.a. Pentesting)")</f>
        <v>Penetration Testing (a.k.a. Pentesting)</v>
      </c>
      <c r="K11" s="70"/>
    </row>
    <row r="12" spans="2:11" ht="28.8">
      <c r="B12" s="60" t="s">
        <v>107</v>
      </c>
      <c r="C12" s="64" t="s">
        <v>235</v>
      </c>
      <c r="D12" s="44" t="s">
        <v>318</v>
      </c>
      <c r="E12" s="90"/>
      <c r="F12" s="84" t="s">
        <v>3</v>
      </c>
      <c r="G12" s="85" t="s">
        <v>64</v>
      </c>
      <c r="H12" s="86" t="str">
        <f>HYPERLINK(CONCATENATE(
BASE_URL,
"0x04g-Testing-Cryptography.md#cryptographic-policy"),
"Cryptographic policy")</f>
        <v>Cryptographic policy</v>
      </c>
      <c r="I12" s="87"/>
      <c r="J12" s="87"/>
      <c r="K12" s="70"/>
    </row>
    <row r="13" spans="2:11">
      <c r="B13" s="60" t="s">
        <v>106</v>
      </c>
      <c r="C13" s="64" t="s">
        <v>236</v>
      </c>
      <c r="D13" s="44" t="s">
        <v>319</v>
      </c>
      <c r="E13" s="90"/>
      <c r="F13" s="84" t="s">
        <v>3</v>
      </c>
      <c r="G13" s="85" t="s">
        <v>64</v>
      </c>
      <c r="H13" s="86" t="str">
        <f>HYPERLINK(CONCATENATE(
BASE_URL,
"0x05h-Testing-Platform-Interaction.md#testing-enforced-updating-mstg-arch-9"),
"Testing enforced updating (MSTG-ARCH-9)")</f>
        <v>Testing enforced updating (MSTG-ARCH-9)</v>
      </c>
      <c r="I13" s="87"/>
      <c r="J13" s="87"/>
      <c r="K13" s="70"/>
    </row>
    <row r="14" spans="2:11">
      <c r="B14" s="61" t="s">
        <v>5</v>
      </c>
      <c r="C14" s="65" t="s">
        <v>237</v>
      </c>
      <c r="D14" s="44" t="s">
        <v>320</v>
      </c>
      <c r="E14" s="90"/>
      <c r="F14" s="84" t="s">
        <v>3</v>
      </c>
      <c r="G14" s="85" t="s">
        <v>64</v>
      </c>
      <c r="H14" s="86" t="str">
        <f>HYPERLINK(CONCATENATE(
BASE_URL,
"0x04b-Mobile-App-Security-Testing.md#security-testing-and-the-sdlc"),
"Security Testing and the SDLC")</f>
        <v>Security Testing and the SDLC</v>
      </c>
      <c r="I14" s="87"/>
      <c r="J14" s="87"/>
      <c r="K14" s="70"/>
    </row>
    <row r="15" spans="2:11">
      <c r="B15" s="61" t="s">
        <v>307</v>
      </c>
      <c r="C15" s="65" t="s">
        <v>309</v>
      </c>
      <c r="D15" s="44" t="s">
        <v>321</v>
      </c>
      <c r="E15" s="90"/>
      <c r="F15" s="84" t="s">
        <v>3</v>
      </c>
      <c r="G15" s="85" t="s">
        <v>64</v>
      </c>
      <c r="H15" s="86"/>
      <c r="I15" s="87"/>
      <c r="J15" s="87"/>
      <c r="K15" s="70"/>
    </row>
    <row r="16" spans="2:11">
      <c r="B16" s="61" t="s">
        <v>308</v>
      </c>
      <c r="C16" s="65" t="s">
        <v>310</v>
      </c>
      <c r="D16" s="44" t="s">
        <v>322</v>
      </c>
      <c r="E16" s="83" t="s">
        <v>3</v>
      </c>
      <c r="F16" s="84" t="s">
        <v>3</v>
      </c>
      <c r="G16" s="85"/>
      <c r="H16" s="86"/>
      <c r="I16" s="87"/>
      <c r="J16" s="87"/>
      <c r="K16" s="70"/>
    </row>
    <row r="17" spans="2:11">
      <c r="B17" s="92" t="s">
        <v>6</v>
      </c>
      <c r="C17" s="93"/>
      <c r="D17" s="46" t="s">
        <v>187</v>
      </c>
      <c r="E17" s="94"/>
      <c r="F17" s="95"/>
      <c r="G17" s="94"/>
      <c r="H17" s="96"/>
      <c r="I17" s="96"/>
      <c r="J17" s="96"/>
      <c r="K17" s="47"/>
    </row>
    <row r="18" spans="2:11" ht="28.8">
      <c r="B18" s="60" t="s">
        <v>7</v>
      </c>
      <c r="C18" s="64" t="s">
        <v>238</v>
      </c>
      <c r="D18" s="44" t="s">
        <v>329</v>
      </c>
      <c r="E18" s="83" t="s">
        <v>3</v>
      </c>
      <c r="F18" s="84" t="s">
        <v>3</v>
      </c>
      <c r="G18" s="85"/>
      <c r="H18" s="97" t="str">
        <f>HYPERLINK(CONCATENATE(BASE_URL,"0x05d-Testing-Data-Storage.md#testing-local-storage-for-sensitive-data-mstg-storage-1-and-mstg-storage-2"),"Testing Local Storage for Sensitive Data (MSTG-STORAGE-1 and MSTG-STORAGE-2)")</f>
        <v>Testing Local Storage for Sensitive Data (MSTG-STORAGE-1 and MSTG-STORAGE-2)</v>
      </c>
      <c r="I18" s="98" t="str">
        <f>HYPERLINK(CONCATENATE(BASE_URL,"0x05e-Testing-Cryptography.md#testing-key-management-mstg-storage-1-mstg-crypto-1-and-mstg-crypto-5"),"Testing Key Management (MSTG-STORAGE-1, MSTG-CRYPTO-1 and MSTG-CRYPTO-5)")</f>
        <v>Testing Key Management (MSTG-STORAGE-1, MSTG-CRYPTO-1 and MSTG-CRYPTO-5)</v>
      </c>
      <c r="J18" s="87"/>
      <c r="K18" s="70"/>
    </row>
    <row r="19" spans="2:11">
      <c r="B19" s="60" t="s">
        <v>39</v>
      </c>
      <c r="C19" s="64" t="s">
        <v>239</v>
      </c>
      <c r="D19" s="44" t="s">
        <v>330</v>
      </c>
      <c r="E19" s="83" t="s">
        <v>3</v>
      </c>
      <c r="F19" s="84" t="s">
        <v>3</v>
      </c>
      <c r="G19" s="85"/>
      <c r="H19" s="88" t="str">
        <f>HYPERLINK(CONCATENATE(BASE_URL,"0x05d-Testing-Data-Storage.md#testing-local-storage-for-sensitive-data-mstg-storage-1-and-mstg-storage-2"),"Testing Local Storage for Sensitive Data (MSTG-STORAGE-1 and MSTG-STORAGE-2)")</f>
        <v>Testing Local Storage for Sensitive Data (MSTG-STORAGE-1 and MSTG-STORAGE-2)</v>
      </c>
      <c r="I19" s="87"/>
      <c r="J19" s="87"/>
      <c r="K19" s="71"/>
    </row>
    <row r="20" spans="2:11">
      <c r="B20" s="60" t="s">
        <v>40</v>
      </c>
      <c r="C20" s="64" t="s">
        <v>240</v>
      </c>
      <c r="D20" s="44" t="s">
        <v>331</v>
      </c>
      <c r="E20" s="83" t="s">
        <v>3</v>
      </c>
      <c r="F20" s="84" t="s">
        <v>3</v>
      </c>
      <c r="G20" s="85"/>
      <c r="H20" s="98" t="str">
        <f>HYPERLINK(CONCATENATE(BASE_URL,"0x05d-Testing-Data-Storage.md#testing-logs-for-sensitive-data-mstg-storage-3"),"Testing Logs for Sensitive Data (MSTG-STORAGE-3)")</f>
        <v>Testing Logs for Sensitive Data (MSTG-STORAGE-3)</v>
      </c>
      <c r="I20" s="87"/>
      <c r="J20" s="87"/>
      <c r="K20" s="70"/>
    </row>
    <row r="21" spans="2:11">
      <c r="B21" s="60" t="s">
        <v>8</v>
      </c>
      <c r="C21" s="64" t="s">
        <v>241</v>
      </c>
      <c r="D21" s="44" t="s">
        <v>332</v>
      </c>
      <c r="E21" s="83" t="s">
        <v>3</v>
      </c>
      <c r="F21" s="84" t="s">
        <v>3</v>
      </c>
      <c r="G21" s="85"/>
      <c r="H21" s="88"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1">
      <c r="B22" s="60" t="s">
        <v>41</v>
      </c>
      <c r="C22" s="64" t="s">
        <v>242</v>
      </c>
      <c r="D22" s="44" t="s">
        <v>333</v>
      </c>
      <c r="E22" s="83" t="s">
        <v>3</v>
      </c>
      <c r="F22" s="84" t="s">
        <v>3</v>
      </c>
      <c r="G22" s="85"/>
      <c r="H22" s="8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7"/>
      <c r="J22" s="87"/>
      <c r="K22" s="70"/>
    </row>
    <row r="23" spans="2:11">
      <c r="B23" s="60" t="s">
        <v>9</v>
      </c>
      <c r="C23" s="64" t="s">
        <v>243</v>
      </c>
      <c r="D23" s="44" t="s">
        <v>334</v>
      </c>
      <c r="E23" s="83" t="s">
        <v>3</v>
      </c>
      <c r="F23" s="84" t="s">
        <v>3</v>
      </c>
      <c r="G23" s="85"/>
      <c r="H23" s="8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7"/>
      <c r="J23" s="87"/>
      <c r="K23" s="70"/>
    </row>
    <row r="24" spans="2:11">
      <c r="B24" s="60" t="s">
        <v>10</v>
      </c>
      <c r="C24" s="64" t="s">
        <v>244</v>
      </c>
      <c r="D24" s="44" t="s">
        <v>335</v>
      </c>
      <c r="E24" s="83" t="s">
        <v>3</v>
      </c>
      <c r="F24" s="84" t="s">
        <v>3</v>
      </c>
      <c r="G24" s="85"/>
      <c r="H24" s="98"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7"/>
      <c r="J24" s="87"/>
      <c r="K24" s="70"/>
    </row>
    <row r="25" spans="2:11">
      <c r="B25" s="60" t="s">
        <v>11</v>
      </c>
      <c r="C25" s="64" t="s">
        <v>245</v>
      </c>
      <c r="D25" s="44" t="s">
        <v>336</v>
      </c>
      <c r="E25" s="90"/>
      <c r="F25" s="84" t="s">
        <v>3</v>
      </c>
      <c r="G25" s="85" t="s">
        <v>64</v>
      </c>
      <c r="H25" s="98" t="str">
        <f>HYPERLINK(CONCATENATE(BASE_URL,"0x05d-Testing-Data-Storage.md#testing-backups-for-sensitive-data-mstg-storage-8"),"Testing Backups for Sensitive Data (MSTG-STORAGE-8)")</f>
        <v>Testing Backups for Sensitive Data (MSTG-STORAGE-8)</v>
      </c>
      <c r="I25" s="87"/>
      <c r="J25" s="87"/>
      <c r="K25" s="70"/>
    </row>
    <row r="26" spans="2:11">
      <c r="B26" s="60" t="s">
        <v>12</v>
      </c>
      <c r="C26" s="64" t="s">
        <v>246</v>
      </c>
      <c r="D26" s="44" t="s">
        <v>337</v>
      </c>
      <c r="E26" s="90"/>
      <c r="F26" s="84" t="s">
        <v>3</v>
      </c>
      <c r="G26" s="85" t="s">
        <v>64</v>
      </c>
      <c r="H26" s="98"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7"/>
      <c r="J26" s="87"/>
      <c r="K26" s="70"/>
    </row>
    <row r="27" spans="2:11">
      <c r="B27" s="60" t="s">
        <v>42</v>
      </c>
      <c r="C27" s="64" t="s">
        <v>247</v>
      </c>
      <c r="D27" s="44" t="s">
        <v>338</v>
      </c>
      <c r="E27" s="90"/>
      <c r="F27" s="84" t="s">
        <v>3</v>
      </c>
      <c r="G27" s="85" t="s">
        <v>64</v>
      </c>
      <c r="H27" s="98" t="str">
        <f>HYPERLINK(CONCATENATE(BASE_URL,"0x05d-Testing-Data-Storage.md#checking-memory-for-sensitive-data-mstg-storage-10"),"Checking Memory for Sensitive Data (MSTG-STORAGE-10)")</f>
        <v>Checking Memory for Sensitive Data (MSTG-STORAGE-10)</v>
      </c>
      <c r="I27" s="87"/>
      <c r="J27" s="87"/>
      <c r="K27" s="70"/>
    </row>
    <row r="28" spans="2:11" ht="28.8">
      <c r="B28" s="60" t="s">
        <v>43</v>
      </c>
      <c r="C28" s="64" t="s">
        <v>248</v>
      </c>
      <c r="D28" s="44" t="s">
        <v>339</v>
      </c>
      <c r="E28" s="90"/>
      <c r="F28" s="84" t="s">
        <v>3</v>
      </c>
      <c r="G28" s="85" t="s">
        <v>64</v>
      </c>
      <c r="H28" s="98" t="str">
        <f>HYPERLINK(CONCATENATE(BASE_URL,"0x05d-Testing-Data-Storage.md#testing-the-device-access-security-policy-mstg-storage-11"),"Testing the Device-Access-Security Policy (MSTG-STORAGE-11)")</f>
        <v>Testing the Device-Access-Security Policy (MSTG-STORAGE-11)</v>
      </c>
      <c r="I28" s="88" t="str">
        <f>HYPERLINK(CONCATENATE(BASE_URL,"0x05f-Testing-Local-Authentication.md#testing-confirm-credentials-mstg-auth-1-and-mstg-storage-11"),"Testing Confirm Credentials (MSTG-AUTH-1 and MSTG-STORAGE-11)")</f>
        <v>Testing Confirm Credentials (MSTG-AUTH-1 and MSTG-STORAGE-11)</v>
      </c>
      <c r="J28" s="87"/>
      <c r="K28" s="70"/>
    </row>
    <row r="29" spans="2:11" ht="28.8">
      <c r="B29" s="60" t="s">
        <v>13</v>
      </c>
      <c r="C29" s="64" t="s">
        <v>249</v>
      </c>
      <c r="D29" s="44" t="s">
        <v>340</v>
      </c>
      <c r="E29" s="90"/>
      <c r="F29" s="84" t="s">
        <v>3</v>
      </c>
      <c r="G29" s="85" t="s">
        <v>64</v>
      </c>
      <c r="H29" s="98" t="str">
        <f>HYPERLINK(CONCATENATE(BASE_URL,"0x04i-Testing-user-interaction.md#testing-user-education-mstg-storage-12"),"Testing User Education (MSTG-STORAGE-12)")</f>
        <v>Testing User Education (MSTG-STORAGE-12)</v>
      </c>
      <c r="I29" s="87"/>
      <c r="J29" s="87"/>
      <c r="K29" s="70"/>
    </row>
    <row r="30" spans="2:11" ht="28.8">
      <c r="B30" s="60" t="s">
        <v>323</v>
      </c>
      <c r="C30" s="64" t="s">
        <v>326</v>
      </c>
      <c r="D30" s="44" t="s">
        <v>341</v>
      </c>
      <c r="E30" s="90"/>
      <c r="F30" s="84" t="s">
        <v>3</v>
      </c>
      <c r="G30" s="85" t="s">
        <v>64</v>
      </c>
      <c r="H30" s="98"/>
      <c r="I30" s="87"/>
      <c r="J30" s="87"/>
      <c r="K30" s="70"/>
    </row>
    <row r="31" spans="2:11" ht="28.8">
      <c r="B31" s="60" t="s">
        <v>324</v>
      </c>
      <c r="C31" s="64" t="s">
        <v>327</v>
      </c>
      <c r="D31" s="44" t="s">
        <v>342</v>
      </c>
      <c r="E31" s="90"/>
      <c r="F31" s="84" t="s">
        <v>3</v>
      </c>
      <c r="G31" s="85" t="s">
        <v>64</v>
      </c>
      <c r="H31" s="98"/>
      <c r="I31" s="87"/>
      <c r="J31" s="87"/>
      <c r="K31" s="70"/>
    </row>
    <row r="32" spans="2:11">
      <c r="B32" s="60" t="s">
        <v>325</v>
      </c>
      <c r="C32" s="64" t="s">
        <v>328</v>
      </c>
      <c r="D32" s="44" t="s">
        <v>343</v>
      </c>
      <c r="E32" s="90"/>
      <c r="F32" s="84" t="s">
        <v>3</v>
      </c>
      <c r="G32" s="85" t="s">
        <v>64</v>
      </c>
      <c r="H32" s="98"/>
      <c r="I32" s="87"/>
      <c r="J32" s="87"/>
      <c r="K32" s="70"/>
    </row>
    <row r="33" spans="2:13">
      <c r="B33" s="92" t="s">
        <v>14</v>
      </c>
      <c r="C33" s="93"/>
      <c r="D33" s="46" t="s">
        <v>189</v>
      </c>
      <c r="E33" s="94"/>
      <c r="F33" s="95"/>
      <c r="G33" s="94"/>
      <c r="H33" s="96"/>
      <c r="I33" s="96"/>
      <c r="J33" s="96"/>
      <c r="K33" s="47"/>
    </row>
    <row r="34" spans="2:13">
      <c r="B34" s="60" t="s">
        <v>15</v>
      </c>
      <c r="C34" s="64" t="s">
        <v>250</v>
      </c>
      <c r="D34" s="44" t="s">
        <v>344</v>
      </c>
      <c r="E34" s="83" t="s">
        <v>3</v>
      </c>
      <c r="F34" s="84" t="s">
        <v>3</v>
      </c>
      <c r="G34" s="85"/>
      <c r="H34" s="98" t="str">
        <f>HYPERLINK(CONCATENATE(BASE_URL,"0x05e-Testing-Cryptography.md#testing-key-management-mstg-storage-1-mstg-crypto-1-and-mstg-crypto-5"),"Testing Key Management (MSTG-STORAGE-1, MSTG-CRYPTO-1 and MSTG-CRYPTO-5)")</f>
        <v>Testing Key Management (MSTG-STORAGE-1, MSTG-CRYPTO-1 and MSTG-CRYPTO-5)</v>
      </c>
      <c r="I34" s="98" t="str">
        <f>HYPERLINK(CONCATENATE(BASE_URL,"0x04g-Testing-Cryptography.md#common-configuration-issues-mstg-crypto-1-mstg-crypto-2-and-mstg-crypto-3"),"Common Configuration Issues (MSTG-CRYPTO-1, MSTG-CRYPTO-2 and MSTG-CRYPTO-3)")</f>
        <v>Common Configuration Issues (MSTG-CRYPTO-1, MSTG-CRYPTO-2 and MSTG-CRYPTO-3)</v>
      </c>
      <c r="J34" s="87"/>
      <c r="K34" s="70"/>
    </row>
    <row r="35" spans="2:13" ht="31.2">
      <c r="B35" s="60" t="s">
        <v>16</v>
      </c>
      <c r="C35" s="64" t="s">
        <v>251</v>
      </c>
      <c r="D35" s="44" t="s">
        <v>345</v>
      </c>
      <c r="E35" s="83" t="s">
        <v>3</v>
      </c>
      <c r="F35" s="84" t="s">
        <v>3</v>
      </c>
      <c r="G35" s="85"/>
      <c r="H35" s="98" t="str">
        <f>HYPERLINK(CONCATENATE(BASE_URL,"0x04g-Testing-Cryptography.md#common-configuration-issues-mstg-crypto-1-mstg-crypto-2-and-mstg-crypto-3"),"Common Configuration Issues (MSTG-CRYPTO-1, MSTG-CRYPTO-2 and MSTG-CRYPTO-3)")</f>
        <v>Common Configuration Issues (MSTG-CRYPTO-1, MSTG-CRYPTO-2 and MSTG-CRYPTO-3)</v>
      </c>
      <c r="I35"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7"/>
      <c r="K35" s="70"/>
    </row>
    <row r="36" spans="2:13" ht="31.2">
      <c r="B36" s="60" t="s">
        <v>17</v>
      </c>
      <c r="C36" s="64" t="s">
        <v>252</v>
      </c>
      <c r="D36" s="44" t="s">
        <v>346</v>
      </c>
      <c r="E36" s="83" t="s">
        <v>3</v>
      </c>
      <c r="F36" s="84" t="s">
        <v>3</v>
      </c>
      <c r="G36" s="85"/>
      <c r="H36"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8" t="str">
        <f>HYPERLINK(CONCATENATE(BASE_URL,"0x04g-Testing-Cryptography.md#common-configuration-issues-mstg-crypto-1-mstg-crypto-2-and-mstg-crypto-3"),"Common Configuration Issues (MSTG-CRYPTO-1, MSTG-CRYPTO-2 and MSTG-CRYPTO-3)")</f>
        <v>Common Configuration Issues (MSTG-CRYPTO-1, MSTG-CRYPTO-2 and MSTG-CRYPTO-3)</v>
      </c>
      <c r="J36" s="87"/>
      <c r="K36" s="70"/>
    </row>
    <row r="37" spans="2:13" ht="31.2">
      <c r="B37" s="60" t="s">
        <v>18</v>
      </c>
      <c r="C37" s="64" t="s">
        <v>253</v>
      </c>
      <c r="D37" s="44" t="s">
        <v>347</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7"/>
      <c r="K37" s="70"/>
    </row>
    <row r="38" spans="2:13">
      <c r="B38" s="60" t="s">
        <v>19</v>
      </c>
      <c r="C38" s="64" t="s">
        <v>255</v>
      </c>
      <c r="D38" s="44" t="s">
        <v>348</v>
      </c>
      <c r="E38" s="83" t="s">
        <v>3</v>
      </c>
      <c r="F38" s="84" t="s">
        <v>3</v>
      </c>
      <c r="G38" s="85"/>
      <c r="H38" s="98" t="str">
        <f>HYPERLINK(CONCATENATE(BASE_URL,"0x05e-Testing-Cryptography.md#testing-key-management-mstg-storage-1-mstg-crypto-1-and-mstg-crypto-5"),"Testing Key Management (MSTG-STORAGE-1, MSTG-CRYPTO-1 and MSTG-CRYPTO-5)")</f>
        <v>Testing Key Management (MSTG-STORAGE-1, MSTG-CRYPTO-1 and MSTG-CRYPTO-5)</v>
      </c>
      <c r="I38" s="87"/>
      <c r="J38" s="87"/>
      <c r="K38" s="70"/>
    </row>
    <row r="39" spans="2:13">
      <c r="B39" s="60" t="s">
        <v>20</v>
      </c>
      <c r="C39" s="64" t="s">
        <v>254</v>
      </c>
      <c r="D39" s="44" t="s">
        <v>349</v>
      </c>
      <c r="E39" s="83" t="s">
        <v>3</v>
      </c>
      <c r="F39" s="84" t="s">
        <v>3</v>
      </c>
      <c r="G39" s="85"/>
      <c r="H39" s="98" t="str">
        <f>HYPERLINK(CONCATENATE(BASE_URL,"0x05e-Testing-Cryptography.md#testing-random-number-generation-mstg-crypto-6"),"Testing Random Number Generation (MSTG-CRYPTO-6)")</f>
        <v>Testing Random Number Generation (MSTG-CRYPTO-6)</v>
      </c>
      <c r="I39" s="87"/>
      <c r="J39" s="87"/>
      <c r="K39" s="70"/>
    </row>
    <row r="40" spans="2:13">
      <c r="B40" s="92" t="s">
        <v>21</v>
      </c>
      <c r="C40" s="93"/>
      <c r="D40" s="46" t="s">
        <v>190</v>
      </c>
      <c r="E40" s="94"/>
      <c r="F40" s="95"/>
      <c r="G40" s="94"/>
      <c r="H40" s="96"/>
      <c r="I40" s="96"/>
      <c r="J40" s="96"/>
      <c r="K40" s="47"/>
    </row>
    <row r="41" spans="2:13" ht="28.8">
      <c r="B41" s="60" t="s">
        <v>22</v>
      </c>
      <c r="C41" s="64" t="s">
        <v>256</v>
      </c>
      <c r="D41" s="48" t="s">
        <v>352</v>
      </c>
      <c r="E41" s="83" t="s">
        <v>3</v>
      </c>
      <c r="F41" s="84" t="s">
        <v>3</v>
      </c>
      <c r="G41" s="85"/>
      <c r="H41" s="98" t="str">
        <f>HYPERLINK(CONCATENATE(BASE_URL,"0x05f-Testing-Local-Authentication.md#testing-confirm-credentials-mstg-auth-1-and-mstg-storage-11"),"Testing Confirm Credentials (MSTG-AUTH-1 and MSTG-STORAGE-11)")</f>
        <v>Testing Confirm Credentials (MSTG-AUTH-1 and MSTG-STORAGE-11)</v>
      </c>
      <c r="I41" s="8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8" t="str">
        <f>HYPERLINK(CONCATENATE(BASE_URL,"0x04e-Testing-Authentication-and-Session-Management.md#testing-oauth-20-flows-mstg-auth-1-and-mstg-auth-3"),"Testing OAuth 2.0 Flows (MSTG-AUTH-1 and MSTG-AUTH-3)")</f>
        <v>Testing OAuth 2.0 Flows (MSTG-AUTH-1 and MSTG-AUTH-3)</v>
      </c>
      <c r="K41" s="70"/>
    </row>
    <row r="42" spans="2:13" ht="28.8">
      <c r="B42" s="60" t="s">
        <v>44</v>
      </c>
      <c r="C42" s="64" t="s">
        <v>257</v>
      </c>
      <c r="D42" s="48" t="s">
        <v>353</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ht="28.8">
      <c r="B43" s="60" t="s">
        <v>45</v>
      </c>
      <c r="C43" s="64" t="s">
        <v>258</v>
      </c>
      <c r="D43" s="48" t="s">
        <v>354</v>
      </c>
      <c r="E43" s="83" t="s">
        <v>3</v>
      </c>
      <c r="F43" s="84" t="s">
        <v>3</v>
      </c>
      <c r="G43" s="85"/>
      <c r="H43" s="88" t="str">
        <f>HYPERLINK(CONCATENATE(BASE_URL,"0x04e-Testing-Authentication-and-Session-Management.md#testing-stateless-token-based-authentication-mstg-auth-3"),"Testing Stateless (Token-Based) Authentication (MSTG-AUTH-3)")</f>
        <v>Testing Stateless (Token-Based) Authentication (MSTG-AUTH-3)</v>
      </c>
      <c r="I43" s="88" t="str">
        <f>HYPERLINK(CONCATENATE(BASE_URL,"0x04e-Testing-Authentication-and-Session-Management.md#testing-oauth-20-flows-mstg-auth-1-and-mstg-auth-3"),"Testing OAuth 2.0 Flows (MSTG-AUTH-1 and MSTG-AUTH-3)")</f>
        <v>Testing OAuth 2.0 Flows (MSTG-AUTH-1 and MSTG-AUTH-3)</v>
      </c>
      <c r="J43" s="87"/>
      <c r="K43" s="70"/>
      <c r="M43" s="99"/>
    </row>
    <row r="44" spans="2:13">
      <c r="B44" s="60" t="s">
        <v>23</v>
      </c>
      <c r="C44" s="64" t="s">
        <v>259</v>
      </c>
      <c r="D44" s="48" t="s">
        <v>355</v>
      </c>
      <c r="E44" s="83" t="s">
        <v>3</v>
      </c>
      <c r="F44" s="84" t="s">
        <v>3</v>
      </c>
      <c r="G44" s="85"/>
      <c r="H44" s="98" t="str">
        <f>HYPERLINK(CONCATENATE(BASE_URL,"0x04e-Testing-Authentication-and-Session-Management.md#testing-user-logout-mstg-auth-4"),"Testing User Logout (MSTG-AUTH-4)")</f>
        <v>Testing User Logout (MSTG-AUTH-4)</v>
      </c>
      <c r="I44" s="87"/>
      <c r="J44" s="87"/>
      <c r="K44" s="70"/>
      <c r="M44" s="99"/>
    </row>
    <row r="45" spans="2:13">
      <c r="B45" s="60" t="s">
        <v>24</v>
      </c>
      <c r="C45" s="64" t="s">
        <v>260</v>
      </c>
      <c r="D45" s="48" t="s">
        <v>356</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row>
    <row r="46" spans="2:13">
      <c r="B46" s="60" t="s">
        <v>46</v>
      </c>
      <c r="C46" s="64" t="s">
        <v>261</v>
      </c>
      <c r="D46" s="48" t="s">
        <v>357</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88" t="str">
        <f>HYPERLINK(CONCATENATE(BASE_URL,"0x04e-Testing-Authentication-and-Session-Management.md#dynamic-testing-mstg-auth-6"),"Dynamic Testing (MSTG-AUTH-6)")</f>
        <v>Dynamic Testing (MSTG-AUTH-6)</v>
      </c>
      <c r="J46" s="87"/>
      <c r="K46" s="70"/>
    </row>
    <row r="47" spans="2:13" ht="28.8">
      <c r="B47" s="60" t="s">
        <v>47</v>
      </c>
      <c r="C47" s="64" t="s">
        <v>262</v>
      </c>
      <c r="D47" s="48" t="s">
        <v>358</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28.8">
      <c r="B48" s="60" t="s">
        <v>25</v>
      </c>
      <c r="C48" s="64" t="s">
        <v>263</v>
      </c>
      <c r="D48" s="48" t="s">
        <v>359</v>
      </c>
      <c r="E48" s="90"/>
      <c r="F48" s="84" t="s">
        <v>3</v>
      </c>
      <c r="G48" s="85" t="s">
        <v>64</v>
      </c>
      <c r="H48" s="98" t="str">
        <f>HYPERLINK(CONCATENATE(BASE_URL,"0x05f-Testing-Local-Authentication.md#testing-biometric-authentication-mstg-auth-8"),"Testing Biometric Authentication (MSTG-AUTH-8)")</f>
        <v>Testing Biometric Authentication (MSTG-AUTH-8)</v>
      </c>
      <c r="I48" s="87"/>
      <c r="J48" s="87"/>
      <c r="K48" s="70"/>
    </row>
    <row r="49" spans="2:11" ht="28.8">
      <c r="B49" s="60" t="s">
        <v>26</v>
      </c>
      <c r="C49" s="64" t="s">
        <v>264</v>
      </c>
      <c r="D49" s="48" t="s">
        <v>360</v>
      </c>
      <c r="E49" s="90"/>
      <c r="F49" s="84" t="s">
        <v>3</v>
      </c>
      <c r="G49" s="85" t="s">
        <v>64</v>
      </c>
      <c r="H49"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c r="B50" s="60" t="s">
        <v>27</v>
      </c>
      <c r="C50" s="64" t="s">
        <v>265</v>
      </c>
      <c r="D50" s="48" t="s">
        <v>361</v>
      </c>
      <c r="E50" s="90"/>
      <c r="F50" s="84" t="s">
        <v>3</v>
      </c>
      <c r="G50" s="85" t="s">
        <v>64</v>
      </c>
      <c r="H50" s="9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43.2">
      <c r="B51" s="60" t="s">
        <v>91</v>
      </c>
      <c r="C51" s="64" t="s">
        <v>266</v>
      </c>
      <c r="D51" s="48" t="s">
        <v>362</v>
      </c>
      <c r="E51" s="90"/>
      <c r="F51" s="84" t="s">
        <v>3</v>
      </c>
      <c r="G51" s="85" t="s">
        <v>64</v>
      </c>
      <c r="H51" s="101" t="str">
        <f>HYPERLINK(CONCATENATE(BASE_URL,"0x04e-Testing-Authentication-and-Session-Management.md#testing-login-activity-and-device-blocking-mstg-auth-11"),"Testing Login Activity and Device Blocking (MSTG-AUTH-11)")</f>
        <v>Testing Login Activity and Device Blocking (MSTG-AUTH-11)</v>
      </c>
      <c r="I51" s="87"/>
      <c r="J51" s="87"/>
      <c r="K51" s="70"/>
    </row>
    <row r="52" spans="2:11">
      <c r="B52" s="60" t="s">
        <v>350</v>
      </c>
      <c r="C52" s="64" t="s">
        <v>351</v>
      </c>
      <c r="D52" s="48" t="s">
        <v>363</v>
      </c>
      <c r="E52" s="83" t="s">
        <v>3</v>
      </c>
      <c r="F52" s="84" t="s">
        <v>3</v>
      </c>
      <c r="G52" s="85"/>
      <c r="H52" s="101"/>
      <c r="I52" s="87"/>
      <c r="J52" s="87"/>
      <c r="K52" s="70"/>
    </row>
    <row r="53" spans="2:11">
      <c r="B53" s="92" t="s">
        <v>28</v>
      </c>
      <c r="C53" s="93"/>
      <c r="D53" s="46" t="s">
        <v>191</v>
      </c>
      <c r="E53" s="94"/>
      <c r="F53" s="95"/>
      <c r="G53" s="94"/>
      <c r="H53" s="96"/>
      <c r="I53" s="96"/>
      <c r="J53" s="96"/>
      <c r="K53" s="47"/>
    </row>
    <row r="54" spans="2:11" ht="28.8">
      <c r="B54" s="60" t="s">
        <v>29</v>
      </c>
      <c r="C54" s="64" t="s">
        <v>267</v>
      </c>
      <c r="D54" s="48" t="s">
        <v>364</v>
      </c>
      <c r="E54" s="83" t="s">
        <v>3</v>
      </c>
      <c r="F54" s="84" t="s">
        <v>3</v>
      </c>
      <c r="G54" s="85"/>
      <c r="H54"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7"/>
      <c r="J54" s="87"/>
      <c r="K54" s="70"/>
    </row>
    <row r="55" spans="2:11" ht="43.2">
      <c r="B55" s="60" t="s">
        <v>48</v>
      </c>
      <c r="C55" s="64" t="s">
        <v>268</v>
      </c>
      <c r="D55" s="48" t="s">
        <v>365</v>
      </c>
      <c r="E55" s="83" t="s">
        <v>3</v>
      </c>
      <c r="F55" s="84" t="s">
        <v>3</v>
      </c>
      <c r="G55" s="85"/>
      <c r="H55" s="9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7"/>
      <c r="J55" s="87"/>
      <c r="K55" s="70"/>
    </row>
    <row r="56" spans="2:11" ht="28.8">
      <c r="B56" s="60" t="s">
        <v>30</v>
      </c>
      <c r="C56" s="64" t="s">
        <v>269</v>
      </c>
      <c r="D56" s="48" t="s">
        <v>366</v>
      </c>
      <c r="E56" s="83" t="s">
        <v>3</v>
      </c>
      <c r="F56" s="84" t="s">
        <v>3</v>
      </c>
      <c r="G56" s="85"/>
      <c r="H56" s="98" t="str">
        <f>HYPERLINK(CONCATENATE(BASE_URL,"0x05g-Testing-Network-Communication.md#testing-endpoint-identify-verification-mstg-network-3"),"Testing Endpoint Identify Verification (MSTG-NETWORK-3)")</f>
        <v>Testing Endpoint Identify Verification (MSTG-NETWORK-3)</v>
      </c>
      <c r="I56" s="88"/>
      <c r="J56" s="88"/>
      <c r="K56" s="73"/>
    </row>
    <row r="57" spans="2:11" ht="28.8">
      <c r="B57" s="60" t="s">
        <v>49</v>
      </c>
      <c r="C57" s="64" t="s">
        <v>270</v>
      </c>
      <c r="D57" s="48" t="s">
        <v>367</v>
      </c>
      <c r="E57" s="90"/>
      <c r="F57" s="84" t="s">
        <v>3</v>
      </c>
      <c r="G57" s="85" t="s">
        <v>64</v>
      </c>
      <c r="H57" s="98"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8" t="str">
        <f>HYPERLINK(CONCATENATE(BASE_URL,"0x05g-Testing-Network-Communication.md#testing-the-network-security-configuration-settings-mstg-network-4"),"Testing the Network Security Configuration Settings (MSTG-NETWORK-4)")</f>
        <v>Testing the Network Security Configuration Settings (MSTG-NETWORK-4)</v>
      </c>
      <c r="J57" s="87"/>
      <c r="K57" s="70"/>
    </row>
    <row r="58" spans="2:11" ht="28.8">
      <c r="B58" s="60" t="s">
        <v>31</v>
      </c>
      <c r="C58" s="64" t="s">
        <v>271</v>
      </c>
      <c r="D58" s="48" t="s">
        <v>368</v>
      </c>
      <c r="E58" s="90"/>
      <c r="F58" s="84" t="s">
        <v>3</v>
      </c>
      <c r="G58" s="85" t="s">
        <v>64</v>
      </c>
      <c r="H58" s="9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c r="B59" s="60" t="s">
        <v>105</v>
      </c>
      <c r="C59" s="64" t="s">
        <v>272</v>
      </c>
      <c r="D59" s="48" t="s">
        <v>369</v>
      </c>
      <c r="E59" s="90"/>
      <c r="F59" s="84" t="s">
        <v>3</v>
      </c>
      <c r="G59" s="85" t="s">
        <v>64</v>
      </c>
      <c r="H59" s="98" t="str">
        <f>HYPERLINK(CONCATENATE(BASE_URL,"0x05g-Testing-Network-Communication.md#testing-the-security-provider-mstg-network-6"),"Testing the Security Provider (MSTG-NETWORK-6)")</f>
        <v>Testing the Security Provider (MSTG-NETWORK-6)</v>
      </c>
      <c r="I59" s="87"/>
      <c r="J59" s="87"/>
      <c r="K59" s="70"/>
    </row>
    <row r="60" spans="2:11">
      <c r="B60" s="92" t="s">
        <v>32</v>
      </c>
      <c r="C60" s="93"/>
      <c r="D60" s="46" t="s">
        <v>192</v>
      </c>
      <c r="E60" s="94"/>
      <c r="F60" s="95"/>
      <c r="G60" s="94"/>
      <c r="H60" s="96"/>
      <c r="I60" s="96"/>
      <c r="J60" s="96"/>
      <c r="K60" s="47"/>
    </row>
    <row r="61" spans="2:11">
      <c r="B61" s="60" t="s">
        <v>50</v>
      </c>
      <c r="C61" s="64" t="s">
        <v>273</v>
      </c>
      <c r="D61" s="48" t="s">
        <v>376</v>
      </c>
      <c r="E61" s="83" t="s">
        <v>3</v>
      </c>
      <c r="F61" s="84" t="s">
        <v>3</v>
      </c>
      <c r="G61" s="85"/>
      <c r="H61" s="98" t="str">
        <f>HYPERLINK(CONCATENATE(BASE_URL,"0x05h-Testing-Platform-Interaction.md#testing-app-permissions-mstg-platform-1"),"Testing App Permissions (MSTG-PLATFORM-1)")</f>
        <v>Testing App Permissions (MSTG-PLATFORM-1)</v>
      </c>
      <c r="I61" s="87"/>
      <c r="J61" s="87"/>
      <c r="K61" s="70"/>
    </row>
    <row r="62" spans="2:11" ht="28.8">
      <c r="B62" s="60" t="s">
        <v>51</v>
      </c>
      <c r="C62" s="64" t="s">
        <v>274</v>
      </c>
      <c r="D62" s="48" t="s">
        <v>377</v>
      </c>
      <c r="E62" s="83" t="s">
        <v>3</v>
      </c>
      <c r="F62" s="84" t="s">
        <v>3</v>
      </c>
      <c r="G62" s="85"/>
      <c r="H62" s="98" t="str">
        <f>HYPERLINK(CONCATENATE(BASE_URL,"0x04h-Testing-Code-Quality.md#testing-for-injection-flaws-mstg-platform-2"),"Testing for Injection Flaws (MSTG-PLATFORM-2)")</f>
        <v>Testing for Injection Flaws (MSTG-PLATFORM-2)</v>
      </c>
      <c r="I62" s="98" t="str">
        <f>HYPERLINK(CONCATENATE(BASE_URL,"0x04h-Testing-Code-Quality.md#testing-for-fragment-injection-mstg-platform-2"),"Testing for Fragment Injection (MSTG-PLATFORM-2)")</f>
        <v>Testing for Fragment Injection (MSTG-PLATFORM-2)</v>
      </c>
      <c r="J62" s="87"/>
      <c r="K62" s="70"/>
    </row>
    <row r="63" spans="2:11" ht="28.8">
      <c r="B63" s="60" t="s">
        <v>52</v>
      </c>
      <c r="C63" s="64" t="s">
        <v>275</v>
      </c>
      <c r="D63" s="48" t="s">
        <v>378</v>
      </c>
      <c r="E63" s="83" t="s">
        <v>3</v>
      </c>
      <c r="F63" s="84" t="s">
        <v>3</v>
      </c>
      <c r="G63" s="85"/>
      <c r="H63" s="98" t="str">
        <f>HYPERLINK(CONCATENATE(BASE_URL,"0x05h-Testing-Platform-Interaction.md#testing-custom-url-schemes-mstg-platform-3"),"Testing Custom URL Schemes (MSTG-PLATFORM-3)")</f>
        <v>Testing Custom URL Schemes (MSTG-PLATFORM-3)</v>
      </c>
      <c r="I63" s="87"/>
      <c r="J63" s="87"/>
      <c r="K63" s="70"/>
    </row>
    <row r="64" spans="2:11">
      <c r="B64" s="60" t="s">
        <v>53</v>
      </c>
      <c r="C64" s="64" t="s">
        <v>276</v>
      </c>
      <c r="D64" s="48" t="s">
        <v>379</v>
      </c>
      <c r="E64" s="83" t="s">
        <v>3</v>
      </c>
      <c r="F64" s="84" t="s">
        <v>3</v>
      </c>
      <c r="G64" s="85"/>
      <c r="H64" s="98"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7"/>
      <c r="J64" s="87"/>
      <c r="K64" s="70"/>
    </row>
    <row r="65" spans="2:12">
      <c r="B65" s="60" t="s">
        <v>54</v>
      </c>
      <c r="C65" s="64" t="s">
        <v>277</v>
      </c>
      <c r="D65" s="48" t="s">
        <v>380</v>
      </c>
      <c r="E65" s="83" t="s">
        <v>3</v>
      </c>
      <c r="F65" s="84" t="s">
        <v>3</v>
      </c>
      <c r="G65" s="85"/>
      <c r="H65" s="98" t="str">
        <f>HYPERLINK(CONCATENATE(BASE_URL,"0x05h-Testing-Platform-Interaction.md#testing-javascript-execution-in-webviews-mstg-platform-5"),"Testing JavaScript Execution in WebViews (MSTG-PLATFORM-5)")</f>
        <v>Testing JavaScript Execution in WebViews (MSTG-PLATFORM-5)</v>
      </c>
      <c r="I65" s="87"/>
      <c r="J65" s="87"/>
      <c r="K65" s="70"/>
    </row>
    <row r="66" spans="2:12" ht="28.8">
      <c r="B66" s="60" t="s">
        <v>55</v>
      </c>
      <c r="C66" s="64" t="s">
        <v>278</v>
      </c>
      <c r="D66" s="48" t="s">
        <v>381</v>
      </c>
      <c r="E66" s="83" t="s">
        <v>3</v>
      </c>
      <c r="F66" s="84" t="s">
        <v>3</v>
      </c>
      <c r="G66" s="85"/>
      <c r="H66" s="98" t="str">
        <f>HYPERLINK(CONCATENATE(BASE_URL,"0x05h-Testing-Platform-Interaction.md#testing-webview-protocol-handlers-mstg-platform-6"),"Testing WebView Protocol Handlers (MSTG-PLATFORM-6)")</f>
        <v>Testing WebView Protocol Handlers (MSTG-PLATFORM-6)</v>
      </c>
      <c r="I66" s="87"/>
      <c r="J66" s="87"/>
      <c r="K66" s="70"/>
    </row>
    <row r="67" spans="2:12" ht="28.8">
      <c r="B67" s="60" t="s">
        <v>104</v>
      </c>
      <c r="C67" s="64" t="s">
        <v>279</v>
      </c>
      <c r="D67" s="48" t="s">
        <v>382</v>
      </c>
      <c r="E67" s="83" t="s">
        <v>3</v>
      </c>
      <c r="F67" s="84" t="s">
        <v>3</v>
      </c>
      <c r="G67" s="85"/>
      <c r="H67" s="98"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7"/>
      <c r="J67" s="87"/>
      <c r="K67" s="70"/>
    </row>
    <row r="68" spans="2:12" ht="28.8">
      <c r="B68" s="60" t="s">
        <v>103</v>
      </c>
      <c r="C68" s="64" t="s">
        <v>280</v>
      </c>
      <c r="D68" s="48" t="s">
        <v>383</v>
      </c>
      <c r="E68" s="83" t="s">
        <v>3</v>
      </c>
      <c r="F68" s="84" t="s">
        <v>3</v>
      </c>
      <c r="G68" s="85"/>
      <c r="H68" s="98" t="str">
        <f>HYPERLINK(CONCATENATE(BASE_URL,"0x05h-Testing-Platform-Interaction.md#testing-object-persistence-mstg-platform-8"),"Testing Object Persistence (MSTG-PLATFORM-8)")</f>
        <v>Testing Object Persistence (MSTG-PLATFORM-8)</v>
      </c>
      <c r="I68" s="87"/>
      <c r="J68" s="87"/>
      <c r="K68" s="70"/>
    </row>
    <row r="69" spans="2:12">
      <c r="B69" s="60" t="s">
        <v>370</v>
      </c>
      <c r="C69" s="64" t="s">
        <v>373</v>
      </c>
      <c r="D69" s="48" t="s">
        <v>384</v>
      </c>
      <c r="E69" s="102"/>
      <c r="F69" s="84" t="s">
        <v>3</v>
      </c>
      <c r="G69" s="85" t="s">
        <v>64</v>
      </c>
      <c r="H69" s="98"/>
      <c r="I69" s="87"/>
      <c r="J69" s="87"/>
      <c r="K69" s="70"/>
    </row>
    <row r="70" spans="2:12" ht="28.8">
      <c r="B70" s="60" t="s">
        <v>371</v>
      </c>
      <c r="C70" s="64" t="s">
        <v>374</v>
      </c>
      <c r="D70" s="48" t="s">
        <v>385</v>
      </c>
      <c r="E70" s="102"/>
      <c r="F70" s="84" t="s">
        <v>3</v>
      </c>
      <c r="G70" s="85" t="s">
        <v>64</v>
      </c>
      <c r="H70" s="98"/>
      <c r="I70" s="87"/>
      <c r="J70" s="87"/>
      <c r="K70" s="70"/>
    </row>
    <row r="71" spans="2:12">
      <c r="B71" s="60" t="s">
        <v>372</v>
      </c>
      <c r="C71" s="64" t="s">
        <v>375</v>
      </c>
      <c r="D71" s="48" t="s">
        <v>386</v>
      </c>
      <c r="E71" s="102"/>
      <c r="F71" s="84" t="s">
        <v>3</v>
      </c>
      <c r="G71" s="85" t="s">
        <v>64</v>
      </c>
      <c r="H71" s="98"/>
      <c r="I71" s="87"/>
      <c r="J71" s="87"/>
      <c r="K71" s="70"/>
    </row>
    <row r="72" spans="2:12">
      <c r="B72" s="92" t="s">
        <v>33</v>
      </c>
      <c r="C72" s="93"/>
      <c r="D72" s="46" t="s">
        <v>193</v>
      </c>
      <c r="E72" s="94"/>
      <c r="F72" s="95"/>
      <c r="G72" s="94"/>
      <c r="H72" s="96"/>
      <c r="I72" s="96"/>
      <c r="J72" s="96"/>
      <c r="K72" s="47"/>
    </row>
    <row r="73" spans="2:12">
      <c r="B73" s="60" t="s">
        <v>56</v>
      </c>
      <c r="C73" s="64" t="s">
        <v>281</v>
      </c>
      <c r="D73" s="44" t="s">
        <v>387</v>
      </c>
      <c r="E73" s="83" t="s">
        <v>3</v>
      </c>
      <c r="F73" s="84" t="s">
        <v>3</v>
      </c>
      <c r="G73" s="85"/>
      <c r="H73" s="98" t="str">
        <f>HYPERLINK(CONCATENATE(BASE_URL,"0x05i-Testing-Code-Quality-and-Build-Settings.md#making-sure-that-the-app-is-properly-signed-mstg-code-1"),"Making Sure That the App is Properly Signed (MSTG-CODE-1)")</f>
        <v>Making Sure That the App is Properly Signed (MSTG-CODE-1)</v>
      </c>
      <c r="I73" s="87"/>
      <c r="J73" s="87"/>
      <c r="K73" s="70"/>
    </row>
    <row r="74" spans="2:12">
      <c r="B74" s="60" t="s">
        <v>34</v>
      </c>
      <c r="C74" s="64" t="s">
        <v>282</v>
      </c>
      <c r="D74" s="44" t="s">
        <v>388</v>
      </c>
      <c r="E74" s="83" t="s">
        <v>3</v>
      </c>
      <c r="F74" s="84" t="s">
        <v>3</v>
      </c>
      <c r="G74" s="85"/>
      <c r="H74" s="98" t="str">
        <f>HYPERLINK(CONCATENATE(BASE_URL,"0x05i-Testing-Code-Quality-and-Build-Settings.md#testing-whether-the-app-is-debuggable-mstg-code-2"),"Testing Whether the App is Debuggable (MSTG-CODE-2)")</f>
        <v>Testing Whether the App is Debuggable (MSTG-CODE-2)</v>
      </c>
      <c r="I74" s="87"/>
      <c r="J74" s="87"/>
      <c r="K74" s="70"/>
    </row>
    <row r="75" spans="2:12">
      <c r="B75" s="60" t="s">
        <v>57</v>
      </c>
      <c r="C75" s="64" t="s">
        <v>283</v>
      </c>
      <c r="D75" s="44" t="s">
        <v>389</v>
      </c>
      <c r="E75" s="83" t="s">
        <v>3</v>
      </c>
      <c r="F75" s="84" t="s">
        <v>3</v>
      </c>
      <c r="G75" s="85"/>
      <c r="H75" s="98" t="str">
        <f>HYPERLINK(CONCATENATE(BASE_URL,"0x05i-Testing-Code-Quality-and-Build-Settings.md#testing-for-debugging-symbols-mstg-code-3"),"Testing for Debugging Symbols (MSTG-CODE-3)")</f>
        <v>Testing for Debugging Symbols (MSTG-CODE-3)</v>
      </c>
      <c r="I75" s="87"/>
      <c r="J75" s="87"/>
      <c r="K75" s="70"/>
    </row>
    <row r="76" spans="2:12" ht="28.8">
      <c r="B76" s="60" t="s">
        <v>58</v>
      </c>
      <c r="C76" s="64" t="s">
        <v>284</v>
      </c>
      <c r="D76" s="44" t="s">
        <v>390</v>
      </c>
      <c r="E76" s="83" t="s">
        <v>3</v>
      </c>
      <c r="F76" s="84" t="s">
        <v>3</v>
      </c>
      <c r="G76" s="85"/>
      <c r="H76" s="98" t="str">
        <f>HYPERLINK(CONCATENATE(BASE_URL,"0x05i-Testing-Code-Quality-and-Build-Settings.md#testing-for-debugging-code-and-verbose-error-logging-mstg-code-4"),"Testing for Debugging Code and Verbose Error Logging (MSTG-CODE-4)")</f>
        <v>Testing for Debugging Code and Verbose Error Logging (MSTG-CODE-4)</v>
      </c>
      <c r="I76" s="87"/>
      <c r="J76" s="87"/>
      <c r="K76" s="70"/>
    </row>
    <row r="77" spans="2:12" ht="28.8">
      <c r="B77" s="60" t="s">
        <v>59</v>
      </c>
      <c r="C77" s="64" t="s">
        <v>285</v>
      </c>
      <c r="D77" s="44" t="s">
        <v>391</v>
      </c>
      <c r="E77" s="83" t="s">
        <v>3</v>
      </c>
      <c r="F77" s="84" t="s">
        <v>3</v>
      </c>
      <c r="G77" s="85"/>
      <c r="H77" s="101" t="str">
        <f>HYPERLINK(CONCATENATE(BASE_URL,"0x05i-Testing-Code-Quality-and-Build-Settings.md#checking-for-weaknesses-in-third-party-libraries-mstg-code-5"),"Checking for Weaknesses in Third Party Libraries (MSTG-CODE-5)")</f>
        <v>Checking for Weaknesses in Third Party Libraries (MSTG-CODE-5)</v>
      </c>
      <c r="I77" s="87"/>
      <c r="J77" s="87"/>
      <c r="K77" s="70"/>
    </row>
    <row r="78" spans="2:12">
      <c r="B78" s="60" t="s">
        <v>35</v>
      </c>
      <c r="C78" s="64" t="s">
        <v>286</v>
      </c>
      <c r="D78" s="44" t="s">
        <v>392</v>
      </c>
      <c r="E78" s="83" t="s">
        <v>3</v>
      </c>
      <c r="F78" s="84" t="s">
        <v>3</v>
      </c>
      <c r="G78" s="85"/>
      <c r="H78" s="98" t="str">
        <f>HYPERLINK(CONCATENATE(BASE_URL,"0x05i-Testing-Code-Quality-and-Build-Settings.md#testing-exception-handling-mstg-code-6-and-mstg-code-7"),"Testing Exception Handling (MSTG-CODE-6 and MSTG-CODE-7)")</f>
        <v>Testing Exception Handling (MSTG-CODE-6 and MSTG-CODE-7)</v>
      </c>
      <c r="I78" s="87"/>
      <c r="J78" s="87"/>
      <c r="K78" s="70"/>
    </row>
    <row r="79" spans="2:12">
      <c r="B79" s="60" t="s">
        <v>36</v>
      </c>
      <c r="C79" s="64" t="s">
        <v>287</v>
      </c>
      <c r="D79" s="44" t="s">
        <v>393</v>
      </c>
      <c r="E79" s="83" t="s">
        <v>3</v>
      </c>
      <c r="F79" s="84" t="s">
        <v>3</v>
      </c>
      <c r="G79" s="85"/>
      <c r="H79" s="98" t="str">
        <f>HYPERLINK(CONCATENATE(BASE_URL,"0x05i-Testing-Code-Quality-and-Build-Settings.md#testing-exception-handling-mstg-code-6-and-mstg-code-7"),"Testing Exception Handling (MSTG-CODE-6 and MSTG-CODE-7)")</f>
        <v>Testing Exception Handling (MSTG-CODE-6 and MSTG-CODE-7)</v>
      </c>
      <c r="I79" s="87"/>
      <c r="J79" s="87"/>
      <c r="K79" s="70"/>
    </row>
    <row r="80" spans="2:12">
      <c r="B80" s="60" t="s">
        <v>37</v>
      </c>
      <c r="C80" s="64" t="s">
        <v>288</v>
      </c>
      <c r="D80" s="44" t="s">
        <v>394</v>
      </c>
      <c r="E80" s="83" t="s">
        <v>3</v>
      </c>
      <c r="F80" s="84" t="s">
        <v>3</v>
      </c>
      <c r="G80" s="85"/>
      <c r="H80" s="98" t="str">
        <f>HYPERLINK(CONCATENATE(BASE_URL,"0x04h-Testing-Code-Quality.md#memory-corruption-bugs-mstg-code-8"),"Memory Corruption Bugs (MSTG-CODE-8)")</f>
        <v>Memory Corruption Bugs (MSTG-CODE-8)</v>
      </c>
      <c r="I80" s="87"/>
      <c r="J80" s="87"/>
      <c r="K80" s="74"/>
      <c r="L80" s="103"/>
    </row>
    <row r="81" spans="2:11" ht="28.8">
      <c r="B81" s="60" t="s">
        <v>93</v>
      </c>
      <c r="C81" s="64" t="s">
        <v>289</v>
      </c>
      <c r="D81" s="44" t="s">
        <v>395</v>
      </c>
      <c r="E81" s="83" t="s">
        <v>3</v>
      </c>
      <c r="F81" s="84" t="s">
        <v>3</v>
      </c>
      <c r="G81" s="85"/>
      <c r="H81" s="98" t="str">
        <f>HYPERLINK(CONCATENATE(BASE_URL,"0x05i-Testing-Code-Quality-and-Build-Settings.md#make-sure-that-free-security-features-are-activated-mstg-code-9"),"Make Sure That Free Security Features Are Activated (MSTG-CODE-9)")</f>
        <v>Make Sure That Free Security Features Are Activated (MSTG-CODE-9)</v>
      </c>
      <c r="I81" s="87"/>
      <c r="J81" s="87"/>
      <c r="K81" s="70"/>
    </row>
    <row r="82" spans="2:11">
      <c r="B82" s="104"/>
      <c r="C82" s="105"/>
      <c r="D82" s="49"/>
      <c r="E82" s="106"/>
      <c r="F82" s="106"/>
      <c r="G82" s="106"/>
      <c r="H82" s="107"/>
      <c r="I82" s="107"/>
      <c r="J82" s="107"/>
      <c r="K82" s="50"/>
    </row>
    <row r="83" spans="2:11">
      <c r="B83" s="108"/>
      <c r="C83" s="108"/>
      <c r="D83" s="45"/>
      <c r="E83" s="109"/>
      <c r="F83" s="109"/>
      <c r="G83" s="109"/>
      <c r="H83" s="110"/>
      <c r="I83" s="110"/>
      <c r="J83" s="110"/>
      <c r="K83" s="45"/>
    </row>
    <row r="84" spans="2:11">
      <c r="B84" s="108"/>
      <c r="C84" s="108"/>
      <c r="D84" s="48"/>
      <c r="E84" s="109"/>
      <c r="F84" s="109"/>
      <c r="G84" s="109"/>
      <c r="H84" s="110"/>
      <c r="I84" s="110"/>
      <c r="J84" s="110"/>
      <c r="K84" s="45"/>
    </row>
    <row r="85" spans="2:11">
      <c r="B85" s="108"/>
      <c r="C85" s="108"/>
      <c r="D85" s="45"/>
      <c r="E85" s="109"/>
      <c r="F85" s="109"/>
      <c r="G85" s="109"/>
      <c r="H85" s="110"/>
      <c r="I85" s="110"/>
      <c r="J85" s="110"/>
      <c r="K85" s="45"/>
    </row>
    <row r="86" spans="2:11">
      <c r="B86" s="111" t="s">
        <v>199</v>
      </c>
      <c r="C86" s="111"/>
      <c r="D86" s="45"/>
      <c r="E86" s="109"/>
      <c r="F86" s="109"/>
      <c r="G86" s="109"/>
      <c r="H86" s="110"/>
      <c r="I86" s="110"/>
      <c r="J86" s="110"/>
      <c r="K86" s="45"/>
    </row>
    <row r="87" spans="2:11" ht="28.8">
      <c r="B87" s="112" t="s">
        <v>200</v>
      </c>
      <c r="C87" s="112"/>
      <c r="D87" s="51" t="s">
        <v>201</v>
      </c>
      <c r="E87" s="109"/>
      <c r="F87" s="109"/>
      <c r="G87" s="109"/>
      <c r="H87" s="110"/>
      <c r="I87" s="110"/>
      <c r="J87" s="110"/>
      <c r="K87" s="45"/>
    </row>
    <row r="88" spans="2:11">
      <c r="B88" s="52" t="s">
        <v>68</v>
      </c>
      <c r="C88" s="52"/>
      <c r="D88" s="53" t="s">
        <v>202</v>
      </c>
      <c r="E88" s="109"/>
      <c r="F88" s="109"/>
      <c r="G88" s="109"/>
      <c r="H88" s="110"/>
      <c r="I88" s="110"/>
      <c r="J88" s="110"/>
      <c r="K88" s="45"/>
    </row>
    <row r="89" spans="2:11">
      <c r="B89" s="52" t="s">
        <v>69</v>
      </c>
      <c r="C89" s="52"/>
      <c r="D89" s="53" t="s">
        <v>203</v>
      </c>
      <c r="E89" s="109"/>
      <c r="F89" s="109"/>
      <c r="G89" s="109"/>
      <c r="H89" s="110"/>
      <c r="I89" s="110"/>
      <c r="J89" s="110"/>
      <c r="K89" s="45"/>
    </row>
    <row r="90" spans="2:11">
      <c r="B90" s="52" t="s">
        <v>64</v>
      </c>
      <c r="C90" s="52"/>
      <c r="D90" s="53" t="s">
        <v>204</v>
      </c>
      <c r="E90" s="109"/>
      <c r="F90" s="109"/>
      <c r="G90" s="109"/>
      <c r="H90" s="110"/>
      <c r="I90" s="110"/>
      <c r="J90" s="110"/>
      <c r="K90" s="45"/>
    </row>
    <row r="91" spans="2:11">
      <c r="B91" s="108"/>
      <c r="C91" s="108"/>
      <c r="D91" s="45"/>
      <c r="E91" s="109"/>
      <c r="F91" s="109"/>
      <c r="G91" s="109"/>
      <c r="H91" s="110"/>
      <c r="I91" s="113"/>
      <c r="J91" s="113"/>
      <c r="K91" s="45"/>
    </row>
    <row r="92" spans="2:11">
      <c r="B92" s="108"/>
      <c r="C92" s="108"/>
      <c r="D92" s="45"/>
      <c r="E92" s="109"/>
      <c r="F92" s="109"/>
      <c r="G92" s="109"/>
      <c r="H92" s="110"/>
      <c r="I92" s="113"/>
      <c r="J92" s="113"/>
      <c r="K92" s="45"/>
    </row>
    <row r="93" spans="2:11">
      <c r="B93" s="108"/>
      <c r="C93" s="108"/>
      <c r="D93" s="45"/>
      <c r="E93" s="109"/>
      <c r="F93" s="109"/>
      <c r="G93" s="109"/>
      <c r="H93" s="110"/>
      <c r="I93" s="113"/>
      <c r="J93" s="113"/>
      <c r="K93" s="45"/>
    </row>
    <row r="94" spans="2:11">
      <c r="B94" s="108"/>
      <c r="C94" s="108"/>
      <c r="D94" s="45"/>
      <c r="E94" s="109"/>
      <c r="F94" s="109"/>
      <c r="G94" s="109"/>
      <c r="H94" s="113"/>
      <c r="I94" s="113"/>
      <c r="J94" s="113"/>
      <c r="K94" s="45"/>
    </row>
  </sheetData>
  <mergeCells count="2">
    <mergeCell ref="B1:K1"/>
    <mergeCell ref="H3:J3"/>
  </mergeCells>
  <phoneticPr fontId="1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18:G32 G73:G81 G54:G59 G61:G71 G5:G16 G41:G52"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31"/>
  <sheetViews>
    <sheetView zoomScaleNormal="100" zoomScalePageLayoutView="130" workbookViewId="0"/>
  </sheetViews>
  <sheetFormatPr baseColWidth="10" defaultColWidth="10.796875" defaultRowHeight="15.6"/>
  <cols>
    <col min="1" max="1" width="1.5" style="75" customWidth="1"/>
    <col min="2" max="2" width="7.19921875" style="76" customWidth="1"/>
    <col min="3" max="3" width="20.69921875" style="76" customWidth="1"/>
    <col min="4" max="4" width="97.19921875" style="39" customWidth="1"/>
    <col min="5" max="5" width="2.796875" style="75" customWidth="1"/>
    <col min="6" max="6" width="5.69921875" style="75" customWidth="1"/>
    <col min="7" max="7" width="69.19921875" style="114" customWidth="1"/>
    <col min="8" max="8" width="30.69921875" style="39" customWidth="1"/>
    <col min="9" max="16384" width="10.796875" style="75"/>
  </cols>
  <sheetData>
    <row r="1" spans="2:8" ht="18">
      <c r="B1" s="115" t="s">
        <v>194</v>
      </c>
      <c r="C1" s="115"/>
      <c r="D1" s="45"/>
      <c r="E1" s="109"/>
      <c r="F1" s="109"/>
      <c r="G1" s="113"/>
      <c r="H1" s="45"/>
    </row>
    <row r="2" spans="2:8">
      <c r="B2" s="108"/>
      <c r="C2" s="108"/>
      <c r="D2" s="45"/>
      <c r="E2" s="109"/>
      <c r="F2" s="109"/>
      <c r="G2" s="113"/>
      <c r="H2" s="45"/>
    </row>
    <row r="3" spans="2:8">
      <c r="B3" s="78" t="s">
        <v>0</v>
      </c>
      <c r="C3" s="79" t="s">
        <v>227</v>
      </c>
      <c r="D3" s="40" t="s">
        <v>195</v>
      </c>
      <c r="E3" s="69" t="s">
        <v>38</v>
      </c>
      <c r="F3" s="69" t="s">
        <v>183</v>
      </c>
      <c r="G3" s="69" t="s">
        <v>396</v>
      </c>
      <c r="H3" s="41" t="s">
        <v>185</v>
      </c>
    </row>
    <row r="4" spans="2:8">
      <c r="B4" s="92" t="s">
        <v>290</v>
      </c>
      <c r="C4" s="93"/>
      <c r="D4" s="46" t="s">
        <v>196</v>
      </c>
      <c r="E4" s="94"/>
      <c r="F4" s="94"/>
      <c r="G4" s="96"/>
      <c r="H4" s="47"/>
    </row>
    <row r="5" spans="2:8" ht="28.8">
      <c r="B5" s="60" t="s">
        <v>113</v>
      </c>
      <c r="C5" s="64" t="s">
        <v>291</v>
      </c>
      <c r="D5" s="48" t="s">
        <v>400</v>
      </c>
      <c r="E5" s="116" t="s">
        <v>3</v>
      </c>
      <c r="F5" s="85" t="s">
        <v>64</v>
      </c>
      <c r="G5" s="98" t="str">
        <f>HYPERLINK(CONCATENATE(BASE_URL,"0x05j-Testing-Resiliency-Against-Reverse-Engineering.md#testing-root-detection-mstg-resilience-1"),"Testing Root Detection (MSTG-RESILIENCE-1)")</f>
        <v>Testing Root Detection (MSTG-RESILIENCE-1)</v>
      </c>
      <c r="H5" s="70"/>
    </row>
    <row r="6" spans="2:8" ht="28.8">
      <c r="B6" s="60" t="s">
        <v>114</v>
      </c>
      <c r="C6" s="64" t="s">
        <v>292</v>
      </c>
      <c r="D6" s="48" t="s">
        <v>401</v>
      </c>
      <c r="E6" s="116" t="s">
        <v>3</v>
      </c>
      <c r="F6" s="85" t="s">
        <v>64</v>
      </c>
      <c r="G6" s="88" t="str">
        <f>HYPERLINK(CONCATENATE(BASE_URL,"0x05j-Testing-Resiliency-Against-Reverse-Engineering.md#testing-anti-debugging-detection-mstg-resilience-2"),"Testing Anti-Debugging Detection (MSTG-RESILIENCE-2)")</f>
        <v>Testing Anti-Debugging Detection (MSTG-RESILIENCE-2)</v>
      </c>
      <c r="H6" s="70"/>
    </row>
    <row r="7" spans="2:8">
      <c r="B7" s="60" t="s">
        <v>115</v>
      </c>
      <c r="C7" s="64" t="s">
        <v>293</v>
      </c>
      <c r="D7" s="48" t="s">
        <v>402</v>
      </c>
      <c r="E7" s="116" t="s">
        <v>3</v>
      </c>
      <c r="F7" s="85" t="s">
        <v>64</v>
      </c>
      <c r="G7" s="98" t="str">
        <f>HYPERLINK(CONCATENATE(BASE_URL,"0x05j-Testing-Resiliency-Against-Reverse-Engineering.md#testing-file-integrity-checks-mstg-resilience-3"),"Testing File Integrity Checks (MSTG-RESILIENCE-3)")</f>
        <v>Testing File Integrity Checks (MSTG-RESILIENCE-3)</v>
      </c>
      <c r="H7" s="70"/>
    </row>
    <row r="8" spans="2:8" ht="28.8">
      <c r="B8" s="60" t="s">
        <v>116</v>
      </c>
      <c r="C8" s="64" t="s">
        <v>294</v>
      </c>
      <c r="D8" s="48" t="s">
        <v>403</v>
      </c>
      <c r="E8" s="116" t="s">
        <v>3</v>
      </c>
      <c r="F8" s="85" t="s">
        <v>64</v>
      </c>
      <c r="G8" s="98" t="str">
        <f>HYPERLINK(CONCATENATE(BASE_URL,"0x05j-Testing-Resiliency-Against-Reverse-Engineering.md#testing-reverse-engineering-tools-detection-mstg-resilience-4"),"Testing Reverse Engineering Tools Detection (MSTG-RESILIENCE-4)")</f>
        <v>Testing Reverse Engineering Tools Detection (MSTG-RESILIENCE-4)</v>
      </c>
      <c r="H8" s="70"/>
    </row>
    <row r="9" spans="2:8">
      <c r="B9" s="60" t="s">
        <v>117</v>
      </c>
      <c r="C9" s="64" t="s">
        <v>295</v>
      </c>
      <c r="D9" s="48" t="s">
        <v>404</v>
      </c>
      <c r="E9" s="116" t="s">
        <v>3</v>
      </c>
      <c r="F9" s="85" t="s">
        <v>64</v>
      </c>
      <c r="G9" s="98" t="str">
        <f>HYPERLINK(CONCATENATE(BASE_URL,"0x05j-Testing-Resiliency-Against-Reverse-Engineering.md#testing-emulator-detection-mstg-resilience-5"),"Testing Emulator Detection (MSTG-RESILIENCE-5)")</f>
        <v>Testing Emulator Detection (MSTG-RESILIENCE-5)</v>
      </c>
      <c r="H9" s="70"/>
    </row>
    <row r="10" spans="2:8">
      <c r="B10" s="60" t="s">
        <v>118</v>
      </c>
      <c r="C10" s="64" t="s">
        <v>296</v>
      </c>
      <c r="D10" s="48" t="s">
        <v>405</v>
      </c>
      <c r="E10" s="116" t="s">
        <v>3</v>
      </c>
      <c r="F10" s="85" t="s">
        <v>64</v>
      </c>
      <c r="G10" s="98" t="str">
        <f>HYPERLINK(CONCATENATE(BASE_URL,"0x05j-Testing-Resiliency-Against-Reverse-Engineering.md#testing-run-time-integrity-checks-mstg-resilience-6"),"Testing Run Time Integrity Checks (MSTG-RESILIENCE-6)")</f>
        <v>Testing Run Time Integrity Checks (MSTG-RESILIENCE-6)</v>
      </c>
      <c r="H10" s="70"/>
    </row>
    <row r="11" spans="2:8" ht="28.8">
      <c r="B11" s="60" t="s">
        <v>119</v>
      </c>
      <c r="C11" s="64" t="s">
        <v>297</v>
      </c>
      <c r="D11" s="48" t="s">
        <v>406</v>
      </c>
      <c r="E11" s="116" t="s">
        <v>3</v>
      </c>
      <c r="F11" s="85" t="s">
        <v>64</v>
      </c>
      <c r="G11" s="117" t="s">
        <v>306</v>
      </c>
      <c r="H11" s="70"/>
    </row>
    <row r="12" spans="2:8">
      <c r="B12" s="60" t="s">
        <v>120</v>
      </c>
      <c r="C12" s="64" t="s">
        <v>298</v>
      </c>
      <c r="D12" s="48" t="s">
        <v>407</v>
      </c>
      <c r="E12" s="116" t="s">
        <v>3</v>
      </c>
      <c r="F12" s="85" t="s">
        <v>64</v>
      </c>
      <c r="G12" s="118" t="s">
        <v>79</v>
      </c>
      <c r="H12" s="70"/>
    </row>
    <row r="13" spans="2:8">
      <c r="B13" s="60" t="s">
        <v>95</v>
      </c>
      <c r="C13" s="64" t="s">
        <v>299</v>
      </c>
      <c r="D13" s="48" t="s">
        <v>408</v>
      </c>
      <c r="E13" s="116" t="s">
        <v>3</v>
      </c>
      <c r="F13" s="85" t="s">
        <v>64</v>
      </c>
      <c r="G13" s="98" t="str">
        <f>HYPERLINK(CONCATENATE(BASE_URL,"0x05j-Testing-Resiliency-Against-Reverse-Engineering.md#testing-obfuscation-mstg-resilience-9"),"Testing Obfuscation (MSTG-RESILIENCE-9)")</f>
        <v>Testing Obfuscation (MSTG-RESILIENCE-9)</v>
      </c>
      <c r="H13" s="70"/>
    </row>
    <row r="14" spans="2:8">
      <c r="B14" s="92"/>
      <c r="C14" s="93"/>
      <c r="D14" s="46" t="s">
        <v>197</v>
      </c>
      <c r="E14" s="94"/>
      <c r="F14" s="94"/>
      <c r="G14" s="96"/>
      <c r="H14" s="47"/>
    </row>
    <row r="15" spans="2:8" ht="28.8">
      <c r="B15" s="61" t="s">
        <v>60</v>
      </c>
      <c r="C15" s="65" t="s">
        <v>300</v>
      </c>
      <c r="D15" s="48" t="s">
        <v>409</v>
      </c>
      <c r="E15" s="116" t="s">
        <v>3</v>
      </c>
      <c r="F15" s="85" t="s">
        <v>64</v>
      </c>
      <c r="G15" s="98" t="str">
        <f>HYPERLINK(CONCATENATE(BASE_URL,"0x05j-Testing-Resiliency-Against-Reverse-Engineering.md#testing-device-binding-mstg-resilience-10"),"Testing Device Binding (MSTG-RESILIENCE-10)")</f>
        <v>Testing Device Binding (MSTG-RESILIENCE-10)</v>
      </c>
      <c r="H15" s="70"/>
    </row>
    <row r="16" spans="2:8">
      <c r="B16" s="92"/>
      <c r="C16" s="93"/>
      <c r="D16" s="46" t="s">
        <v>198</v>
      </c>
      <c r="E16" s="94"/>
      <c r="F16" s="94"/>
      <c r="G16" s="96"/>
      <c r="H16" s="47"/>
    </row>
    <row r="17" spans="2:8" ht="43.2">
      <c r="B17" s="60" t="s">
        <v>121</v>
      </c>
      <c r="C17" s="64" t="s">
        <v>301</v>
      </c>
      <c r="D17" s="48" t="s">
        <v>410</v>
      </c>
      <c r="E17" s="116" t="s">
        <v>3</v>
      </c>
      <c r="F17" s="85" t="s">
        <v>64</v>
      </c>
      <c r="G17" s="98" t="str">
        <f>HYPERLINK(CONCATENATE(BASE_URL,"0x05j-Testing-Resiliency-Against-Reverse-Engineering.md#testing-obfuscation-mstg-resilience-9"),"Testing Obfuscation (MSTG-RESILIENCE-9)")</f>
        <v>Testing Obfuscation (MSTG-RESILIENCE-9)</v>
      </c>
      <c r="H17" s="70"/>
    </row>
    <row r="18" spans="2:8" ht="57.6">
      <c r="B18" s="60" t="s">
        <v>122</v>
      </c>
      <c r="C18" s="64" t="s">
        <v>302</v>
      </c>
      <c r="D18" s="48" t="s">
        <v>411</v>
      </c>
      <c r="E18" s="116" t="s">
        <v>3</v>
      </c>
      <c r="F18" s="85" t="s">
        <v>64</v>
      </c>
      <c r="G18" s="118" t="s">
        <v>306</v>
      </c>
      <c r="H18" s="70"/>
    </row>
    <row r="19" spans="2:8">
      <c r="B19" s="92"/>
      <c r="C19" s="93"/>
      <c r="D19" s="46" t="s">
        <v>399</v>
      </c>
      <c r="E19" s="94"/>
      <c r="F19" s="94"/>
      <c r="G19" s="96"/>
      <c r="H19" s="47"/>
    </row>
    <row r="20" spans="2:8" ht="28.8">
      <c r="B20" s="60" t="s">
        <v>397</v>
      </c>
      <c r="C20" s="64" t="s">
        <v>398</v>
      </c>
      <c r="D20" s="48" t="s">
        <v>412</v>
      </c>
      <c r="E20" s="116" t="s">
        <v>3</v>
      </c>
      <c r="F20" s="85" t="s">
        <v>64</v>
      </c>
      <c r="G20" s="118" t="s">
        <v>306</v>
      </c>
      <c r="H20" s="70"/>
    </row>
    <row r="21" spans="2:8">
      <c r="B21" s="104"/>
      <c r="C21" s="105"/>
      <c r="D21" s="49"/>
      <c r="E21" s="106"/>
      <c r="F21" s="106"/>
      <c r="G21" s="107"/>
      <c r="H21" s="50"/>
    </row>
    <row r="22" spans="2:8">
      <c r="B22" s="108"/>
      <c r="C22" s="108"/>
      <c r="D22" s="45"/>
      <c r="E22" s="109"/>
      <c r="F22" s="109"/>
      <c r="G22" s="110"/>
      <c r="H22" s="45"/>
    </row>
    <row r="23" spans="2:8">
      <c r="B23" s="108"/>
      <c r="C23" s="108"/>
      <c r="D23" s="45"/>
      <c r="E23" s="109"/>
      <c r="F23" s="109"/>
      <c r="G23" s="110"/>
      <c r="H23" s="45"/>
    </row>
    <row r="24" spans="2:8">
      <c r="B24" s="111" t="s">
        <v>199</v>
      </c>
      <c r="C24" s="111"/>
      <c r="D24" s="45"/>
      <c r="E24" s="109"/>
      <c r="F24" s="109"/>
      <c r="G24" s="110"/>
      <c r="H24" s="45"/>
    </row>
    <row r="25" spans="2:8" ht="28.8">
      <c r="B25" s="112" t="s">
        <v>200</v>
      </c>
      <c r="C25" s="112"/>
      <c r="D25" s="51" t="s">
        <v>201</v>
      </c>
      <c r="E25" s="109"/>
      <c r="F25" s="109"/>
      <c r="G25" s="110"/>
      <c r="H25" s="45"/>
    </row>
    <row r="26" spans="2:8">
      <c r="B26" s="52" t="s">
        <v>68</v>
      </c>
      <c r="C26" s="52"/>
      <c r="D26" s="53" t="s">
        <v>202</v>
      </c>
      <c r="E26" s="109"/>
      <c r="F26" s="109"/>
      <c r="G26" s="110"/>
      <c r="H26" s="45"/>
    </row>
    <row r="27" spans="2:8">
      <c r="B27" s="52" t="s">
        <v>69</v>
      </c>
      <c r="C27" s="52"/>
      <c r="D27" s="53" t="s">
        <v>203</v>
      </c>
      <c r="E27" s="109"/>
      <c r="F27" s="109"/>
      <c r="G27" s="110"/>
      <c r="H27" s="45"/>
    </row>
    <row r="28" spans="2:8">
      <c r="B28" s="52" t="s">
        <v>64</v>
      </c>
      <c r="C28" s="52"/>
      <c r="D28" s="53" t="s">
        <v>204</v>
      </c>
      <c r="E28" s="109"/>
      <c r="F28" s="109"/>
      <c r="G28" s="110"/>
      <c r="H28" s="45"/>
    </row>
    <row r="29" spans="2:8">
      <c r="B29" s="108"/>
      <c r="C29" s="108"/>
      <c r="D29" s="45"/>
      <c r="E29" s="109"/>
      <c r="F29" s="109"/>
      <c r="G29" s="113"/>
      <c r="H29" s="45"/>
    </row>
    <row r="30" spans="2:8">
      <c r="B30" s="108"/>
      <c r="C30" s="108"/>
      <c r="D30" s="45"/>
      <c r="E30" s="109"/>
      <c r="F30" s="109"/>
      <c r="G30" s="113"/>
      <c r="H30" s="45"/>
    </row>
    <row r="31" spans="2:8">
      <c r="B31" s="108"/>
      <c r="C31" s="108"/>
      <c r="D31" s="45"/>
      <c r="E31" s="109"/>
      <c r="F31" s="109"/>
      <c r="G31" s="113"/>
      <c r="H31" s="45"/>
    </row>
  </sheetData>
  <phoneticPr fontId="11"/>
  <dataValidations count="1">
    <dataValidation type="list" allowBlank="1" showInputMessage="1" showErrorMessage="1" sqref="F5:F13 F15 F17:F18 F20"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94"/>
  <sheetViews>
    <sheetView tabSelected="1" topLeftCell="A25" zoomScaleNormal="100" zoomScalePageLayoutView="130" workbookViewId="0">
      <selection activeCell="F44" sqref="F44"/>
    </sheetView>
  </sheetViews>
  <sheetFormatPr baseColWidth="10" defaultColWidth="10.796875" defaultRowHeight="15.6"/>
  <cols>
    <col min="1" max="1" width="1.5" style="120" customWidth="1"/>
    <col min="2" max="2" width="7.796875" style="121" customWidth="1"/>
    <col min="3" max="3" width="19.19921875" style="121" customWidth="1"/>
    <col min="4" max="4" width="97.19921875" style="54" customWidth="1"/>
    <col min="5" max="6" width="6.69921875" style="120" customWidth="1"/>
    <col min="7" max="7" width="5.69921875" style="120" customWidth="1"/>
    <col min="8" max="8" width="91.69921875" style="114" customWidth="1"/>
    <col min="9" max="10" width="75.296875" style="114" customWidth="1"/>
    <col min="11" max="11" width="30.69921875" style="54" customWidth="1"/>
    <col min="12" max="12" width="10.796875" style="120"/>
    <col min="13" max="14" width="10.69921875" style="120" customWidth="1"/>
    <col min="15" max="16384" width="10.796875" style="120"/>
  </cols>
  <sheetData>
    <row r="1" spans="2:11" ht="18">
      <c r="B1" s="119" t="s">
        <v>205</v>
      </c>
      <c r="C1" s="119"/>
      <c r="H1" s="54"/>
      <c r="I1" s="39"/>
      <c r="J1" s="68"/>
    </row>
    <row r="2" spans="2:11">
      <c r="H2" s="77"/>
      <c r="I2" s="77"/>
      <c r="J2" s="77"/>
    </row>
    <row r="3" spans="2:11" ht="28.8">
      <c r="B3" s="78" t="s">
        <v>0</v>
      </c>
      <c r="C3" s="79" t="s">
        <v>227</v>
      </c>
      <c r="D3" s="40" t="s">
        <v>303</v>
      </c>
      <c r="E3" s="69" t="s">
        <v>181</v>
      </c>
      <c r="F3" s="69" t="s">
        <v>182</v>
      </c>
      <c r="G3" s="69" t="s">
        <v>183</v>
      </c>
      <c r="H3" s="178" t="s">
        <v>184</v>
      </c>
      <c r="I3" s="178"/>
      <c r="J3" s="178"/>
      <c r="K3" s="41" t="s">
        <v>185</v>
      </c>
    </row>
    <row r="4" spans="2:11">
      <c r="B4" s="80" t="s">
        <v>1</v>
      </c>
      <c r="C4" s="81"/>
      <c r="D4" s="42" t="s">
        <v>186</v>
      </c>
      <c r="E4" s="82"/>
      <c r="F4" s="82"/>
      <c r="G4" s="82"/>
      <c r="H4" s="42"/>
      <c r="I4" s="42"/>
      <c r="J4" s="126"/>
      <c r="K4" s="43"/>
    </row>
    <row r="5" spans="2:11">
      <c r="B5" s="60" t="s">
        <v>2</v>
      </c>
      <c r="C5" s="64" t="s">
        <v>228</v>
      </c>
      <c r="D5" s="44" t="s">
        <v>311</v>
      </c>
      <c r="E5" s="83" t="s">
        <v>3</v>
      </c>
      <c r="F5" s="84" t="s">
        <v>3</v>
      </c>
      <c r="G5" s="85"/>
      <c r="H5" s="86" t="str">
        <f>HYPERLINK(CONCATENATE(
BASE_URL,
"0x04b-Mobile-App-Security-Testing.md#architectural-information"),
"Architectural Information")</f>
        <v>Architectural Information</v>
      </c>
      <c r="I5" s="87"/>
      <c r="J5" s="87"/>
      <c r="K5" s="70"/>
    </row>
    <row r="6" spans="2:11">
      <c r="B6" s="60" t="s">
        <v>112</v>
      </c>
      <c r="C6" s="64" t="s">
        <v>229</v>
      </c>
      <c r="D6" s="44" t="s">
        <v>312</v>
      </c>
      <c r="E6" s="83" t="s">
        <v>3</v>
      </c>
      <c r="F6" s="84" t="s">
        <v>3</v>
      </c>
      <c r="G6" s="85"/>
      <c r="H6" s="86" t="str">
        <f>HYPERLINK(CONCATENATE(
BASE_URL,
"0x04h-Testing-Code-Quality.md#injection-flaws-mstg-arch-2-and-mstg-platform-2"),
"Injection Flaws (MSTG-ARCH-2 and MSTG-PLATFORM-2)")</f>
        <v>Injection Flaws (MSTG-ARCH-2 and MSTG-PLATFORM-2)</v>
      </c>
      <c r="I6"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9"/>
      <c r="K6" s="70"/>
    </row>
    <row r="7" spans="2:11" ht="28.8">
      <c r="B7" s="60" t="s">
        <v>111</v>
      </c>
      <c r="C7" s="64" t="s">
        <v>230</v>
      </c>
      <c r="D7" s="44" t="s">
        <v>313</v>
      </c>
      <c r="E7" s="83" t="s">
        <v>3</v>
      </c>
      <c r="F7" s="84" t="s">
        <v>3</v>
      </c>
      <c r="G7" s="85"/>
      <c r="H7" s="86" t="str">
        <f>HYPERLINK(CONCATENATE(
BASE_URL,
"0x04b-Mobile-App-Security-Testing.md#architectural-information"),
"Architectural Information")</f>
        <v>Architectural Information</v>
      </c>
      <c r="I7" s="87"/>
      <c r="J7" s="87"/>
      <c r="K7" s="70"/>
    </row>
    <row r="8" spans="2:11">
      <c r="B8" s="60" t="s">
        <v>110</v>
      </c>
      <c r="C8" s="64" t="s">
        <v>231</v>
      </c>
      <c r="D8" s="44" t="s">
        <v>314</v>
      </c>
      <c r="E8" s="83" t="s">
        <v>3</v>
      </c>
      <c r="F8" s="84" t="s">
        <v>3</v>
      </c>
      <c r="G8" s="85"/>
      <c r="H8" s="86" t="str">
        <f>HYPERLINK(CONCATENATE(
BASE_URL,
"0x04b-Mobile-App-Security-Testing.md#identifying-sensitive-data"),
"Identifying Sensitive Data")</f>
        <v>Identifying Sensitive Data</v>
      </c>
      <c r="I8" s="87"/>
      <c r="J8" s="87"/>
      <c r="K8" s="70"/>
    </row>
    <row r="9" spans="2:11">
      <c r="B9" s="60" t="s">
        <v>109</v>
      </c>
      <c r="C9" s="64" t="s">
        <v>232</v>
      </c>
      <c r="D9" s="44" t="s">
        <v>315</v>
      </c>
      <c r="E9" s="90"/>
      <c r="F9" s="84" t="s">
        <v>3</v>
      </c>
      <c r="G9" s="85" t="s">
        <v>64</v>
      </c>
      <c r="H9" s="86" t="str">
        <f>HYPERLINK(CONCATENATE(
BASE_URL,
"0x04b-Mobile-App-Security-Testing.md#environmental-information"),
"Environmental Information")</f>
        <v>Environmental Information</v>
      </c>
      <c r="I9" s="87"/>
      <c r="J9" s="87"/>
      <c r="K9" s="70"/>
    </row>
    <row r="10" spans="2:11">
      <c r="B10" s="60" t="s">
        <v>108</v>
      </c>
      <c r="C10" s="64" t="s">
        <v>233</v>
      </c>
      <c r="D10" s="44" t="s">
        <v>316</v>
      </c>
      <c r="E10" s="90"/>
      <c r="F10" s="84" t="s">
        <v>3</v>
      </c>
      <c r="G10" s="85" t="s">
        <v>64</v>
      </c>
      <c r="H10" s="86" t="str">
        <f>HYPERLINK(CONCATENATE(
BASE_URL,
"0x04b-Mobile-App-Security-Testing.md#mapping-the-application"),
"Mapping the Application")</f>
        <v>Mapping the Application</v>
      </c>
      <c r="I10" s="87"/>
      <c r="J10" s="87"/>
      <c r="K10" s="70"/>
    </row>
    <row r="11" spans="2:11">
      <c r="B11" s="60" t="s">
        <v>4</v>
      </c>
      <c r="C11" s="64" t="s">
        <v>234</v>
      </c>
      <c r="D11" s="44" t="s">
        <v>317</v>
      </c>
      <c r="E11" s="91"/>
      <c r="F11" s="84" t="s">
        <v>3</v>
      </c>
      <c r="G11" s="85" t="s">
        <v>64</v>
      </c>
      <c r="H11" s="86" t="str">
        <f>HYPERLINK(CONCATENATE(
BASE_URL,
"0x04b-Mobile-App-Security-Testing.md#principles-of-testing"),
"Principles of Testing")</f>
        <v>Principles of Testing</v>
      </c>
      <c r="I11" s="88" t="str">
        <f>HYPERLINK(CONCATENATE(
BASE_URL,
"0x04b-Mobile-App-Security-Testing.md#penetration-testing-aka-pentesting"),
"Penetration Testing (a.k.a. Pentesting)")</f>
        <v>Penetration Testing (a.k.a. Pentesting)</v>
      </c>
      <c r="J11" s="88"/>
      <c r="K11" s="70"/>
    </row>
    <row r="12" spans="2:11" ht="28.8">
      <c r="B12" s="60" t="s">
        <v>107</v>
      </c>
      <c r="C12" s="64" t="s">
        <v>235</v>
      </c>
      <c r="D12" s="44" t="s">
        <v>318</v>
      </c>
      <c r="E12" s="90"/>
      <c r="F12" s="84" t="s">
        <v>3</v>
      </c>
      <c r="G12" s="85" t="s">
        <v>64</v>
      </c>
      <c r="H12" s="86" t="str">
        <f>HYPERLINK(CONCATENATE(
BASE_URL,
"0x04g-Testing-Cryptography.md#cryptographic-policy"),
"Cryptographic policy")</f>
        <v>Cryptographic policy</v>
      </c>
      <c r="I12" s="87"/>
      <c r="J12" s="87"/>
      <c r="K12" s="70"/>
    </row>
    <row r="13" spans="2:11">
      <c r="B13" s="60" t="s">
        <v>106</v>
      </c>
      <c r="C13" s="64" t="s">
        <v>236</v>
      </c>
      <c r="D13" s="44" t="s">
        <v>319</v>
      </c>
      <c r="E13" s="90"/>
      <c r="F13" s="84" t="s">
        <v>3</v>
      </c>
      <c r="G13" s="85" t="s">
        <v>64</v>
      </c>
      <c r="H13" s="86" t="str">
        <f>HYPERLINK(CONCATENATE(
BASE_URL,
"0x06h-Testing-Platform-Interaction.md#testing-enforced-updating-mstg-arch-9"),
"Testing enforced updating (MSTG-ARCH-9)")</f>
        <v>Testing enforced updating (MSTG-ARCH-9)</v>
      </c>
      <c r="I13" s="87"/>
      <c r="J13" s="87"/>
      <c r="K13" s="70"/>
    </row>
    <row r="14" spans="2:11">
      <c r="B14" s="60" t="s">
        <v>5</v>
      </c>
      <c r="C14" s="65" t="s">
        <v>237</v>
      </c>
      <c r="D14" s="44" t="s">
        <v>320</v>
      </c>
      <c r="E14" s="90"/>
      <c r="F14" s="84" t="s">
        <v>3</v>
      </c>
      <c r="G14" s="85" t="s">
        <v>64</v>
      </c>
      <c r="H14" s="86" t="str">
        <f>HYPERLINK(CONCATENATE(
BASE_URL,
"0x04b-Mobile-App-Security-Testing.md#security-testing-and-the-sdlc"),
"Security Testing and the SDLC")</f>
        <v>Security Testing and the SDLC</v>
      </c>
      <c r="I14" s="87"/>
      <c r="J14" s="87"/>
      <c r="K14" s="70"/>
    </row>
    <row r="15" spans="2:11">
      <c r="B15" s="60" t="s">
        <v>307</v>
      </c>
      <c r="C15" s="65" t="s">
        <v>309</v>
      </c>
      <c r="D15" s="44" t="s">
        <v>321</v>
      </c>
      <c r="E15" s="90"/>
      <c r="F15" s="84" t="s">
        <v>3</v>
      </c>
      <c r="G15" s="85" t="s">
        <v>64</v>
      </c>
      <c r="H15" s="86"/>
      <c r="I15" s="87"/>
      <c r="J15" s="87"/>
      <c r="K15" s="70"/>
    </row>
    <row r="16" spans="2:11">
      <c r="B16" s="60" t="s">
        <v>308</v>
      </c>
      <c r="C16" s="65" t="s">
        <v>310</v>
      </c>
      <c r="D16" s="44" t="s">
        <v>322</v>
      </c>
      <c r="E16" s="83" t="s">
        <v>3</v>
      </c>
      <c r="F16" s="84" t="s">
        <v>3</v>
      </c>
      <c r="G16" s="85"/>
      <c r="H16" s="86"/>
      <c r="I16" s="87"/>
      <c r="J16" s="87"/>
      <c r="K16" s="70"/>
    </row>
    <row r="17" spans="2:12">
      <c r="B17" s="92" t="s">
        <v>6</v>
      </c>
      <c r="C17" s="93"/>
      <c r="D17" s="46" t="s">
        <v>187</v>
      </c>
      <c r="E17" s="94"/>
      <c r="F17" s="95"/>
      <c r="G17" s="94"/>
      <c r="H17" s="96"/>
      <c r="I17" s="96"/>
      <c r="J17" s="96"/>
      <c r="K17" s="47"/>
    </row>
    <row r="18" spans="2:12" ht="28.8">
      <c r="B18" s="60" t="s">
        <v>7</v>
      </c>
      <c r="C18" s="64" t="s">
        <v>238</v>
      </c>
      <c r="D18" s="44" t="s">
        <v>329</v>
      </c>
      <c r="E18" s="83" t="s">
        <v>3</v>
      </c>
      <c r="F18" s="84" t="s">
        <v>3</v>
      </c>
      <c r="G18" s="85"/>
      <c r="H18" s="98" t="str">
        <f>HYPERLINK(CONCATENATE(BASE_URL,"0x06d-Testing-Data-Storage.md#testing-local-data-storage-mstg-storage-1-and-mstg-storage-2"),"Testing Local Data Storage (MSTG-STORAGE-1 and MSTG-STORAGE-2)")</f>
        <v>Testing Local Data Storage (MSTG-STORAGE-1 and MSTG-STORAGE-2)</v>
      </c>
      <c r="I18" s="87"/>
      <c r="J18" s="87"/>
      <c r="K18" s="70"/>
    </row>
    <row r="19" spans="2:12">
      <c r="B19" s="60" t="s">
        <v>39</v>
      </c>
      <c r="C19" s="64" t="s">
        <v>239</v>
      </c>
      <c r="D19" s="44" t="s">
        <v>330</v>
      </c>
      <c r="E19" s="83" t="s">
        <v>3</v>
      </c>
      <c r="F19" s="84" t="s">
        <v>3</v>
      </c>
      <c r="G19" s="85"/>
      <c r="H19" s="98" t="str">
        <f>HYPERLINK(CONCATENATE(BASE_URL,"0x06d-Testing-Data-Storage.md#testing-local-data-storage-mstg-storage-1-and-mstg-storage-2"),"Testing Local Data Storage (MSTG-STORAGE-1 and MSTG-STORAGE-2)")</f>
        <v>Testing Local Data Storage (MSTG-STORAGE-1 and MSTG-STORAGE-2)</v>
      </c>
      <c r="I19" s="87"/>
      <c r="J19" s="87"/>
      <c r="K19" s="70"/>
    </row>
    <row r="20" spans="2:12">
      <c r="B20" s="60" t="s">
        <v>40</v>
      </c>
      <c r="C20" s="64" t="s">
        <v>240</v>
      </c>
      <c r="D20" s="44" t="s">
        <v>331</v>
      </c>
      <c r="E20" s="83" t="s">
        <v>3</v>
      </c>
      <c r="F20" s="84" t="s">
        <v>3</v>
      </c>
      <c r="G20" s="85"/>
      <c r="H20" s="98" t="str">
        <f>HYPERLINK(CONCATENATE(BASE_URL,"0x06d-Testing-Data-Storage.md#checking-logs-for-sensitive-data-mstg-storage-3"),"Checking Logs for Sensitive Data (MSTG-STORAGE-3)")</f>
        <v>Checking Logs for Sensitive Data (MSTG-STORAGE-3)</v>
      </c>
      <c r="I20" s="87"/>
      <c r="J20" s="87"/>
      <c r="K20" s="70"/>
    </row>
    <row r="21" spans="2:12">
      <c r="B21" s="60" t="s">
        <v>8</v>
      </c>
      <c r="C21" s="64" t="s">
        <v>241</v>
      </c>
      <c r="D21" s="44" t="s">
        <v>332</v>
      </c>
      <c r="E21" s="83" t="s">
        <v>3</v>
      </c>
      <c r="F21" s="84" t="s">
        <v>3</v>
      </c>
      <c r="G21" s="85"/>
      <c r="H21" s="98"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7"/>
      <c r="J21" s="87"/>
      <c r="K21" s="70"/>
    </row>
    <row r="22" spans="2:12">
      <c r="B22" s="60" t="s">
        <v>41</v>
      </c>
      <c r="C22" s="64" t="s">
        <v>242</v>
      </c>
      <c r="D22" s="44" t="s">
        <v>333</v>
      </c>
      <c r="E22" s="83" t="s">
        <v>3</v>
      </c>
      <c r="F22" s="84" t="s">
        <v>3</v>
      </c>
      <c r="G22" s="85"/>
      <c r="H22" s="98" t="str">
        <f>HYPERLINK(CONCATENATE(BASE_URL,"0x06d-Testing-Data-Storage.md#finding-sensitive-data-in-the-keyboard-cache-mstg-storage-5"),"Finding Sensitive Data in the Keyboard Cache (MSTG-STORAGE-5)")</f>
        <v>Finding Sensitive Data in the Keyboard Cache (MSTG-STORAGE-5)</v>
      </c>
      <c r="I22" s="87"/>
      <c r="J22" s="87"/>
      <c r="K22" s="70"/>
    </row>
    <row r="23" spans="2:12">
      <c r="B23" s="60" t="s">
        <v>9</v>
      </c>
      <c r="C23" s="64" t="s">
        <v>243</v>
      </c>
      <c r="D23" s="44" t="s">
        <v>334</v>
      </c>
      <c r="E23" s="83" t="s">
        <v>3</v>
      </c>
      <c r="F23" s="84" t="s">
        <v>3</v>
      </c>
      <c r="G23" s="85"/>
      <c r="H23" s="8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7"/>
      <c r="J23" s="87"/>
      <c r="K23" s="70"/>
    </row>
    <row r="24" spans="2:12">
      <c r="B24" s="60" t="s">
        <v>10</v>
      </c>
      <c r="C24" s="64" t="s">
        <v>244</v>
      </c>
      <c r="D24" s="44" t="s">
        <v>335</v>
      </c>
      <c r="E24" s="83" t="s">
        <v>3</v>
      </c>
      <c r="F24" s="84" t="s">
        <v>3</v>
      </c>
      <c r="G24" s="85"/>
      <c r="H24" s="98"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7"/>
      <c r="J24" s="87"/>
      <c r="K24" s="70"/>
    </row>
    <row r="25" spans="2:12">
      <c r="B25" s="60" t="s">
        <v>11</v>
      </c>
      <c r="C25" s="64" t="s">
        <v>245</v>
      </c>
      <c r="D25" s="44" t="s">
        <v>336</v>
      </c>
      <c r="E25" s="90"/>
      <c r="F25" s="84" t="s">
        <v>3</v>
      </c>
      <c r="G25" s="85" t="s">
        <v>64</v>
      </c>
      <c r="H25" s="98" t="str">
        <f>HYPERLINK(CONCATENATE(BASE_URL,"0x06d-Testing-Data-Storage.md#testing-backups-for-sensitive-data-mstg-storage-8"),"Testing Backups for Sensitive Data (MSTG-STORAGE-8)")</f>
        <v>Testing Backups for Sensitive Data (MSTG-STORAGE-8)</v>
      </c>
      <c r="I25" s="87"/>
      <c r="J25" s="87"/>
      <c r="K25" s="70"/>
    </row>
    <row r="26" spans="2:12">
      <c r="B26" s="60" t="s">
        <v>12</v>
      </c>
      <c r="C26" s="64" t="s">
        <v>246</v>
      </c>
      <c r="D26" s="44" t="s">
        <v>337</v>
      </c>
      <c r="E26" s="90"/>
      <c r="F26" s="84" t="s">
        <v>3</v>
      </c>
      <c r="G26" s="85" t="s">
        <v>64</v>
      </c>
      <c r="H26" s="98"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7"/>
      <c r="J26" s="87"/>
      <c r="K26" s="70"/>
    </row>
    <row r="27" spans="2:12">
      <c r="B27" s="60" t="s">
        <v>42</v>
      </c>
      <c r="C27" s="64" t="s">
        <v>247</v>
      </c>
      <c r="D27" s="44" t="s">
        <v>338</v>
      </c>
      <c r="E27" s="90"/>
      <c r="F27" s="84" t="s">
        <v>3</v>
      </c>
      <c r="G27" s="85" t="s">
        <v>64</v>
      </c>
      <c r="H27" s="98" t="str">
        <f>HYPERLINK(CONCATENATE(BASE_URL,"0x06d-Testing-Data-Storage.md#testing-memory-for-sensitive-data-mstg-storage-10"),"Testing Memory for Sensitive Data (MSTG-STORAGE-10)")</f>
        <v>Testing Memory for Sensitive Data (MSTG-STORAGE-10)</v>
      </c>
      <c r="I27" s="87"/>
      <c r="J27" s="87"/>
      <c r="K27" s="70"/>
    </row>
    <row r="28" spans="2:12" ht="28.8">
      <c r="B28" s="60" t="s">
        <v>43</v>
      </c>
      <c r="C28" s="64" t="s">
        <v>248</v>
      </c>
      <c r="D28" s="44" t="s">
        <v>339</v>
      </c>
      <c r="E28" s="90"/>
      <c r="F28" s="84" t="s">
        <v>3</v>
      </c>
      <c r="G28" s="85" t="s">
        <v>64</v>
      </c>
      <c r="H28" s="98" t="str">
        <f>HYPERLINK(CONCATENATE(BASE_URL,"0x06f-Testing-Local-Authentication.md#testing-local-authentication-mstg-auth-8-and-mstg-storage-11"),"Testing Local Authentication (MSTG-AUTH-8 and MSTG-STORAGE-11)")</f>
        <v>Testing Local Authentication (MSTG-AUTH-8 and MSTG-STORAGE-11)</v>
      </c>
      <c r="I28" s="87"/>
      <c r="J28" s="87"/>
      <c r="K28" s="70"/>
      <c r="L28" s="122"/>
    </row>
    <row r="29" spans="2:12" ht="28.8">
      <c r="B29" s="60" t="s">
        <v>13</v>
      </c>
      <c r="C29" s="64" t="s">
        <v>249</v>
      </c>
      <c r="D29" s="44" t="s">
        <v>340</v>
      </c>
      <c r="E29" s="90"/>
      <c r="F29" s="84" t="s">
        <v>3</v>
      </c>
      <c r="G29" s="85" t="s">
        <v>64</v>
      </c>
      <c r="H29" s="101" t="str">
        <f>HYPERLINK(CONCATENATE(BASE_URL,"0x04i-Testing-user-interaction.md#testing-user-education-mstg-storage-12"),"Testing User Education (MSTG-STORAGE-12)")</f>
        <v>Testing User Education (MSTG-STORAGE-12)</v>
      </c>
      <c r="I29" s="87"/>
      <c r="J29" s="87"/>
      <c r="K29" s="70"/>
      <c r="L29" s="75"/>
    </row>
    <row r="30" spans="2:12" ht="28.8">
      <c r="B30" s="60" t="s">
        <v>323</v>
      </c>
      <c r="C30" s="64" t="s">
        <v>326</v>
      </c>
      <c r="D30" s="44" t="s">
        <v>341</v>
      </c>
      <c r="E30" s="90"/>
      <c r="F30" s="84" t="s">
        <v>3</v>
      </c>
      <c r="G30" s="85" t="s">
        <v>64</v>
      </c>
      <c r="H30" s="101"/>
      <c r="I30" s="87"/>
      <c r="J30" s="87"/>
      <c r="K30" s="70"/>
      <c r="L30" s="75"/>
    </row>
    <row r="31" spans="2:12" ht="28.8">
      <c r="B31" s="60" t="s">
        <v>324</v>
      </c>
      <c r="C31" s="64" t="s">
        <v>327</v>
      </c>
      <c r="D31" s="44" t="s">
        <v>342</v>
      </c>
      <c r="E31" s="90"/>
      <c r="F31" s="84" t="s">
        <v>3</v>
      </c>
      <c r="G31" s="85" t="s">
        <v>64</v>
      </c>
      <c r="H31" s="101"/>
      <c r="I31" s="87"/>
      <c r="J31" s="87"/>
      <c r="K31" s="70"/>
      <c r="L31" s="75"/>
    </row>
    <row r="32" spans="2:12">
      <c r="B32" s="60" t="s">
        <v>325</v>
      </c>
      <c r="C32" s="64" t="s">
        <v>328</v>
      </c>
      <c r="D32" s="44" t="s">
        <v>343</v>
      </c>
      <c r="E32" s="90"/>
      <c r="F32" s="84" t="s">
        <v>3</v>
      </c>
      <c r="G32" s="85" t="s">
        <v>64</v>
      </c>
      <c r="H32" s="101"/>
      <c r="I32" s="87"/>
      <c r="J32" s="87"/>
      <c r="K32" s="70"/>
      <c r="L32" s="75"/>
    </row>
    <row r="33" spans="2:13">
      <c r="B33" s="92" t="s">
        <v>14</v>
      </c>
      <c r="C33" s="93"/>
      <c r="D33" s="46" t="s">
        <v>189</v>
      </c>
      <c r="E33" s="94"/>
      <c r="F33" s="95"/>
      <c r="G33" s="94"/>
      <c r="H33" s="96"/>
      <c r="I33" s="96"/>
      <c r="J33" s="96"/>
      <c r="K33" s="47"/>
    </row>
    <row r="34" spans="2:13">
      <c r="B34" s="60" t="s">
        <v>15</v>
      </c>
      <c r="C34" s="64" t="s">
        <v>250</v>
      </c>
      <c r="D34" s="44" t="s">
        <v>344</v>
      </c>
      <c r="E34" s="83" t="s">
        <v>3</v>
      </c>
      <c r="F34" s="84" t="s">
        <v>3</v>
      </c>
      <c r="G34" s="85"/>
      <c r="H34" s="98" t="str">
        <f>HYPERLINK(CONCATENATE(BASE_URL,"0x06e-Testing-Cryptography.md#testing-key-management-mstg-crypto-1-and-mstg-crypto-5"),"Testing Key Management (MSTG-CRYPTO-1 and MSTG-CRYPTO-5)")</f>
        <v>Testing Key Management (MSTG-CRYPTO-1 and MSTG-CRYPTO-5)</v>
      </c>
      <c r="I34" s="87"/>
      <c r="J34" s="87"/>
      <c r="K34" s="70"/>
    </row>
    <row r="35" spans="2:13">
      <c r="B35" s="60" t="s">
        <v>16</v>
      </c>
      <c r="C35" s="64" t="s">
        <v>251</v>
      </c>
      <c r="D35" s="44" t="s">
        <v>345</v>
      </c>
      <c r="E35" s="83" t="s">
        <v>3</v>
      </c>
      <c r="F35" s="84" t="s">
        <v>3</v>
      </c>
      <c r="G35" s="85"/>
      <c r="H35"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7"/>
      <c r="J35" s="87"/>
      <c r="K35" s="70"/>
    </row>
    <row r="36" spans="2:13" ht="28.8">
      <c r="B36" s="60" t="s">
        <v>17</v>
      </c>
      <c r="C36" s="64" t="s">
        <v>252</v>
      </c>
      <c r="D36" s="44" t="s">
        <v>346</v>
      </c>
      <c r="E36" s="83" t="s">
        <v>3</v>
      </c>
      <c r="F36" s="84" t="s">
        <v>3</v>
      </c>
      <c r="G36" s="85"/>
      <c r="H36" s="8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7"/>
      <c r="J36" s="87"/>
      <c r="K36" s="70"/>
    </row>
    <row r="37" spans="2:13">
      <c r="B37" s="60" t="s">
        <v>18</v>
      </c>
      <c r="C37" s="64" t="s">
        <v>253</v>
      </c>
      <c r="D37" s="44" t="s">
        <v>347</v>
      </c>
      <c r="E37" s="83" t="s">
        <v>3</v>
      </c>
      <c r="F37" s="84" t="s">
        <v>3</v>
      </c>
      <c r="G37" s="85"/>
      <c r="H37" s="9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7"/>
      <c r="J37" s="87"/>
      <c r="K37" s="70"/>
    </row>
    <row r="38" spans="2:13">
      <c r="B38" s="60" t="s">
        <v>19</v>
      </c>
      <c r="C38" s="64" t="s">
        <v>255</v>
      </c>
      <c r="D38" s="44" t="s">
        <v>348</v>
      </c>
      <c r="E38" s="83" t="s">
        <v>3</v>
      </c>
      <c r="F38" s="84" t="s">
        <v>3</v>
      </c>
      <c r="G38" s="85"/>
      <c r="H38" s="98" t="str">
        <f>HYPERLINK(CONCATENATE(BASE_URL,"0x06e-Testing-Cryptography.md#testing-key-management-mstg-crypto-1-and-mstg-crypto-5"),"Testing Key Management (MSTG-CRYPTO-1 and MSTG-CRYPTO-5)")</f>
        <v>Testing Key Management (MSTG-CRYPTO-1 and MSTG-CRYPTO-5)</v>
      </c>
      <c r="I38" s="87"/>
      <c r="J38" s="87"/>
      <c r="K38" s="70"/>
    </row>
    <row r="39" spans="2:13">
      <c r="B39" s="60" t="s">
        <v>20</v>
      </c>
      <c r="C39" s="64" t="s">
        <v>254</v>
      </c>
      <c r="D39" s="44" t="s">
        <v>349</v>
      </c>
      <c r="E39" s="83" t="s">
        <v>3</v>
      </c>
      <c r="F39" s="84" t="s">
        <v>3</v>
      </c>
      <c r="G39" s="85"/>
      <c r="H39" s="98" t="str">
        <f>HYPERLINK(CONCATENATE(BASE_URL,"0x06e-Testing-Cryptography.md#testing-random-number-generation-mstg-crypto-6")," Testing Random Number Generation (MSTG-CRYPTO-6)")</f>
        <v xml:space="preserve"> Testing Random Number Generation (MSTG-CRYPTO-6)</v>
      </c>
      <c r="I39" s="87"/>
      <c r="J39" s="87"/>
      <c r="K39" s="70"/>
    </row>
    <row r="40" spans="2:13">
      <c r="B40" s="92" t="s">
        <v>21</v>
      </c>
      <c r="C40" s="93"/>
      <c r="D40" s="46" t="s">
        <v>190</v>
      </c>
      <c r="E40" s="94"/>
      <c r="F40" s="95"/>
      <c r="G40" s="94"/>
      <c r="H40" s="96"/>
      <c r="I40" s="96"/>
      <c r="J40" s="96"/>
      <c r="K40" s="47"/>
    </row>
    <row r="41" spans="2:13" ht="28.8">
      <c r="B41" s="60" t="s">
        <v>22</v>
      </c>
      <c r="C41" s="64" t="s">
        <v>256</v>
      </c>
      <c r="D41" s="48" t="s">
        <v>352</v>
      </c>
      <c r="E41" s="83" t="s">
        <v>3</v>
      </c>
      <c r="F41" s="84" t="s">
        <v>3</v>
      </c>
      <c r="G41" s="85"/>
      <c r="H41" s="9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8" t="str">
        <f>HYPERLINK(CONCATENATE(BASE_URL,"0x04e-Testing-Authentication-and-Session-Management.md#verifying-that-appropriate-authentication-is-in-place-mstg-arch-2-and-mstg-auth-1"),"Testing OAuth 2.0 Flows (MSTG-AUTH-1 and MSTG-AUTH-3)")</f>
        <v>Testing OAuth 2.0 Flows (MSTG-AUTH-1 and MSTG-AUTH-3)</v>
      </c>
      <c r="J41" s="98"/>
      <c r="K41" s="70"/>
    </row>
    <row r="42" spans="2:13" ht="28.8">
      <c r="B42" s="60" t="s">
        <v>44</v>
      </c>
      <c r="C42" s="64" t="s">
        <v>257</v>
      </c>
      <c r="D42" s="48" t="s">
        <v>353</v>
      </c>
      <c r="E42" s="83" t="s">
        <v>3</v>
      </c>
      <c r="F42" s="84" t="s">
        <v>3</v>
      </c>
      <c r="G42" s="85"/>
      <c r="H42" s="98" t="str">
        <f>HYPERLINK(CONCATENATE(BASE_URL,"0x04e-Testing-Authentication-and-Session-Management.md#testing-stateful-session-management-mstg-auth-2"),"Testing Stateful Session Management (MSTG-AUTH-2)")</f>
        <v>Testing Stateful Session Management (MSTG-AUTH-2)</v>
      </c>
      <c r="I42" s="87"/>
      <c r="J42" s="87"/>
      <c r="K42" s="70"/>
    </row>
    <row r="43" spans="2:13" ht="28.8">
      <c r="B43" s="60" t="s">
        <v>45</v>
      </c>
      <c r="C43" s="64" t="s">
        <v>258</v>
      </c>
      <c r="D43" s="48" t="s">
        <v>354</v>
      </c>
      <c r="E43" s="83" t="s">
        <v>3</v>
      </c>
      <c r="F43" s="84" t="s">
        <v>3</v>
      </c>
      <c r="G43" s="85"/>
      <c r="H43" s="98" t="str">
        <f>HYPERLINK(CONCATENATE(BASE_URL,"0x04e-Testing-Authentication-and-Session-Management.md#testing-stateless-token-based-authentication-mstg-auth-3"),"Testing Stateless (Token-Based) Authentication (MSTG-AUTH-3)")</f>
        <v>Testing Stateless (Token-Based) Authentication (MSTG-AUTH-3)</v>
      </c>
      <c r="I43" s="98" t="str">
        <f>HYPERLINK(CONCATENATE(BASE_URL,"0x04e-Testing-Authentication-and-Session-Management.md#verifying-that-appropriate-authentication-is-in-place-mstg-arch-2-and-mstg-auth-1"),"Testing OAuth 2.0 Flows (MSTG-AUTH-1 and MSTG-AUTH-3)")</f>
        <v>Testing OAuth 2.0 Flows (MSTG-AUTH-1 and MSTG-AUTH-3)</v>
      </c>
      <c r="J43" s="98"/>
      <c r="K43" s="70"/>
    </row>
    <row r="44" spans="2:13">
      <c r="B44" s="60" t="s">
        <v>23</v>
      </c>
      <c r="C44" s="64" t="s">
        <v>259</v>
      </c>
      <c r="D44" s="48" t="s">
        <v>355</v>
      </c>
      <c r="E44" s="83" t="s">
        <v>3</v>
      </c>
      <c r="F44" s="84" t="s">
        <v>3</v>
      </c>
      <c r="G44" s="85"/>
      <c r="H44" s="98" t="str">
        <f>HYPERLINK(CONCATENATE(BASE_URL,"0x04e-Testing-Authentication-and-Session-Management.md#testing-user-logout-mstg-auth-4"),"Testing User Logout (MSTG-AUTH-4)")</f>
        <v>Testing User Logout (MSTG-AUTH-4)</v>
      </c>
      <c r="I44" s="87"/>
      <c r="J44" s="87"/>
      <c r="K44" s="70"/>
      <c r="M44" s="99"/>
    </row>
    <row r="45" spans="2:13">
      <c r="B45" s="60" t="s">
        <v>24</v>
      </c>
      <c r="C45" s="64" t="s">
        <v>260</v>
      </c>
      <c r="D45" s="48" t="s">
        <v>356</v>
      </c>
      <c r="E45" s="83" t="s">
        <v>3</v>
      </c>
      <c r="F45" s="84" t="s">
        <v>3</v>
      </c>
      <c r="G45" s="85"/>
      <c r="H45" s="98" t="str">
        <f>HYPERLINK(CONCATENATE(BASE_URL,"0x04e-Testing-Authentication-and-Session-Management.md#testing-best-practices-for-passwords-mstg-auth-5-and-mstg-auth-6"),"Testing Best Practices for Passwords (MSTG-AUTH-5 and MSTG-AUTH-6)")</f>
        <v>Testing Best Practices for Passwords (MSTG-AUTH-5 and MSTG-AUTH-6)</v>
      </c>
      <c r="I45" s="87"/>
      <c r="J45" s="87"/>
      <c r="K45" s="70"/>
      <c r="M45" s="99"/>
    </row>
    <row r="46" spans="2:13">
      <c r="B46" s="60" t="s">
        <v>46</v>
      </c>
      <c r="C46" s="64" t="s">
        <v>261</v>
      </c>
      <c r="D46" s="48" t="s">
        <v>357</v>
      </c>
      <c r="E46" s="83" t="s">
        <v>3</v>
      </c>
      <c r="F46" s="84" t="s">
        <v>3</v>
      </c>
      <c r="G46" s="85"/>
      <c r="H46" s="98" t="str">
        <f>HYPERLINK(CONCATENATE(BASE_URL,"0x04e-Testing-Authentication-and-Session-Management.md#testing-best-practices-for-passwords-mstg-auth-5-and-mstg-auth-6"),"Testing Best Practices for Passwords (MSTG-AUTH-5 and MSTG-AUTH-6)")</f>
        <v>Testing Best Practices for Passwords (MSTG-AUTH-5 and MSTG-AUTH-6)</v>
      </c>
      <c r="I46" s="98" t="str">
        <f>HYPERLINK(CONCATENATE(BASE_URL,"0x04e-Testing-Authentication-and-Session-Management.md#dynamic-testing-mstg-auth-6"),"Dynamic Testing (MSTG-AUTH-6)")</f>
        <v>Dynamic Testing (MSTG-AUTH-6)</v>
      </c>
      <c r="J46" s="98"/>
      <c r="K46" s="70"/>
    </row>
    <row r="47" spans="2:13" ht="28.8">
      <c r="B47" s="60" t="s">
        <v>47</v>
      </c>
      <c r="C47" s="64" t="s">
        <v>262</v>
      </c>
      <c r="D47" s="48" t="s">
        <v>358</v>
      </c>
      <c r="E47" s="83" t="s">
        <v>3</v>
      </c>
      <c r="F47" s="84" t="s">
        <v>3</v>
      </c>
      <c r="G47" s="85"/>
      <c r="H47" s="98" t="str">
        <f>HYPERLINK(CONCATENATE(BASE_URL,"0x04e-Testing-Authentication-and-Session-Management.md#testing-session-timeout-mstg-auth-7"),"Testing Session Timeout (MSTG-AUTH-7)")</f>
        <v>Testing Session Timeout (MSTG-AUTH-7)</v>
      </c>
      <c r="I47" s="100"/>
      <c r="J47" s="100"/>
      <c r="K47" s="72"/>
    </row>
    <row r="48" spans="2:13" ht="28.8">
      <c r="B48" s="60" t="s">
        <v>25</v>
      </c>
      <c r="C48" s="64" t="s">
        <v>263</v>
      </c>
      <c r="D48" s="48" t="s">
        <v>359</v>
      </c>
      <c r="E48" s="90"/>
      <c r="F48" s="84" t="s">
        <v>3</v>
      </c>
      <c r="G48" s="85" t="s">
        <v>64</v>
      </c>
      <c r="H48" s="98" t="str">
        <f>HYPERLINK(CONCATENATE(BASE_URL,"0x06f-Testing-Local-Authentication.md#testing-local-authentication-mstg-auth-8-and-mstg-storage-11"),"Testing Local Authentication (MSTG-AUTH-8 and MSTG-STORAGE-11)")</f>
        <v>Testing Local Authentication (MSTG-AUTH-8 and MSTG-STORAGE-11)</v>
      </c>
      <c r="I48" s="98"/>
      <c r="J48" s="98"/>
      <c r="K48" s="70"/>
    </row>
    <row r="49" spans="2:11" ht="28.8">
      <c r="B49" s="60" t="s">
        <v>26</v>
      </c>
      <c r="C49" s="64" t="s">
        <v>264</v>
      </c>
      <c r="D49" s="48" t="s">
        <v>360</v>
      </c>
      <c r="E49" s="90"/>
      <c r="F49" s="84" t="s">
        <v>3</v>
      </c>
      <c r="G49" s="85" t="s">
        <v>64</v>
      </c>
      <c r="H49"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7"/>
      <c r="J49" s="87"/>
      <c r="K49" s="70"/>
    </row>
    <row r="50" spans="2:11">
      <c r="B50" s="60" t="s">
        <v>27</v>
      </c>
      <c r="C50" s="64" t="s">
        <v>265</v>
      </c>
      <c r="D50" s="48" t="s">
        <v>361</v>
      </c>
      <c r="E50" s="90"/>
      <c r="F50" s="84" t="s">
        <v>3</v>
      </c>
      <c r="G50" s="85" t="s">
        <v>64</v>
      </c>
      <c r="H50" s="8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7"/>
      <c r="J50" s="87"/>
      <c r="K50" s="70"/>
    </row>
    <row r="51" spans="2:11" ht="43.2">
      <c r="B51" s="60" t="s">
        <v>91</v>
      </c>
      <c r="C51" s="64" t="s">
        <v>266</v>
      </c>
      <c r="D51" s="48" t="s">
        <v>362</v>
      </c>
      <c r="E51" s="90"/>
      <c r="F51" s="84" t="s">
        <v>3</v>
      </c>
      <c r="G51" s="85" t="s">
        <v>64</v>
      </c>
      <c r="H51" s="101" t="str">
        <f>HYPERLINK(CONCATENATE(
BASE_URL,
"0x04e-Testing-Authentication-and-Session-Management.md#testing-login-activity-and-device-blocking-mstg-auth-11"),
"Testing Login Activity and Device Blocking (MSTG-AUTH-11)")</f>
        <v>Testing Login Activity and Device Blocking (MSTG-AUTH-11)</v>
      </c>
      <c r="I51" s="87"/>
      <c r="J51" s="87"/>
      <c r="K51" s="70"/>
    </row>
    <row r="52" spans="2:11">
      <c r="B52" s="60" t="s">
        <v>350</v>
      </c>
      <c r="C52" s="64" t="s">
        <v>351</v>
      </c>
      <c r="D52" s="48" t="s">
        <v>363</v>
      </c>
      <c r="E52" s="83" t="s">
        <v>3</v>
      </c>
      <c r="F52" s="84" t="s">
        <v>3</v>
      </c>
      <c r="G52" s="85"/>
      <c r="H52" s="101"/>
      <c r="I52" s="87"/>
      <c r="J52" s="87"/>
      <c r="K52" s="70"/>
    </row>
    <row r="53" spans="2:11">
      <c r="B53" s="92" t="s">
        <v>28</v>
      </c>
      <c r="C53" s="93"/>
      <c r="D53" s="46" t="s">
        <v>191</v>
      </c>
      <c r="E53" s="94"/>
      <c r="F53" s="95"/>
      <c r="G53" s="94"/>
      <c r="H53" s="96"/>
      <c r="I53" s="96"/>
      <c r="J53" s="96"/>
      <c r="K53" s="47"/>
    </row>
    <row r="54" spans="2:11" ht="28.8">
      <c r="B54" s="60" t="s">
        <v>29</v>
      </c>
      <c r="C54" s="64" t="s">
        <v>267</v>
      </c>
      <c r="D54" s="48" t="s">
        <v>364</v>
      </c>
      <c r="E54" s="83" t="s">
        <v>3</v>
      </c>
      <c r="F54" s="84" t="s">
        <v>3</v>
      </c>
      <c r="G54" s="85"/>
      <c r="H54"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8"/>
      <c r="J54" s="88"/>
      <c r="K54" s="73"/>
    </row>
    <row r="55" spans="2:11" ht="43.2">
      <c r="B55" s="60" t="s">
        <v>48</v>
      </c>
      <c r="C55" s="64" t="s">
        <v>268</v>
      </c>
      <c r="D55" s="48" t="s">
        <v>365</v>
      </c>
      <c r="E55" s="83" t="s">
        <v>3</v>
      </c>
      <c r="F55" s="84" t="s">
        <v>3</v>
      </c>
      <c r="G55" s="85"/>
      <c r="H55" s="8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8" t="str">
        <f>HYPERLINK(CONCATENATE(BASE_URL,"0x06g-Testing-Network-Communication.md#app-transport-security-mstg-network-2"),"App Transport Security (MSTG-NETWORK-2)")</f>
        <v>App Transport Security (MSTG-NETWORK-2)</v>
      </c>
      <c r="J55" s="88"/>
      <c r="K55" s="73"/>
    </row>
    <row r="56" spans="2:11" ht="28.8">
      <c r="B56" s="60" t="s">
        <v>30</v>
      </c>
      <c r="C56" s="64" t="s">
        <v>269</v>
      </c>
      <c r="D56" s="48" t="s">
        <v>366</v>
      </c>
      <c r="E56" s="83" t="s">
        <v>3</v>
      </c>
      <c r="F56" s="84" t="s">
        <v>3</v>
      </c>
      <c r="G56" s="85"/>
      <c r="H56"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7"/>
      <c r="J56" s="87"/>
      <c r="K56" s="73"/>
    </row>
    <row r="57" spans="2:11" ht="28.8">
      <c r="B57" s="60" t="s">
        <v>49</v>
      </c>
      <c r="C57" s="64" t="s">
        <v>270</v>
      </c>
      <c r="D57" s="48" t="s">
        <v>367</v>
      </c>
      <c r="E57" s="90"/>
      <c r="F57" s="84" t="s">
        <v>3</v>
      </c>
      <c r="G57" s="85" t="s">
        <v>64</v>
      </c>
      <c r="H57" s="9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7"/>
      <c r="J57" s="87"/>
      <c r="K57" s="70"/>
    </row>
    <row r="58" spans="2:11" ht="28.8">
      <c r="B58" s="60" t="s">
        <v>31</v>
      </c>
      <c r="C58" s="64" t="s">
        <v>271</v>
      </c>
      <c r="D58" s="48" t="s">
        <v>368</v>
      </c>
      <c r="E58" s="90"/>
      <c r="F58" s="84" t="s">
        <v>3</v>
      </c>
      <c r="G58" s="85" t="s">
        <v>64</v>
      </c>
      <c r="H58" s="8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7"/>
      <c r="J58" s="87"/>
      <c r="K58" s="70"/>
    </row>
    <row r="59" spans="2:11">
      <c r="B59" s="60" t="s">
        <v>105</v>
      </c>
      <c r="C59" s="64" t="s">
        <v>272</v>
      </c>
      <c r="D59" s="48" t="s">
        <v>369</v>
      </c>
      <c r="E59" s="90"/>
      <c r="F59" s="84" t="s">
        <v>3</v>
      </c>
      <c r="G59" s="85" t="s">
        <v>64</v>
      </c>
      <c r="H59" s="98" t="str">
        <f>HYPERLINK(CONCATENATE(
BASE_URL,
"0x06i-Testing-Code-Quality-and-Build-Settings.md#checking-for-weaknesses-in-third-party-libraries-mstg-code-5"),
"Checking for Weaknesses in Third Party Libraries (MSTG-CODE-5)")</f>
        <v>Checking for Weaknesses in Third Party Libraries (MSTG-CODE-5)</v>
      </c>
      <c r="I59" s="87"/>
      <c r="J59" s="87"/>
      <c r="K59" s="70"/>
    </row>
    <row r="60" spans="2:11">
      <c r="B60" s="92" t="s">
        <v>32</v>
      </c>
      <c r="C60" s="93"/>
      <c r="D60" s="46" t="s">
        <v>192</v>
      </c>
      <c r="E60" s="94"/>
      <c r="F60" s="95"/>
      <c r="G60" s="94"/>
      <c r="H60" s="96"/>
      <c r="I60" s="96"/>
      <c r="J60" s="96"/>
      <c r="K60" s="47"/>
    </row>
    <row r="61" spans="2:11">
      <c r="B61" s="60" t="s">
        <v>50</v>
      </c>
      <c r="C61" s="64" t="s">
        <v>273</v>
      </c>
      <c r="D61" s="48" t="s">
        <v>376</v>
      </c>
      <c r="E61" s="83" t="s">
        <v>3</v>
      </c>
      <c r="F61" s="84" t="s">
        <v>3</v>
      </c>
      <c r="G61" s="85"/>
      <c r="H61" s="98" t="str">
        <f>HYPERLINK(CONCATENATE(BASE_URL,"0x06h-Testing-Platform-Interaction.md#testing-app-permissions-mstg-platform-1"),"Testing App Permissions (MSTG-PLATFORM-1)")</f>
        <v>Testing App Permissions (MSTG-PLATFORM-1)</v>
      </c>
      <c r="I61" s="87"/>
      <c r="J61" s="87"/>
      <c r="K61" s="70"/>
    </row>
    <row r="62" spans="2:11" ht="28.8">
      <c r="B62" s="60" t="s">
        <v>51</v>
      </c>
      <c r="C62" s="64" t="s">
        <v>274</v>
      </c>
      <c r="D62" s="48" t="s">
        <v>377</v>
      </c>
      <c r="E62" s="83" t="s">
        <v>3</v>
      </c>
      <c r="F62" s="84" t="s">
        <v>3</v>
      </c>
      <c r="G62" s="85"/>
      <c r="H62" s="98" t="str">
        <f>HYPERLINK(CONCATENATE(BASE_URL,"0x04h-Testing-Code-Quality.md#injection-flaws-mstg-arch-2-and-mstg-platform-2"),"Injection Flaws (MSTG-ARCH-2 and MSTG-PLATFORM-2)")</f>
        <v>Injection Flaws (MSTG-ARCH-2 and MSTG-PLATFORM-2)</v>
      </c>
      <c r="I62" s="87"/>
      <c r="J62" s="87"/>
      <c r="K62" s="70"/>
    </row>
    <row r="63" spans="2:11" ht="28.8">
      <c r="B63" s="60" t="s">
        <v>52</v>
      </c>
      <c r="C63" s="64" t="s">
        <v>275</v>
      </c>
      <c r="D63" s="48" t="s">
        <v>378</v>
      </c>
      <c r="E63" s="83" t="s">
        <v>3</v>
      </c>
      <c r="F63" s="84" t="s">
        <v>3</v>
      </c>
      <c r="G63" s="85"/>
      <c r="H63" s="98" t="str">
        <f>HYPERLINK(CONCATENATE(BASE_URL,"0x06h-Testing-Platform-Interaction.md#testing-custom-url-schemes-mstg-platform-3"),"Testing Custom URL Schemes (MSTG-PLATFORM-3)")</f>
        <v>Testing Custom URL Schemes (MSTG-PLATFORM-3)</v>
      </c>
      <c r="I63" s="87"/>
      <c r="J63" s="87"/>
      <c r="K63" s="70"/>
    </row>
    <row r="64" spans="2:11">
      <c r="B64" s="60" t="s">
        <v>53</v>
      </c>
      <c r="C64" s="64" t="s">
        <v>276</v>
      </c>
      <c r="D64" s="48" t="s">
        <v>379</v>
      </c>
      <c r="E64" s="83" t="s">
        <v>3</v>
      </c>
      <c r="F64" s="84" t="s">
        <v>3</v>
      </c>
      <c r="G64" s="85"/>
      <c r="H64" s="86"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7"/>
      <c r="J64" s="87"/>
      <c r="K64" s="70"/>
    </row>
    <row r="65" spans="2:11">
      <c r="B65" s="60" t="s">
        <v>54</v>
      </c>
      <c r="C65" s="64" t="s">
        <v>277</v>
      </c>
      <c r="D65" s="48" t="s">
        <v>380</v>
      </c>
      <c r="E65" s="83" t="s">
        <v>3</v>
      </c>
      <c r="F65" s="84" t="s">
        <v>3</v>
      </c>
      <c r="G65" s="85"/>
      <c r="H65" s="98" t="str">
        <f>HYPERLINK(CONCATENATE(BASE_URL,"0x06h-Testing-Platform-Interaction.md#testing-ios-webviews-mstg-platform-5"),"Testing iOS WebViews (MSTG-PLATFORM-5)")</f>
        <v>Testing iOS WebViews (MSTG-PLATFORM-5)</v>
      </c>
      <c r="I65" s="87"/>
      <c r="J65" s="87"/>
      <c r="K65" s="70"/>
    </row>
    <row r="66" spans="2:11" ht="28.8">
      <c r="B66" s="60" t="s">
        <v>55</v>
      </c>
      <c r="C66" s="64" t="s">
        <v>278</v>
      </c>
      <c r="D66" s="48" t="s">
        <v>381</v>
      </c>
      <c r="E66" s="83" t="s">
        <v>3</v>
      </c>
      <c r="F66" s="84" t="s">
        <v>3</v>
      </c>
      <c r="G66" s="85"/>
      <c r="H66" s="98" t="str">
        <f>HYPERLINK(CONCATENATE(BASE_URL,"0x06h-Testing-Platform-Interaction.md#testing-webview-protocol-handlers-mstg-platform-6"),"Testing WebView Protocol Handlers (MSTG-PLATFORM-6)")</f>
        <v>Testing WebView Protocol Handlers (MSTG-PLATFORM-6)</v>
      </c>
      <c r="I66" s="87"/>
      <c r="J66" s="87"/>
      <c r="K66" s="70"/>
    </row>
    <row r="67" spans="2:11" ht="28.8">
      <c r="B67" s="60" t="s">
        <v>104</v>
      </c>
      <c r="C67" s="64" t="s">
        <v>279</v>
      </c>
      <c r="D67" s="48" t="s">
        <v>382</v>
      </c>
      <c r="E67" s="83" t="s">
        <v>3</v>
      </c>
      <c r="F67" s="84" t="s">
        <v>3</v>
      </c>
      <c r="G67" s="85"/>
      <c r="H67" s="98"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7"/>
      <c r="J67" s="87"/>
      <c r="K67" s="70"/>
    </row>
    <row r="68" spans="2:11" ht="28.8">
      <c r="B68" s="60" t="s">
        <v>103</v>
      </c>
      <c r="C68" s="64" t="s">
        <v>280</v>
      </c>
      <c r="D68" s="48" t="s">
        <v>383</v>
      </c>
      <c r="E68" s="83" t="s">
        <v>3</v>
      </c>
      <c r="F68" s="84" t="s">
        <v>3</v>
      </c>
      <c r="G68" s="85"/>
      <c r="H68" s="98" t="str">
        <f>HYPERLINK(CONCATENATE(BASE_URL,"0x06h-Testing-Platform-Interaction.md#testing-object-persistence-mstg-platform-8"),"Testing Object Persistence (MSTG-PLATFORM-8)")</f>
        <v>Testing Object Persistence (MSTG-PLATFORM-8)</v>
      </c>
      <c r="I68" s="87"/>
      <c r="J68" s="87"/>
      <c r="K68" s="70"/>
    </row>
    <row r="69" spans="2:11">
      <c r="B69" s="60" t="s">
        <v>370</v>
      </c>
      <c r="C69" s="64" t="s">
        <v>373</v>
      </c>
      <c r="D69" s="48" t="s">
        <v>384</v>
      </c>
      <c r="E69" s="102"/>
      <c r="F69" s="84" t="s">
        <v>3</v>
      </c>
      <c r="G69" s="85" t="s">
        <v>64</v>
      </c>
      <c r="H69" s="98"/>
      <c r="I69" s="87"/>
      <c r="J69" s="87"/>
      <c r="K69" s="70"/>
    </row>
    <row r="70" spans="2:11" ht="28.8">
      <c r="B70" s="60" t="s">
        <v>371</v>
      </c>
      <c r="C70" s="64" t="s">
        <v>374</v>
      </c>
      <c r="D70" s="48" t="s">
        <v>385</v>
      </c>
      <c r="E70" s="102"/>
      <c r="F70" s="84" t="s">
        <v>3</v>
      </c>
      <c r="G70" s="85" t="s">
        <v>64</v>
      </c>
      <c r="H70" s="98"/>
      <c r="I70" s="87"/>
      <c r="J70" s="87"/>
      <c r="K70" s="70"/>
    </row>
    <row r="71" spans="2:11">
      <c r="B71" s="60" t="s">
        <v>372</v>
      </c>
      <c r="C71" s="64" t="s">
        <v>375</v>
      </c>
      <c r="D71" s="48" t="s">
        <v>386</v>
      </c>
      <c r="E71" s="102"/>
      <c r="F71" s="84" t="s">
        <v>3</v>
      </c>
      <c r="G71" s="85" t="s">
        <v>64</v>
      </c>
      <c r="H71" s="98"/>
      <c r="I71" s="87"/>
      <c r="J71" s="87"/>
      <c r="K71" s="70"/>
    </row>
    <row r="72" spans="2:11">
      <c r="B72" s="92" t="s">
        <v>33</v>
      </c>
      <c r="C72" s="93"/>
      <c r="D72" s="46" t="s">
        <v>193</v>
      </c>
      <c r="E72" s="94"/>
      <c r="F72" s="95"/>
      <c r="G72" s="94"/>
      <c r="H72" s="96"/>
      <c r="I72" s="96"/>
      <c r="J72" s="96"/>
      <c r="K72" s="47"/>
    </row>
    <row r="73" spans="2:11">
      <c r="B73" s="60" t="s">
        <v>56</v>
      </c>
      <c r="C73" s="64" t="s">
        <v>281</v>
      </c>
      <c r="D73" s="44" t="s">
        <v>387</v>
      </c>
      <c r="E73" s="83" t="s">
        <v>3</v>
      </c>
      <c r="F73" s="84" t="s">
        <v>3</v>
      </c>
      <c r="G73" s="85"/>
      <c r="H73" s="98" t="str">
        <f>HYPERLINK(CONCATENATE(BASE_URL,"0x06i-Testing-Code-Quality-and-Build-Settings.md#making-sure-that-the-app-is-properly-signed-mstg-code-1"),"Making Sure that the App Is Properly Signed (MSTG-CODE-1)")</f>
        <v>Making Sure that the App Is Properly Signed (MSTG-CODE-1)</v>
      </c>
      <c r="I73" s="87"/>
      <c r="J73" s="87"/>
      <c r="K73" s="70"/>
    </row>
    <row r="74" spans="2:11">
      <c r="B74" s="60" t="s">
        <v>34</v>
      </c>
      <c r="C74" s="64" t="s">
        <v>282</v>
      </c>
      <c r="D74" s="44" t="s">
        <v>388</v>
      </c>
      <c r="E74" s="83" t="s">
        <v>3</v>
      </c>
      <c r="F74" s="84" t="s">
        <v>3</v>
      </c>
      <c r="G74" s="85"/>
      <c r="H74" s="98" t="str">
        <f>HYPERLINK(CONCATENATE(BASE_URL,"0x06i-Testing-Code-Quality-and-Build-Settings.md#determining-whether-the-app-is-debuggable-mstg-code-2"),"Determining Whether the App is Debuggable (MSTG-CODE-2)")</f>
        <v>Determining Whether the App is Debuggable (MSTG-CODE-2)</v>
      </c>
      <c r="I74" s="87"/>
      <c r="J74" s="87"/>
      <c r="K74" s="70"/>
    </row>
    <row r="75" spans="2:11">
      <c r="B75" s="60" t="s">
        <v>57</v>
      </c>
      <c r="C75" s="64" t="s">
        <v>283</v>
      </c>
      <c r="D75" s="44" t="s">
        <v>389</v>
      </c>
      <c r="E75" s="83" t="s">
        <v>3</v>
      </c>
      <c r="F75" s="84" t="s">
        <v>3</v>
      </c>
      <c r="G75" s="85"/>
      <c r="H75" s="98" t="str">
        <f>HYPERLINK(CONCATENATE(BASE_URL,"0x06i-Testing-Code-Quality-and-Build-Settings.md#finding-debugging-symbols-mstg-code-3"),"Finding Debugging Symbols (MSTG-CODE-3)")</f>
        <v>Finding Debugging Symbols (MSTG-CODE-3)</v>
      </c>
      <c r="I75" s="87"/>
      <c r="J75" s="87"/>
      <c r="K75" s="70"/>
    </row>
    <row r="76" spans="2:11" ht="28.8">
      <c r="B76" s="60" t="s">
        <v>58</v>
      </c>
      <c r="C76" s="64" t="s">
        <v>284</v>
      </c>
      <c r="D76" s="44" t="s">
        <v>390</v>
      </c>
      <c r="E76" s="83" t="s">
        <v>3</v>
      </c>
      <c r="F76" s="84" t="s">
        <v>3</v>
      </c>
      <c r="G76" s="85"/>
      <c r="H76" s="98" t="str">
        <f>HYPERLINK(CONCATENATE(BASE_URL,"0x06i-Testing-Code-Quality-and-Build-Settings.md#finding-debugging-code-and-verbose-error-logging-mstg-code-4"),"Finding Debugging Code and Verbose Error Logging (MSTG-CODE-4)")</f>
        <v>Finding Debugging Code and Verbose Error Logging (MSTG-CODE-4)</v>
      </c>
      <c r="I76" s="87"/>
      <c r="J76" s="87"/>
      <c r="K76" s="70"/>
    </row>
    <row r="77" spans="2:11" ht="28.8">
      <c r="B77" s="60" t="s">
        <v>59</v>
      </c>
      <c r="C77" s="64" t="s">
        <v>285</v>
      </c>
      <c r="D77" s="44" t="s">
        <v>391</v>
      </c>
      <c r="E77" s="83" t="s">
        <v>3</v>
      </c>
      <c r="F77" s="84" t="s">
        <v>3</v>
      </c>
      <c r="G77" s="85"/>
      <c r="H77" s="101" t="str">
        <f>HYPERLINK(CONCATENATE(BASE_URL,"0x06i-Testing-Code-Quality-and-Build-Settings.md#checking-for-weaknesses-in-third-party-libraries-mstg-code-5"),"Checking for Weaknesses in Third Party Libraries (MSTG-CODE-5)")</f>
        <v>Checking for Weaknesses in Third Party Libraries (MSTG-CODE-5)</v>
      </c>
      <c r="I77" s="87"/>
      <c r="J77" s="87"/>
      <c r="K77" s="70"/>
    </row>
    <row r="78" spans="2:11">
      <c r="B78" s="60" t="s">
        <v>35</v>
      </c>
      <c r="C78" s="64" t="s">
        <v>286</v>
      </c>
      <c r="D78" s="44" t="s">
        <v>392</v>
      </c>
      <c r="E78" s="83" t="s">
        <v>3</v>
      </c>
      <c r="F78" s="84" t="s">
        <v>3</v>
      </c>
      <c r="G78" s="85"/>
      <c r="H78" s="98" t="str">
        <f>HYPERLINK(CONCATENATE(BASE_URL,"0x06i-Testing-Code-Quality-and-Build-Settings.md#testing-exception-handling-mstg-code-6"),"Testing Exception Handling (MSTG-CODE-6)")</f>
        <v>Testing Exception Handling (MSTG-CODE-6)</v>
      </c>
      <c r="I78" s="87"/>
      <c r="J78" s="87"/>
      <c r="K78" s="70"/>
    </row>
    <row r="79" spans="2:11">
      <c r="B79" s="60" t="s">
        <v>36</v>
      </c>
      <c r="C79" s="64" t="s">
        <v>287</v>
      </c>
      <c r="D79" s="44" t="s">
        <v>393</v>
      </c>
      <c r="E79" s="83" t="s">
        <v>3</v>
      </c>
      <c r="F79" s="84" t="s">
        <v>3</v>
      </c>
      <c r="G79" s="85"/>
      <c r="H79" s="98" t="str">
        <f>HYPERLINK(CONCATENATE(BASE_URL,"0x06i-Testing-Code-Quality-and-Build-Settings.md#testing-exception-handling-mstg-code-6"),"Testing Exception Handling (MSTG-CODE-6)")</f>
        <v>Testing Exception Handling (MSTG-CODE-6)</v>
      </c>
      <c r="I79" s="87"/>
      <c r="J79" s="87"/>
      <c r="K79" s="70"/>
    </row>
    <row r="80" spans="2:11">
      <c r="B80" s="60" t="s">
        <v>37</v>
      </c>
      <c r="C80" s="64" t="s">
        <v>288</v>
      </c>
      <c r="D80" s="44" t="s">
        <v>394</v>
      </c>
      <c r="E80" s="83" t="s">
        <v>3</v>
      </c>
      <c r="F80" s="84" t="s">
        <v>3</v>
      </c>
      <c r="G80" s="85"/>
      <c r="H80" s="98" t="str">
        <f>HYPERLINK(CONCATENATE(BASE_URL,"0x06i-Testing-Code-Quality-and-Build-Settings.md#memory-corruption-bugs-mstg-code-8"),"Memory Corruption Bugs (MSTG-CODE-8)")</f>
        <v>Memory Corruption Bugs (MSTG-CODE-8)</v>
      </c>
      <c r="I80" s="87"/>
      <c r="J80" s="87"/>
      <c r="K80" s="70"/>
    </row>
    <row r="81" spans="2:11" ht="28.8">
      <c r="B81" s="60" t="s">
        <v>93</v>
      </c>
      <c r="C81" s="64" t="s">
        <v>289</v>
      </c>
      <c r="D81" s="44" t="s">
        <v>395</v>
      </c>
      <c r="E81" s="83" t="s">
        <v>3</v>
      </c>
      <c r="F81" s="84" t="s">
        <v>3</v>
      </c>
      <c r="G81" s="85"/>
      <c r="H81" s="98" t="str">
        <f>HYPERLINK(CONCATENATE(BASE_URL,"0x06i-Testing-Code-Quality-and-Build-Settings.md#make-sure-that-free-security-features-are-activated-mstg-code-9"),"Make Sure That Free Security Features Are Activated (MSTG-CODE-9)")</f>
        <v>Make Sure That Free Security Features Are Activated (MSTG-CODE-9)</v>
      </c>
      <c r="I81" s="87"/>
      <c r="J81" s="87"/>
      <c r="K81" s="70"/>
    </row>
    <row r="82" spans="2:11">
      <c r="B82" s="104"/>
      <c r="C82" s="105"/>
      <c r="D82" s="49"/>
      <c r="E82" s="106"/>
      <c r="F82" s="106"/>
      <c r="G82" s="106"/>
      <c r="H82" s="107"/>
      <c r="I82" s="107"/>
      <c r="J82" s="107"/>
      <c r="K82" s="50"/>
    </row>
    <row r="83" spans="2:11">
      <c r="B83" s="123"/>
      <c r="C83" s="123"/>
      <c r="D83" s="55"/>
      <c r="E83" s="124"/>
      <c r="F83" s="124"/>
      <c r="G83" s="124"/>
      <c r="H83" s="110"/>
      <c r="I83" s="110"/>
      <c r="J83" s="110"/>
      <c r="K83" s="55"/>
    </row>
    <row r="84" spans="2:11">
      <c r="B84" s="123"/>
      <c r="C84" s="123"/>
      <c r="D84" s="55"/>
      <c r="E84" s="124"/>
      <c r="F84" s="124"/>
      <c r="G84" s="124"/>
      <c r="H84" s="110"/>
      <c r="I84" s="110"/>
      <c r="J84" s="110"/>
      <c r="K84" s="55"/>
    </row>
    <row r="85" spans="2:11">
      <c r="B85" s="123"/>
      <c r="C85" s="123"/>
      <c r="D85" s="55"/>
      <c r="E85" s="124"/>
      <c r="F85" s="124"/>
      <c r="G85" s="124"/>
      <c r="H85" s="110"/>
      <c r="I85" s="110"/>
      <c r="J85" s="110"/>
      <c r="K85" s="55"/>
    </row>
    <row r="86" spans="2:11">
      <c r="B86" s="125" t="s">
        <v>199</v>
      </c>
      <c r="C86" s="125"/>
      <c r="D86" s="55"/>
      <c r="E86" s="124"/>
      <c r="F86" s="124"/>
      <c r="G86" s="124"/>
      <c r="H86" s="110"/>
      <c r="I86" s="110"/>
      <c r="J86" s="110"/>
      <c r="K86" s="55"/>
    </row>
    <row r="87" spans="2:11" ht="28.8">
      <c r="B87" s="112" t="s">
        <v>200</v>
      </c>
      <c r="C87" s="112"/>
      <c r="D87" s="51" t="s">
        <v>201</v>
      </c>
      <c r="E87" s="124"/>
      <c r="F87" s="124"/>
      <c r="G87" s="124"/>
      <c r="H87" s="110"/>
      <c r="I87" s="110"/>
      <c r="J87" s="110"/>
      <c r="K87" s="55"/>
    </row>
    <row r="88" spans="2:11">
      <c r="B88" s="52" t="s">
        <v>68</v>
      </c>
      <c r="C88" s="52"/>
      <c r="D88" s="53" t="s">
        <v>202</v>
      </c>
      <c r="E88" s="124"/>
      <c r="F88" s="124"/>
      <c r="G88" s="124"/>
      <c r="H88" s="110"/>
      <c r="I88" s="110"/>
      <c r="J88" s="110"/>
      <c r="K88" s="55"/>
    </row>
    <row r="89" spans="2:11">
      <c r="B89" s="52" t="s">
        <v>69</v>
      </c>
      <c r="C89" s="52"/>
      <c r="D89" s="53" t="s">
        <v>203</v>
      </c>
      <c r="E89" s="124"/>
      <c r="F89" s="124"/>
      <c r="G89" s="124"/>
      <c r="H89" s="110"/>
      <c r="I89" s="110"/>
      <c r="J89" s="110"/>
      <c r="K89" s="55"/>
    </row>
    <row r="90" spans="2:11">
      <c r="B90" s="52" t="s">
        <v>64</v>
      </c>
      <c r="C90" s="52"/>
      <c r="D90" s="53" t="s">
        <v>204</v>
      </c>
      <c r="E90" s="124"/>
      <c r="F90" s="124"/>
      <c r="G90" s="124"/>
      <c r="H90" s="110"/>
      <c r="I90" s="110"/>
      <c r="J90" s="110"/>
      <c r="K90" s="55"/>
    </row>
    <row r="91" spans="2:11">
      <c r="B91" s="123"/>
      <c r="C91" s="123"/>
      <c r="D91" s="55"/>
      <c r="E91" s="124"/>
      <c r="F91" s="124"/>
      <c r="G91" s="124"/>
      <c r="H91" s="110"/>
      <c r="I91" s="113"/>
      <c r="J91" s="113"/>
      <c r="K91" s="55"/>
    </row>
    <row r="92" spans="2:11">
      <c r="B92" s="123"/>
      <c r="C92" s="123"/>
      <c r="D92" s="55"/>
      <c r="E92" s="124"/>
      <c r="F92" s="124"/>
      <c r="G92" s="124"/>
      <c r="H92" s="110"/>
      <c r="I92" s="113"/>
      <c r="J92" s="113"/>
      <c r="K92" s="55"/>
    </row>
    <row r="93" spans="2:11">
      <c r="B93" s="123"/>
      <c r="C93" s="123"/>
      <c r="D93" s="55"/>
      <c r="E93" s="124"/>
      <c r="F93" s="124"/>
      <c r="G93" s="124"/>
      <c r="H93" s="110"/>
      <c r="I93" s="113"/>
      <c r="J93" s="113"/>
      <c r="K93" s="55"/>
    </row>
    <row r="94" spans="2:11">
      <c r="B94" s="123"/>
      <c r="C94" s="123"/>
      <c r="D94" s="55"/>
      <c r="E94" s="124"/>
      <c r="F94" s="124"/>
      <c r="G94" s="124"/>
      <c r="H94" s="113"/>
      <c r="I94" s="113"/>
      <c r="J94" s="113"/>
      <c r="K94" s="55"/>
    </row>
  </sheetData>
  <mergeCells count="1">
    <mergeCell ref="H3:J3"/>
  </mergeCells>
  <phoneticPr fontId="11"/>
  <conditionalFormatting sqref="M1:M1048576">
    <cfRule type="containsText" dxfId="3" priority="2" operator="containsText" text="0x05">
      <formula>NOT(ISERROR(SEARCH("0x05",M1)))</formula>
    </cfRule>
  </conditionalFormatting>
  <conditionalFormatting sqref="H1:H28 H33:H1048576">
    <cfRule type="containsText" dxfId="2" priority="1" operator="containsText" text="0x05">
      <formula>NOT(ISERROR(SEARCH("0x05",H1)))</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34:G39 G41:G52 G54:G59 G73:G81 G5:G16 G61:G71 G18:G32"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5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4"/>
  <sheetViews>
    <sheetView zoomScaleNormal="100" zoomScalePageLayoutView="130" workbookViewId="0">
      <selection activeCell="G8" sqref="G8:G13"/>
    </sheetView>
  </sheetViews>
  <sheetFormatPr baseColWidth="10" defaultColWidth="10.796875" defaultRowHeight="15.6"/>
  <cols>
    <col min="1" max="1" width="1.5" style="120" customWidth="1"/>
    <col min="2" max="2" width="7.19921875" style="121" customWidth="1"/>
    <col min="3" max="3" width="20.69921875" style="121" customWidth="1"/>
    <col min="4" max="4" width="93.19921875" style="54" customWidth="1"/>
    <col min="5" max="5" width="2.796875" style="120" customWidth="1"/>
    <col min="6" max="6" width="5.69921875" style="120" customWidth="1"/>
    <col min="7" max="7" width="61.796875" style="114" customWidth="1"/>
    <col min="8" max="8" width="30.69921875" style="54" customWidth="1"/>
    <col min="9" max="16384" width="10.796875" style="120"/>
  </cols>
  <sheetData>
    <row r="1" spans="2:8" ht="18">
      <c r="B1" s="119" t="s">
        <v>206</v>
      </c>
      <c r="C1" s="119"/>
      <c r="G1" s="113"/>
      <c r="H1" s="55"/>
    </row>
    <row r="2" spans="2:8">
      <c r="G2" s="113"/>
      <c r="H2" s="55"/>
    </row>
    <row r="3" spans="2:8">
      <c r="B3" s="78" t="s">
        <v>0</v>
      </c>
      <c r="C3" s="79" t="s">
        <v>227</v>
      </c>
      <c r="D3" s="40" t="s">
        <v>195</v>
      </c>
      <c r="E3" s="69" t="s">
        <v>38</v>
      </c>
      <c r="F3" s="69" t="s">
        <v>183</v>
      </c>
      <c r="G3" s="69" t="s">
        <v>396</v>
      </c>
      <c r="H3" s="41" t="s">
        <v>207</v>
      </c>
    </row>
    <row r="4" spans="2:8">
      <c r="B4" s="92" t="s">
        <v>290</v>
      </c>
      <c r="C4" s="93"/>
      <c r="D4" s="46" t="s">
        <v>196</v>
      </c>
      <c r="E4" s="94"/>
      <c r="F4" s="94"/>
      <c r="G4" s="96"/>
      <c r="H4" s="47"/>
    </row>
    <row r="5" spans="2:8" ht="28.8">
      <c r="B5" s="60" t="s">
        <v>113</v>
      </c>
      <c r="C5" s="64" t="s">
        <v>291</v>
      </c>
      <c r="D5" s="48" t="s">
        <v>400</v>
      </c>
      <c r="E5" s="116" t="s">
        <v>3</v>
      </c>
      <c r="F5" s="85" t="s">
        <v>64</v>
      </c>
      <c r="G5" s="98" t="str">
        <f>HYPERLINK(CONCATENATE(BASE_URL,"0x06j-Testing-Resiliency-Against-Reverse-Engineering.md#jailbreak-detection-mstg-resilience-1"),"Jailbreak Detection (MSTG-RESILIENCE-1)")</f>
        <v>Jailbreak Detection (MSTG-RESILIENCE-1)</v>
      </c>
      <c r="H5" s="70"/>
    </row>
    <row r="6" spans="2:8" ht="28.8">
      <c r="B6" s="60" t="s">
        <v>114</v>
      </c>
      <c r="C6" s="64" t="s">
        <v>292</v>
      </c>
      <c r="D6" s="48" t="s">
        <v>401</v>
      </c>
      <c r="E6" s="116" t="s">
        <v>3</v>
      </c>
      <c r="F6" s="85" t="s">
        <v>64</v>
      </c>
      <c r="G6" s="98" t="str">
        <f>HYPERLINK(CONCATENATE(BASE_URL,"0x06j-Testing-Resiliency-Against-Reverse-Engineering.md#anti-debugging-checks-mstg-resilience-2"),"Anti-Debugging Checks (MSTG-RESILIENCE-2)")</f>
        <v>Anti-Debugging Checks (MSTG-RESILIENCE-2)</v>
      </c>
      <c r="H6" s="70"/>
    </row>
    <row r="7" spans="2:8">
      <c r="B7" s="60" t="s">
        <v>115</v>
      </c>
      <c r="C7" s="64" t="s">
        <v>293</v>
      </c>
      <c r="D7" s="48" t="s">
        <v>402</v>
      </c>
      <c r="E7" s="116" t="s">
        <v>3</v>
      </c>
      <c r="F7" s="85" t="s">
        <v>64</v>
      </c>
      <c r="G7" s="98" t="str">
        <f>HYPERLINK(CONCATENATE(BASE_URL,"0x06j-Testing-Resiliency-Against-Reverse-Engineering.md#file-integrity-checks-mstg-resilience-3-and-mstg-resilience-11"),"File Integrity Checks (MSTG-RESILIENCE-3 and MSTG-RESILIENCE-11)")</f>
        <v>File Integrity Checks (MSTG-RESILIENCE-3 and MSTG-RESILIENCE-11)</v>
      </c>
      <c r="H7" s="70"/>
    </row>
    <row r="8" spans="2:8" ht="28.8">
      <c r="B8" s="60" t="s">
        <v>116</v>
      </c>
      <c r="C8" s="64" t="s">
        <v>294</v>
      </c>
      <c r="D8" s="48" t="s">
        <v>403</v>
      </c>
      <c r="E8" s="116" t="s">
        <v>3</v>
      </c>
      <c r="F8" s="85" t="s">
        <v>64</v>
      </c>
      <c r="G8" s="134" t="s">
        <v>420</v>
      </c>
      <c r="H8" s="70"/>
    </row>
    <row r="9" spans="2:8">
      <c r="B9" s="60" t="s">
        <v>117</v>
      </c>
      <c r="C9" s="64" t="s">
        <v>295</v>
      </c>
      <c r="D9" s="48" t="s">
        <v>404</v>
      </c>
      <c r="E9" s="116" t="s">
        <v>3</v>
      </c>
      <c r="F9" s="85" t="s">
        <v>64</v>
      </c>
      <c r="G9" s="134" t="s">
        <v>421</v>
      </c>
      <c r="H9" s="70"/>
    </row>
    <row r="10" spans="2:8">
      <c r="B10" s="60" t="s">
        <v>118</v>
      </c>
      <c r="C10" s="64" t="s">
        <v>296</v>
      </c>
      <c r="D10" s="48" t="s">
        <v>405</v>
      </c>
      <c r="E10" s="116" t="s">
        <v>3</v>
      </c>
      <c r="F10" s="85" t="s">
        <v>64</v>
      </c>
      <c r="G10" s="133"/>
      <c r="H10" s="70"/>
    </row>
    <row r="11" spans="2:8" ht="28.8">
      <c r="B11" s="60" t="s">
        <v>119</v>
      </c>
      <c r="C11" s="64" t="s">
        <v>297</v>
      </c>
      <c r="D11" s="48" t="s">
        <v>406</v>
      </c>
      <c r="E11" s="116" t="s">
        <v>3</v>
      </c>
      <c r="F11" s="85" t="s">
        <v>64</v>
      </c>
      <c r="G11" s="135" t="s">
        <v>79</v>
      </c>
      <c r="H11" s="70"/>
    </row>
    <row r="12" spans="2:8">
      <c r="B12" s="60" t="s">
        <v>120</v>
      </c>
      <c r="C12" s="64" t="s">
        <v>298</v>
      </c>
      <c r="D12" s="48" t="s">
        <v>407</v>
      </c>
      <c r="E12" s="116" t="s">
        <v>3</v>
      </c>
      <c r="F12" s="85" t="s">
        <v>64</v>
      </c>
      <c r="G12" s="135" t="s">
        <v>79</v>
      </c>
      <c r="H12" s="70"/>
    </row>
    <row r="13" spans="2:8">
      <c r="B13" s="60" t="s">
        <v>95</v>
      </c>
      <c r="C13" s="64" t="s">
        <v>299</v>
      </c>
      <c r="D13" s="48" t="s">
        <v>408</v>
      </c>
      <c r="E13" s="116" t="s">
        <v>3</v>
      </c>
      <c r="F13" s="85" t="s">
        <v>64</v>
      </c>
      <c r="G13" s="134" t="s">
        <v>422</v>
      </c>
      <c r="H13" s="70"/>
    </row>
    <row r="14" spans="2:8">
      <c r="B14" s="92"/>
      <c r="C14" s="93"/>
      <c r="D14" s="46" t="s">
        <v>197</v>
      </c>
      <c r="E14" s="94"/>
      <c r="F14" s="94"/>
      <c r="G14" s="96"/>
      <c r="H14" s="47"/>
    </row>
    <row r="15" spans="2:8" ht="28.8">
      <c r="B15" s="61" t="s">
        <v>60</v>
      </c>
      <c r="C15" s="65" t="s">
        <v>300</v>
      </c>
      <c r="D15" s="48" t="s">
        <v>409</v>
      </c>
      <c r="E15" s="116" t="s">
        <v>3</v>
      </c>
      <c r="F15" s="85" t="s">
        <v>64</v>
      </c>
      <c r="G15" s="98" t="str">
        <f>HYPERLINK(CONCATENATE(BASE_URL,"0x06j-Testing-Resiliency-Against-Reverse-Engineering.md#device-binding-mstg-resilience-10"),"Device Binding (MSTG-RESILIENCE-10)")</f>
        <v>Device Binding (MSTG-RESILIENCE-10)</v>
      </c>
      <c r="H15" s="70"/>
    </row>
    <row r="16" spans="2:8">
      <c r="B16" s="92"/>
      <c r="C16" s="93"/>
      <c r="D16" s="46" t="s">
        <v>198</v>
      </c>
      <c r="E16" s="94"/>
      <c r="F16" s="94"/>
      <c r="G16" s="96"/>
      <c r="H16" s="47"/>
    </row>
    <row r="17" spans="2:8" ht="43.2">
      <c r="B17" s="60" t="s">
        <v>121</v>
      </c>
      <c r="C17" s="64" t="s">
        <v>301</v>
      </c>
      <c r="D17" s="48" t="s">
        <v>410</v>
      </c>
      <c r="E17" s="116" t="s">
        <v>3</v>
      </c>
      <c r="F17" s="85" t="s">
        <v>64</v>
      </c>
      <c r="G17" s="101" t="str">
        <f>HYPERLINK(CONCATENATE(BASE_URL,"0x06j-Testing-Resiliency-Against-Reverse-Engineering.md#file-integrity-checks-mstg-resilience-3-and-mstg-resilience-11"),"File Integrity Checks (MSTG-RESILIENCE-3 and MSTG-RESILIENCE-11)")</f>
        <v>File Integrity Checks (MSTG-RESILIENCE-3 and MSTG-RESILIENCE-11)</v>
      </c>
      <c r="H17" s="70"/>
    </row>
    <row r="18" spans="2:8" ht="57.6">
      <c r="B18" s="60" t="s">
        <v>122</v>
      </c>
      <c r="C18" s="64" t="s">
        <v>302</v>
      </c>
      <c r="D18" s="48" t="s">
        <v>411</v>
      </c>
      <c r="E18" s="116" t="s">
        <v>3</v>
      </c>
      <c r="F18" s="85" t="s">
        <v>64</v>
      </c>
      <c r="G18" s="118" t="s">
        <v>79</v>
      </c>
      <c r="H18" s="70"/>
    </row>
    <row r="19" spans="2:8">
      <c r="B19" s="92"/>
      <c r="C19" s="93"/>
      <c r="D19" s="46" t="s">
        <v>399</v>
      </c>
      <c r="E19" s="94"/>
      <c r="F19" s="94"/>
      <c r="G19" s="96"/>
      <c r="H19" s="47"/>
    </row>
    <row r="20" spans="2:8" ht="28.8">
      <c r="B20" s="60" t="s">
        <v>397</v>
      </c>
      <c r="C20" s="64" t="s">
        <v>398</v>
      </c>
      <c r="D20" s="48" t="s">
        <v>412</v>
      </c>
      <c r="E20" s="116" t="s">
        <v>3</v>
      </c>
      <c r="F20" s="85" t="s">
        <v>64</v>
      </c>
      <c r="G20" s="118" t="s">
        <v>79</v>
      </c>
      <c r="H20" s="70"/>
    </row>
    <row r="21" spans="2:8">
      <c r="B21" s="104"/>
      <c r="C21" s="105"/>
      <c r="D21" s="49"/>
      <c r="E21" s="106"/>
      <c r="F21" s="106"/>
      <c r="G21" s="107"/>
      <c r="H21" s="50"/>
    </row>
    <row r="22" spans="2:8">
      <c r="B22" s="123"/>
      <c r="C22" s="123"/>
      <c r="D22" s="55"/>
      <c r="E22" s="124"/>
      <c r="F22" s="124"/>
      <c r="G22" s="110"/>
      <c r="H22" s="55"/>
    </row>
    <row r="23" spans="2:8">
      <c r="B23" s="123"/>
      <c r="C23" s="123"/>
      <c r="D23" s="55"/>
      <c r="E23" s="124"/>
      <c r="F23" s="124"/>
      <c r="G23" s="110"/>
      <c r="H23" s="55"/>
    </row>
    <row r="24" spans="2:8">
      <c r="B24" s="125" t="s">
        <v>199</v>
      </c>
      <c r="C24" s="125"/>
      <c r="D24" s="55"/>
      <c r="E24" s="124"/>
      <c r="F24" s="124"/>
      <c r="G24" s="110"/>
      <c r="H24" s="55"/>
    </row>
    <row r="25" spans="2:8" ht="28.8">
      <c r="B25" s="112" t="s">
        <v>200</v>
      </c>
      <c r="C25" s="112"/>
      <c r="D25" s="51" t="s">
        <v>201</v>
      </c>
      <c r="E25" s="124"/>
      <c r="F25" s="124"/>
      <c r="G25" s="110"/>
      <c r="H25" s="55"/>
    </row>
    <row r="26" spans="2:8">
      <c r="B26" s="52" t="s">
        <v>68</v>
      </c>
      <c r="C26" s="52"/>
      <c r="D26" s="53" t="s">
        <v>202</v>
      </c>
      <c r="E26" s="124"/>
      <c r="F26" s="124"/>
      <c r="G26" s="110"/>
      <c r="H26" s="55"/>
    </row>
    <row r="27" spans="2:8">
      <c r="B27" s="52" t="s">
        <v>69</v>
      </c>
      <c r="C27" s="52"/>
      <c r="D27" s="53" t="s">
        <v>203</v>
      </c>
      <c r="E27" s="124"/>
      <c r="F27" s="124"/>
      <c r="G27" s="110"/>
      <c r="H27" s="55"/>
    </row>
    <row r="28" spans="2:8">
      <c r="B28" s="52" t="s">
        <v>64</v>
      </c>
      <c r="C28" s="52"/>
      <c r="D28" s="53" t="s">
        <v>204</v>
      </c>
      <c r="E28" s="124"/>
      <c r="F28" s="124"/>
      <c r="G28" s="110"/>
      <c r="H28" s="55"/>
    </row>
    <row r="29" spans="2:8">
      <c r="B29" s="123"/>
      <c r="C29" s="123"/>
      <c r="D29" s="55"/>
      <c r="E29" s="124"/>
      <c r="F29" s="124"/>
      <c r="G29" s="113"/>
      <c r="H29" s="55"/>
    </row>
    <row r="30" spans="2:8">
      <c r="B30" s="123"/>
      <c r="C30" s="123"/>
      <c r="D30" s="55"/>
      <c r="E30" s="124"/>
      <c r="F30" s="124"/>
      <c r="G30" s="113"/>
      <c r="H30" s="55"/>
    </row>
    <row r="31" spans="2:8">
      <c r="B31" s="123"/>
      <c r="C31" s="123"/>
      <c r="D31" s="55"/>
      <c r="E31" s="124"/>
      <c r="F31" s="124"/>
      <c r="G31" s="113"/>
      <c r="H31" s="55"/>
    </row>
    <row r="32" spans="2:8">
      <c r="B32" s="123"/>
      <c r="C32" s="123"/>
      <c r="D32" s="55"/>
      <c r="E32" s="124"/>
      <c r="F32" s="124"/>
    </row>
    <row r="33" spans="2:6">
      <c r="B33" s="123"/>
      <c r="C33" s="123"/>
      <c r="D33" s="55"/>
      <c r="E33" s="124"/>
      <c r="F33" s="124"/>
    </row>
    <row r="34" spans="2:6">
      <c r="B34" s="123"/>
      <c r="C34" s="123"/>
      <c r="D34" s="55"/>
      <c r="E34" s="124"/>
      <c r="F34" s="124"/>
    </row>
  </sheetData>
  <phoneticPr fontId="11"/>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CFE63F9F-CCF6-BC47-857B-F2729ACD9F56}"/>
    <hyperlink ref="G9" r:id="rId2" location="testing-emulator-detection-mstg-resilience-5" display="https://github.com/OWASP/owasp-mstg/blob/1.2/Document/0x06j-Testing-Resiliency-Against-Reverse-Engineering.md - testing-emulator-detection-mstg-resilience-5" xr:uid="{7461EABE-C74F-E644-8B22-2CFA0269B677}"/>
    <hyperlink ref="G13" r:id="rId3" location="testing-obfuscation-mstg-resilience-9" display="https://github.com/OWASP/owasp-mstg/blob/1.2/Document/0x06j-Testing-Resiliency-Against-Reverse-Engineering.md - testing-obfuscation-mstg-resilience-9" xr:uid="{0FD683EA-61EB-0D4D-B379-77B940D394F3}"/>
  </hyperlinks>
  <pageMargins left="0.74803149606299213" right="0.74803149606299213" top="0.98425196850393704" bottom="0.98425196850393704" header="0.51181102362204722" footer="0.51181102362204722"/>
  <pageSetup paperSize="9" scale="53" fitToHeight="0" orientation="landscape" horizontalDpi="4294967292" verticalDpi="4294967292"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6"/>
  <sheetViews>
    <sheetView showGridLines="0" zoomScaleNormal="100" workbookViewId="0">
      <selection sqref="A1:B1"/>
    </sheetView>
  </sheetViews>
  <sheetFormatPr baseColWidth="10" defaultColWidth="10.796875" defaultRowHeight="15.6"/>
  <cols>
    <col min="1" max="1" width="33.19921875" customWidth="1"/>
    <col min="3" max="3" width="13.69921875" customWidth="1"/>
    <col min="5" max="5" width="119.69921875" customWidth="1"/>
  </cols>
  <sheetData>
    <row r="1" spans="1:5">
      <c r="A1" s="179" t="s">
        <v>61</v>
      </c>
      <c r="B1" s="179"/>
      <c r="C1" s="8"/>
      <c r="D1" s="1"/>
      <c r="E1" s="1"/>
    </row>
    <row r="2" spans="1:5">
      <c r="A2" s="5" t="s">
        <v>81</v>
      </c>
      <c r="B2" s="5" t="s">
        <v>65</v>
      </c>
      <c r="C2" s="5" t="s">
        <v>101</v>
      </c>
      <c r="D2" s="5" t="s">
        <v>82</v>
      </c>
      <c r="E2" s="5" t="s">
        <v>67</v>
      </c>
    </row>
    <row r="3" spans="1:5">
      <c r="A3" s="3" t="s">
        <v>62</v>
      </c>
      <c r="B3" s="6">
        <v>0.1</v>
      </c>
      <c r="C3" s="6"/>
      <c r="D3" s="4">
        <v>42765</v>
      </c>
      <c r="E3" s="2" t="s">
        <v>83</v>
      </c>
    </row>
    <row r="4" spans="1:5">
      <c r="A4" s="2" t="s">
        <v>63</v>
      </c>
      <c r="B4" s="6">
        <v>0.2</v>
      </c>
      <c r="C4" s="6"/>
      <c r="D4" s="4">
        <v>42766</v>
      </c>
      <c r="E4" s="2" t="s">
        <v>84</v>
      </c>
    </row>
    <row r="5" spans="1:5">
      <c r="A5" s="2" t="s">
        <v>77</v>
      </c>
      <c r="B5" s="6">
        <v>0.3</v>
      </c>
      <c r="C5" s="6"/>
      <c r="D5" s="4">
        <v>42778</v>
      </c>
      <c r="E5" s="2" t="s">
        <v>85</v>
      </c>
    </row>
    <row r="6" spans="1:5">
      <c r="A6" s="2" t="s">
        <v>78</v>
      </c>
      <c r="B6" s="6" t="s">
        <v>80</v>
      </c>
      <c r="C6" s="6"/>
      <c r="D6" s="4">
        <v>42780</v>
      </c>
      <c r="E6" s="2" t="s">
        <v>86</v>
      </c>
    </row>
    <row r="7" spans="1:5">
      <c r="A7" s="2" t="s">
        <v>63</v>
      </c>
      <c r="B7" s="6" t="s">
        <v>87</v>
      </c>
      <c r="C7" s="6"/>
      <c r="D7" s="4">
        <v>42781</v>
      </c>
      <c r="E7" s="2" t="s">
        <v>88</v>
      </c>
    </row>
    <row r="8" spans="1:5">
      <c r="A8" s="2" t="s">
        <v>78</v>
      </c>
      <c r="B8" s="6" t="s">
        <v>89</v>
      </c>
      <c r="C8" s="6"/>
      <c r="D8" s="4">
        <v>42829</v>
      </c>
      <c r="E8" s="2" t="s">
        <v>90</v>
      </c>
    </row>
    <row r="9" spans="1:5">
      <c r="A9" s="2" t="s">
        <v>63</v>
      </c>
      <c r="B9" s="6" t="s">
        <v>89</v>
      </c>
      <c r="C9" s="6"/>
      <c r="D9" s="4">
        <v>42919</v>
      </c>
      <c r="E9" s="2" t="s">
        <v>92</v>
      </c>
    </row>
    <row r="10" spans="1:5">
      <c r="A10" s="2" t="s">
        <v>63</v>
      </c>
      <c r="B10" s="6" t="s">
        <v>96</v>
      </c>
      <c r="C10" s="6"/>
      <c r="D10" s="4">
        <v>42963</v>
      </c>
      <c r="E10" s="2" t="s">
        <v>94</v>
      </c>
    </row>
    <row r="11" spans="1:5">
      <c r="A11" s="2" t="s">
        <v>63</v>
      </c>
      <c r="B11" s="7" t="s">
        <v>97</v>
      </c>
      <c r="C11" s="7"/>
      <c r="D11" s="4">
        <v>43113</v>
      </c>
      <c r="E11" s="2" t="s">
        <v>98</v>
      </c>
    </row>
    <row r="12" spans="1:5">
      <c r="A12" s="2" t="s">
        <v>63</v>
      </c>
      <c r="B12" s="7">
        <v>1.1000000000000001</v>
      </c>
      <c r="C12" s="7"/>
      <c r="D12" s="4">
        <v>43289</v>
      </c>
      <c r="E12" s="2" t="s">
        <v>99</v>
      </c>
    </row>
    <row r="13" spans="1:5">
      <c r="A13" s="2" t="s">
        <v>124</v>
      </c>
      <c r="B13" s="9" t="s">
        <v>127</v>
      </c>
      <c r="C13" s="2"/>
      <c r="D13" s="4">
        <v>43464</v>
      </c>
      <c r="E13" s="10" t="s">
        <v>125</v>
      </c>
    </row>
    <row r="14" spans="1:5">
      <c r="A14" s="2" t="s">
        <v>126</v>
      </c>
      <c r="B14" s="9" t="s">
        <v>128</v>
      </c>
      <c r="C14" s="2"/>
      <c r="D14" s="4">
        <v>43469</v>
      </c>
      <c r="E14" s="10" t="s">
        <v>125</v>
      </c>
    </row>
    <row r="15" spans="1:5" ht="409.05" customHeight="1">
      <c r="A15" s="127" t="s">
        <v>102</v>
      </c>
      <c r="B15" s="7" t="s">
        <v>130</v>
      </c>
      <c r="C15" s="7" t="s">
        <v>100</v>
      </c>
      <c r="D15" s="4">
        <v>43471</v>
      </c>
      <c r="E15" s="127" t="s">
        <v>123</v>
      </c>
    </row>
    <row r="16" spans="1:5">
      <c r="A16" s="2" t="s">
        <v>124</v>
      </c>
      <c r="B16" s="9" t="s">
        <v>131</v>
      </c>
      <c r="C16" s="7" t="s">
        <v>100</v>
      </c>
      <c r="D16" s="11">
        <v>43475</v>
      </c>
      <c r="E16" s="10" t="s">
        <v>129</v>
      </c>
    </row>
    <row r="17" spans="1:5" ht="78">
      <c r="A17" s="127" t="s">
        <v>102</v>
      </c>
      <c r="B17" s="9" t="s">
        <v>132</v>
      </c>
      <c r="C17" s="7" t="s">
        <v>100</v>
      </c>
      <c r="D17" s="4">
        <v>43476</v>
      </c>
      <c r="E17" s="127" t="s">
        <v>134</v>
      </c>
    </row>
    <row r="18" spans="1:5" ht="46.8">
      <c r="A18" s="127" t="s">
        <v>102</v>
      </c>
      <c r="B18" s="9" t="s">
        <v>133</v>
      </c>
      <c r="C18" s="7" t="s">
        <v>100</v>
      </c>
      <c r="D18" s="4">
        <v>43478</v>
      </c>
      <c r="E18" s="127" t="s">
        <v>135</v>
      </c>
    </row>
    <row r="19" spans="1:5" ht="46.8">
      <c r="A19" s="127" t="s">
        <v>102</v>
      </c>
      <c r="B19" s="9" t="s">
        <v>136</v>
      </c>
      <c r="C19" s="7" t="s">
        <v>100</v>
      </c>
      <c r="D19" s="4">
        <v>43478</v>
      </c>
      <c r="E19" s="127" t="s">
        <v>137</v>
      </c>
    </row>
    <row r="20" spans="1:5" ht="109.2">
      <c r="A20" s="127" t="s">
        <v>124</v>
      </c>
      <c r="B20" s="9" t="s">
        <v>211</v>
      </c>
      <c r="C20" s="7" t="s">
        <v>212</v>
      </c>
      <c r="D20" s="4">
        <v>43641</v>
      </c>
      <c r="E20" s="127" t="s">
        <v>415</v>
      </c>
    </row>
    <row r="21" spans="1:5">
      <c r="A21" s="127" t="s">
        <v>124</v>
      </c>
      <c r="B21" s="9" t="s">
        <v>213</v>
      </c>
      <c r="C21" s="7" t="s">
        <v>212</v>
      </c>
      <c r="D21" s="4">
        <v>43642</v>
      </c>
      <c r="E21" s="127" t="s">
        <v>214</v>
      </c>
    </row>
    <row r="22" spans="1:5" ht="46.8">
      <c r="A22" s="127" t="s">
        <v>124</v>
      </c>
      <c r="B22" s="9" t="s">
        <v>220</v>
      </c>
      <c r="C22" s="7" t="s">
        <v>212</v>
      </c>
      <c r="D22" s="4">
        <v>43649</v>
      </c>
      <c r="E22" s="127" t="s">
        <v>221</v>
      </c>
    </row>
    <row r="23" spans="1:5">
      <c r="A23" s="127" t="s">
        <v>124</v>
      </c>
      <c r="B23" s="9" t="s">
        <v>220</v>
      </c>
      <c r="C23" s="7" t="s">
        <v>212</v>
      </c>
      <c r="D23" s="4">
        <v>43672</v>
      </c>
      <c r="E23" s="127" t="s">
        <v>222</v>
      </c>
    </row>
    <row r="24" spans="1:5">
      <c r="A24" s="127" t="s">
        <v>124</v>
      </c>
      <c r="B24" s="9" t="s">
        <v>220</v>
      </c>
      <c r="C24" s="7" t="s">
        <v>212</v>
      </c>
      <c r="D24" s="4">
        <v>43674</v>
      </c>
      <c r="E24" s="127" t="s">
        <v>225</v>
      </c>
    </row>
    <row r="25" spans="1:5" ht="46.8">
      <c r="A25" s="127" t="s">
        <v>124</v>
      </c>
      <c r="B25" s="128" t="s">
        <v>304</v>
      </c>
      <c r="C25" s="7" t="s">
        <v>212</v>
      </c>
      <c r="D25" s="129">
        <v>43685</v>
      </c>
      <c r="E25" s="130" t="s">
        <v>305</v>
      </c>
    </row>
    <row r="26" spans="1:5" ht="234">
      <c r="A26" s="130" t="s">
        <v>413</v>
      </c>
      <c r="B26" s="131" t="s">
        <v>414</v>
      </c>
      <c r="C26" s="128">
        <v>1.2</v>
      </c>
      <c r="D26" s="129">
        <v>43950</v>
      </c>
      <c r="E26" s="130" t="s">
        <v>419</v>
      </c>
    </row>
  </sheetData>
  <mergeCells count="1">
    <mergeCell ref="A1:B1"/>
  </mergeCells>
  <phoneticPr fontId="11"/>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9"/>
  <sheetViews>
    <sheetView showGridLines="0" workbookViewId="0">
      <selection sqref="A1:B1"/>
    </sheetView>
  </sheetViews>
  <sheetFormatPr baseColWidth="10" defaultColWidth="11" defaultRowHeight="15.6"/>
  <cols>
    <col min="1" max="1" width="30.5" style="12" customWidth="1"/>
    <col min="2" max="4" width="11" style="12"/>
    <col min="5" max="5" width="70.69921875" style="12" customWidth="1"/>
    <col min="6" max="16384" width="11" style="12"/>
  </cols>
  <sheetData>
    <row r="1" spans="1:5">
      <c r="A1" s="180" t="s">
        <v>208</v>
      </c>
      <c r="B1" s="180"/>
      <c r="C1" s="62"/>
    </row>
    <row r="2" spans="1:5">
      <c r="A2" s="56" t="s">
        <v>81</v>
      </c>
      <c r="B2" s="56" t="s">
        <v>65</v>
      </c>
      <c r="C2" s="56" t="s">
        <v>101</v>
      </c>
      <c r="D2" s="56" t="s">
        <v>82</v>
      </c>
      <c r="E2" s="56" t="s">
        <v>67</v>
      </c>
    </row>
    <row r="3" spans="1:5">
      <c r="A3" s="58" t="s">
        <v>176</v>
      </c>
      <c r="B3" s="59" t="s">
        <v>178</v>
      </c>
      <c r="C3" s="59" t="s">
        <v>188</v>
      </c>
      <c r="D3" s="57">
        <v>43402</v>
      </c>
      <c r="E3" s="58" t="s">
        <v>209</v>
      </c>
    </row>
    <row r="4" spans="1:5">
      <c r="A4" s="58" t="s">
        <v>176</v>
      </c>
      <c r="B4" s="59" t="s">
        <v>177</v>
      </c>
      <c r="C4" s="59" t="s">
        <v>188</v>
      </c>
      <c r="D4" s="57">
        <v>43590</v>
      </c>
      <c r="E4" s="58" t="s">
        <v>210</v>
      </c>
    </row>
    <row r="5" spans="1:5">
      <c r="A5" s="58" t="s">
        <v>176</v>
      </c>
      <c r="B5" s="59" t="s">
        <v>177</v>
      </c>
      <c r="C5" s="59" t="s">
        <v>218</v>
      </c>
      <c r="D5" s="57">
        <v>43643</v>
      </c>
      <c r="E5" s="58" t="s">
        <v>219</v>
      </c>
    </row>
    <row r="6" spans="1:5">
      <c r="A6" s="58" t="s">
        <v>176</v>
      </c>
      <c r="B6" s="59" t="s">
        <v>177</v>
      </c>
      <c r="C6" s="59" t="s">
        <v>217</v>
      </c>
      <c r="D6" s="57">
        <v>43673</v>
      </c>
      <c r="E6" s="58" t="s">
        <v>223</v>
      </c>
    </row>
    <row r="7" spans="1:5">
      <c r="A7" s="58" t="s">
        <v>176</v>
      </c>
      <c r="B7" s="59" t="s">
        <v>177</v>
      </c>
      <c r="C7" s="59" t="s">
        <v>217</v>
      </c>
      <c r="D7" s="57">
        <v>43679</v>
      </c>
      <c r="E7" s="58" t="s">
        <v>226</v>
      </c>
    </row>
    <row r="8" spans="1:5" ht="31.2">
      <c r="A8" s="132" t="s">
        <v>124</v>
      </c>
      <c r="B8" s="66" t="s">
        <v>304</v>
      </c>
      <c r="C8" s="59" t="s">
        <v>212</v>
      </c>
      <c r="D8" s="67">
        <v>43685</v>
      </c>
      <c r="E8" s="132" t="s">
        <v>418</v>
      </c>
    </row>
    <row r="9" spans="1:5">
      <c r="A9" s="58" t="s">
        <v>176</v>
      </c>
      <c r="B9" s="59" t="s">
        <v>416</v>
      </c>
      <c r="C9" s="59">
        <v>1.2</v>
      </c>
      <c r="D9" s="57">
        <v>43950</v>
      </c>
      <c r="E9" s="58" t="s">
        <v>417</v>
      </c>
    </row>
  </sheetData>
  <mergeCells count="1">
    <mergeCell ref="A1:B1"/>
  </mergeCells>
  <phoneticPr fontId="11"/>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'Security Requirements - Android'!Drucktitel</vt:lpstr>
      <vt:lpstr>'Security Requirements - iOS'!Drucktitel</vt:lpstr>
      <vt:lpstr>'Version history'!Drucktitel</vt:lpstr>
      <vt:lpstr>'Version history (Japanese)'!Drucktitel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Mathis Hesse</cp:lastModifiedBy>
  <cp:lastPrinted>2019-05-05T13:55:32Z</cp:lastPrinted>
  <dcterms:created xsi:type="dcterms:W3CDTF">2017-01-25T17:37:15Z</dcterms:created>
  <dcterms:modified xsi:type="dcterms:W3CDTF">2020-09-04T07:25:18Z</dcterms:modified>
</cp:coreProperties>
</file>