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Overview" sheetId="1" r:id="rId4"/>
  </sheets>
  <definedNames/>
  <calcPr/>
  <extLst>
    <ext uri="GoogleSheetsCustomDataVersion2">
      <go:sheetsCustomData xmlns:go="http://customooxmlschemas.google.com/" r:id="rId5" roundtripDataChecksum="gJmj8nC7OxqjjQs9pUohiAElMzxk373IzPyWCR1rkz0="/>
    </ext>
  </extLst>
</workbook>
</file>

<file path=xl/sharedStrings.xml><?xml version="1.0" encoding="utf-8"?>
<sst xmlns="http://schemas.openxmlformats.org/spreadsheetml/2006/main" count="104" uniqueCount="96">
  <si>
    <t>OWASP Foundation, Inc.</t>
  </si>
  <si>
    <t>Cash Flow Forecast</t>
  </si>
  <si>
    <t>As of 02/29/2024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</si>
  <si>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</si>
  <si>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</si>
  <si>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</si>
  <si>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</si>
  <si>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</si>
  <si>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</si>
  <si>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</si>
  <si>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</si>
  <si>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</si>
  <si>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</si>
  <si>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</si>
  <si>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Cash Balance</t>
  </si>
  <si>
    <t>Income</t>
  </si>
  <si>
    <t xml:space="preserve">   Conference Income</t>
  </si>
  <si>
    <t xml:space="preserve">      Registrations</t>
  </si>
  <si>
    <t xml:space="preserve">      Sponsorships</t>
  </si>
  <si>
    <t xml:space="preserve">      Training</t>
  </si>
  <si>
    <t xml:space="preserve">   Total Conference Income</t>
  </si>
  <si>
    <t xml:space="preserve">   Donations</t>
  </si>
  <si>
    <t xml:space="preserve">      Corporate Supporters</t>
  </si>
  <si>
    <t xml:space="preserve">      General Donations</t>
  </si>
  <si>
    <t xml:space="preserve">      Local Chapter</t>
  </si>
  <si>
    <t xml:space="preserve">      Projects</t>
  </si>
  <si>
    <t xml:space="preserve">   Total Donations</t>
  </si>
  <si>
    <t xml:space="preserve">   Membership Income</t>
  </si>
  <si>
    <t xml:space="preserve">      Individual</t>
  </si>
  <si>
    <t xml:space="preserve">   Total Membership Income</t>
  </si>
  <si>
    <t xml:space="preserve">   Miscellaneous Income</t>
  </si>
  <si>
    <t xml:space="preserve">   Uncategorized Income</t>
  </si>
  <si>
    <t>Total Cash Inflows Anticipated</t>
  </si>
  <si>
    <t>Gross Profit</t>
  </si>
  <si>
    <t>Expenses</t>
  </si>
  <si>
    <t xml:space="preserve">   Community Outreach</t>
  </si>
  <si>
    <t xml:space="preserve">      Outreach</t>
  </si>
  <si>
    <t xml:space="preserve">      Shipping &amp; Postage</t>
  </si>
  <si>
    <t xml:space="preserve">      Swag</t>
  </si>
  <si>
    <t xml:space="preserve">      Travel</t>
  </si>
  <si>
    <t xml:space="preserve">   Total Community Outreach</t>
  </si>
  <si>
    <t xml:space="preserve">   Conference Expenses</t>
  </si>
  <si>
    <t xml:space="preserve">      Audio &amp; Video</t>
  </si>
  <si>
    <t xml:space="preserve">      Conference Expenses</t>
  </si>
  <si>
    <t xml:space="preserve">      Copying &amp; Printing</t>
  </si>
  <si>
    <t xml:space="preserve">      Fees - Registration</t>
  </si>
  <si>
    <t xml:space="preserve">      Food &amp; Beverages</t>
  </si>
  <si>
    <t xml:space="preserve">      Graphic Design</t>
  </si>
  <si>
    <t xml:space="preserve">      Insurance</t>
  </si>
  <si>
    <t xml:space="preserve">      Lead Scanners, Lanyards, &amp; Badges</t>
  </si>
  <si>
    <t xml:space="preserve">      Marketing</t>
  </si>
  <si>
    <t xml:space="preserve">      Miscellaneous</t>
  </si>
  <si>
    <t xml:space="preserve">      Office Supplies &amp; Equipment</t>
  </si>
  <si>
    <t xml:space="preserve">      Photography</t>
  </si>
  <si>
    <t xml:space="preserve">      Postage &amp; Shipping</t>
  </si>
  <si>
    <t xml:space="preserve">      Software</t>
  </si>
  <si>
    <t xml:space="preserve">      Speakers</t>
  </si>
  <si>
    <t xml:space="preserve">      Speakers Gifts</t>
  </si>
  <si>
    <t xml:space="preserve">      Venue</t>
  </si>
  <si>
    <t xml:space="preserve">   Total Conference Expenses</t>
  </si>
  <si>
    <t xml:space="preserve">   General &amp; Admin - Operations</t>
  </si>
  <si>
    <t xml:space="preserve">      Awards and Member Benefits</t>
  </si>
  <si>
    <t xml:space="preserve">      Bank &amp; Credit Card Fees</t>
  </si>
  <si>
    <t xml:space="preserve">      Employee Recognition</t>
  </si>
  <si>
    <t xml:space="preserve">      Marketing, Communications, and Advertising</t>
  </si>
  <si>
    <t xml:space="preserve">      Merchant  Fees</t>
  </si>
  <si>
    <t xml:space="preserve">      OWASP Insurance</t>
  </si>
  <si>
    <t xml:space="preserve">      Phone Expenses</t>
  </si>
  <si>
    <t xml:space="preserve">      Professional Development</t>
  </si>
  <si>
    <t xml:space="preserve">      Software, Internet, Dues, &amp; Subscriptions</t>
  </si>
  <si>
    <t xml:space="preserve">         Board Travel</t>
  </si>
  <si>
    <t xml:space="preserve">         Staff Travel</t>
  </si>
  <si>
    <t xml:space="preserve">      Total Travel</t>
  </si>
  <si>
    <t xml:space="preserve">   Total General &amp; Admin - Operations</t>
  </si>
  <si>
    <t xml:space="preserve">   Local Chapter Expenses</t>
  </si>
  <si>
    <t xml:space="preserve">      Meeting Expenses</t>
  </si>
  <si>
    <t xml:space="preserve">      Meetup</t>
  </si>
  <si>
    <t xml:space="preserve">   Total Local Chapter Expenses</t>
  </si>
  <si>
    <t xml:space="preserve">   Personnel &amp; Payroll</t>
  </si>
  <si>
    <t xml:space="preserve">      Benefits</t>
  </si>
  <si>
    <t xml:space="preserve">      Gross Wages</t>
  </si>
  <si>
    <t xml:space="preserve">      Payroll Processing Fee</t>
  </si>
  <si>
    <t xml:space="preserve">      Payroll Taxes</t>
  </si>
  <si>
    <t xml:space="preserve">      PEO Admin &amp; HR fees</t>
  </si>
  <si>
    <t xml:space="preserve">      Workers Comp</t>
  </si>
  <si>
    <t xml:space="preserve">   Total Personnel &amp; Payroll</t>
  </si>
  <si>
    <t xml:space="preserve">   Professional Fees</t>
  </si>
  <si>
    <t xml:space="preserve">      Accounting - US</t>
  </si>
  <si>
    <t xml:space="preserve">      Legal</t>
  </si>
  <si>
    <t xml:space="preserve">   Total Professional Fees</t>
  </si>
  <si>
    <t xml:space="preserve">   Project Expenses</t>
  </si>
  <si>
    <t xml:space="preserve">      Project Expenses</t>
  </si>
  <si>
    <t xml:space="preserve">   Total Project Expenses</t>
  </si>
  <si>
    <t>Total Cash Outflow</t>
  </si>
  <si>
    <t>net change in cash flows</t>
  </si>
  <si>
    <t>Ending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</si>
</sst>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#,##0.00\ _€"/>
    <numFmt numFmtId="166" formatCode="&quot;$&quot;* #,##0.00\ _€"/>
  </numFmts>
  <fonts count="7">
    <font>
      <sz val="11.0"/>
      <color rgb="FF000000"/>
      <name val="Aptos narrow"/>
      <scheme val="minor"/>
    </font>
    <font>
      <b/>
      <sz val="14.0"/>
      <color rgb="FF000000"/>
      <name val="Arial"/>
    </font>
    <font>
      <b/>
      <sz val="10.0"/>
      <color rgb="FF000000"/>
      <name val="Arial"/>
    </font>
    <font>
      <sz val="11.0"/>
      <color rgb="FF000000"/>
      <name val="Aptos narrow"/>
    </font>
    <font>
      <b/>
      <sz val="9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0" fillId="0" fontId="4" numFmtId="164" xfId="0" applyAlignment="1" applyFont="1" applyNumberForma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left" shrinkToFit="0" wrapText="1"/>
    </xf>
    <xf borderId="0" fillId="0" fontId="6" numFmtId="165" xfId="0" applyAlignment="1" applyFont="1" applyNumberFormat="1">
      <alignment shrinkToFit="0" wrapText="1"/>
    </xf>
    <xf borderId="0" fillId="0" fontId="6" numFmtId="165" xfId="0" applyAlignment="1" applyFont="1" applyNumberFormat="1">
      <alignment horizontal="right" shrinkToFit="0" wrapText="1"/>
    </xf>
    <xf borderId="2" fillId="0" fontId="5" numFmtId="166" xfId="0" applyAlignment="1" applyBorder="1" applyFont="1" applyNumberFormat="1">
      <alignment horizontal="right" shrinkToFit="0" wrapText="1"/>
    </xf>
    <xf borderId="0" fillId="0" fontId="3" numFmtId="164" xfId="0" applyFont="1" applyNumberFormat="1"/>
    <xf borderId="0" fillId="0" fontId="6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42.13"/>
    <col customWidth="1" hidden="1" min="2" max="2" width="15.63"/>
    <col customWidth="1" min="3" max="4" width="13.63"/>
    <col customWidth="1" min="5" max="5" width="12.0"/>
    <col customWidth="1" min="6" max="10" width="10.38"/>
    <col customWidth="1" min="11" max="12" width="11.13"/>
    <col customWidth="1" min="13" max="26" width="8.88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5">
      <c r="A5" s="3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</row>
    <row r="6">
      <c r="A6" s="3" t="s">
        <v>14</v>
      </c>
      <c r="B6" s="5">
        <v>1964432.09</v>
      </c>
      <c r="C6" s="5">
        <f t="shared" ref="C6:L6" si="1">B100</f>
        <v>1833585.73</v>
      </c>
      <c r="D6" s="5">
        <f t="shared" si="1"/>
        <v>1767734.02</v>
      </c>
      <c r="E6" s="5">
        <f t="shared" si="1"/>
        <v>1771447.53</v>
      </c>
      <c r="F6" s="5">
        <f t="shared" si="1"/>
        <v>1653288.52</v>
      </c>
      <c r="G6" s="5">
        <f t="shared" si="1"/>
        <v>1676629.55</v>
      </c>
      <c r="H6" s="5">
        <f t="shared" si="1"/>
        <v>2118172.76</v>
      </c>
      <c r="I6" s="5">
        <f t="shared" si="1"/>
        <v>2165502.25</v>
      </c>
      <c r="J6" s="5">
        <f t="shared" si="1"/>
        <v>2215105.02</v>
      </c>
      <c r="K6" s="5">
        <f t="shared" si="1"/>
        <v>2396935.35</v>
      </c>
      <c r="L6" s="5">
        <f t="shared" si="1"/>
        <v>2366311.52</v>
      </c>
    </row>
    <row r="7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>
      <c r="A8" s="7" t="s">
        <v>15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hidden="1">
      <c r="A9" s="7" t="s">
        <v>16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idden="1">
      <c r="A10" s="7" t="s">
        <v>17</v>
      </c>
      <c r="B10" s="9">
        <v>10.0</v>
      </c>
      <c r="C10" s="9">
        <f t="shared" ref="C10:F10" si="2">0</f>
        <v>0</v>
      </c>
      <c r="D10" s="9">
        <f t="shared" si="2"/>
        <v>0</v>
      </c>
      <c r="E10" s="9">
        <f t="shared" si="2"/>
        <v>0</v>
      </c>
      <c r="F10" s="9">
        <f t="shared" si="2"/>
        <v>0</v>
      </c>
      <c r="G10" s="9">
        <f>326950</f>
        <v>326950</v>
      </c>
      <c r="H10" s="9">
        <f t="shared" ref="H10:I10" si="3">0</f>
        <v>0</v>
      </c>
      <c r="I10" s="9">
        <f t="shared" si="3"/>
        <v>0</v>
      </c>
      <c r="J10" s="9">
        <f>541975</f>
        <v>541975</v>
      </c>
      <c r="K10" s="9">
        <f>25000</f>
        <v>25000</v>
      </c>
      <c r="L10" s="9">
        <f>0</f>
        <v>0</v>
      </c>
    </row>
    <row r="11" hidden="1">
      <c r="A11" s="7" t="s">
        <v>18</v>
      </c>
      <c r="B11" s="9">
        <f>44072.5</f>
        <v>44072.5</v>
      </c>
      <c r="C11" s="9">
        <f>56108.75</f>
        <v>56108.75</v>
      </c>
      <c r="D11" s="9">
        <f>88108.75</f>
        <v>88108.75</v>
      </c>
      <c r="E11" s="9">
        <f>102145</f>
        <v>102145</v>
      </c>
      <c r="F11" s="9">
        <f>206040</f>
        <v>206040</v>
      </c>
      <c r="G11" s="9">
        <f>209750</f>
        <v>209750</v>
      </c>
      <c r="H11" s="9">
        <f>368750</f>
        <v>368750</v>
      </c>
      <c r="I11" s="9">
        <f>173160</f>
        <v>173160</v>
      </c>
      <c r="J11" s="9">
        <f>40555</f>
        <v>40555</v>
      </c>
      <c r="K11" s="9">
        <f>7760</f>
        <v>7760</v>
      </c>
      <c r="L11" s="9">
        <f>3000</f>
        <v>3000</v>
      </c>
    </row>
    <row r="12" hidden="1">
      <c r="A12" s="7" t="s">
        <v>19</v>
      </c>
      <c r="B12" s="9">
        <f t="shared" ref="B12:F12" si="4">0</f>
        <v>0</v>
      </c>
      <c r="C12" s="9">
        <f t="shared" si="4"/>
        <v>0</v>
      </c>
      <c r="D12" s="9">
        <f t="shared" si="4"/>
        <v>0</v>
      </c>
      <c r="E12" s="9">
        <f t="shared" si="4"/>
        <v>0</v>
      </c>
      <c r="F12" s="9">
        <f t="shared" si="4"/>
        <v>0</v>
      </c>
      <c r="G12" s="9">
        <f>177250</f>
        <v>177250</v>
      </c>
      <c r="H12" s="9">
        <f t="shared" ref="H12:I12" si="5">0</f>
        <v>0</v>
      </c>
      <c r="I12" s="9">
        <f t="shared" si="5"/>
        <v>0</v>
      </c>
      <c r="J12" s="9">
        <f>153850</f>
        <v>153850</v>
      </c>
      <c r="K12" s="9">
        <f>40000</f>
        <v>40000</v>
      </c>
      <c r="L12" s="9">
        <f>0</f>
        <v>0</v>
      </c>
    </row>
    <row r="13">
      <c r="A13" s="7" t="s">
        <v>20</v>
      </c>
      <c r="B13" s="10">
        <f t="shared" ref="B13:L13" si="6">(((B9)+(B10))+(B11))+(B12)</f>
        <v>44082.5</v>
      </c>
      <c r="C13" s="10">
        <f t="shared" si="6"/>
        <v>56108.75</v>
      </c>
      <c r="D13" s="10">
        <f t="shared" si="6"/>
        <v>88108.75</v>
      </c>
      <c r="E13" s="10">
        <f t="shared" si="6"/>
        <v>102145</v>
      </c>
      <c r="F13" s="10">
        <f t="shared" si="6"/>
        <v>206040</v>
      </c>
      <c r="G13" s="10">
        <f t="shared" si="6"/>
        <v>713950</v>
      </c>
      <c r="H13" s="10">
        <f t="shared" si="6"/>
        <v>368750</v>
      </c>
      <c r="I13" s="10">
        <f t="shared" si="6"/>
        <v>173160</v>
      </c>
      <c r="J13" s="10">
        <f t="shared" si="6"/>
        <v>736380</v>
      </c>
      <c r="K13" s="10">
        <f t="shared" si="6"/>
        <v>72760</v>
      </c>
      <c r="L13" s="10">
        <f t="shared" si="6"/>
        <v>3000</v>
      </c>
    </row>
    <row r="14" hidden="1">
      <c r="A14" s="7" t="s">
        <v>21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hidden="1">
      <c r="A15" s="7" t="s">
        <v>22</v>
      </c>
      <c r="B15" s="9">
        <f t="shared" ref="B15:L15" si="7">35416.67</f>
        <v>35416.67</v>
      </c>
      <c r="C15" s="9">
        <f t="shared" si="7"/>
        <v>35416.67</v>
      </c>
      <c r="D15" s="9">
        <f t="shared" si="7"/>
        <v>35416.67</v>
      </c>
      <c r="E15" s="9">
        <f t="shared" si="7"/>
        <v>35416.67</v>
      </c>
      <c r="F15" s="9">
        <f t="shared" si="7"/>
        <v>35416.67</v>
      </c>
      <c r="G15" s="9">
        <f t="shared" si="7"/>
        <v>35416.67</v>
      </c>
      <c r="H15" s="9">
        <f t="shared" si="7"/>
        <v>35416.67</v>
      </c>
      <c r="I15" s="9">
        <f t="shared" si="7"/>
        <v>35416.67</v>
      </c>
      <c r="J15" s="9">
        <f t="shared" si="7"/>
        <v>35416.67</v>
      </c>
      <c r="K15" s="9">
        <f t="shared" si="7"/>
        <v>35416.67</v>
      </c>
      <c r="L15" s="9">
        <f t="shared" si="7"/>
        <v>35416.67</v>
      </c>
    </row>
    <row r="16" hidden="1">
      <c r="A16" s="7" t="s">
        <v>23</v>
      </c>
      <c r="B16" s="9">
        <f t="shared" ref="B16:L16" si="8">1290.08</f>
        <v>1290.08</v>
      </c>
      <c r="C16" s="9">
        <f t="shared" si="8"/>
        <v>1290.08</v>
      </c>
      <c r="D16" s="9">
        <f t="shared" si="8"/>
        <v>1290.08</v>
      </c>
      <c r="E16" s="9">
        <f t="shared" si="8"/>
        <v>1290.08</v>
      </c>
      <c r="F16" s="9">
        <f t="shared" si="8"/>
        <v>1290.08</v>
      </c>
      <c r="G16" s="9">
        <f t="shared" si="8"/>
        <v>1290.08</v>
      </c>
      <c r="H16" s="9">
        <f t="shared" si="8"/>
        <v>1290.08</v>
      </c>
      <c r="I16" s="9">
        <f t="shared" si="8"/>
        <v>1290.08</v>
      </c>
      <c r="J16" s="9">
        <f t="shared" si="8"/>
        <v>1290.08</v>
      </c>
      <c r="K16" s="9">
        <f t="shared" si="8"/>
        <v>1290.08</v>
      </c>
      <c r="L16" s="9">
        <f t="shared" si="8"/>
        <v>1290.08</v>
      </c>
    </row>
    <row r="17" hidden="1">
      <c r="A17" s="7" t="s">
        <v>24</v>
      </c>
      <c r="B17" s="9">
        <f>4620</f>
        <v>4620</v>
      </c>
      <c r="C17" s="9">
        <f>4515</f>
        <v>4515</v>
      </c>
      <c r="D17" s="9">
        <f>1785</f>
        <v>1785</v>
      </c>
      <c r="E17" s="9">
        <f>1324.14</f>
        <v>1324.14</v>
      </c>
      <c r="F17" s="9">
        <f>1785</f>
        <v>1785</v>
      </c>
      <c r="G17" s="9">
        <f>0</f>
        <v>0</v>
      </c>
      <c r="H17" s="9">
        <f>5250</f>
        <v>5250</v>
      </c>
      <c r="I17" s="9">
        <f t="shared" ref="I17:J17" si="9">0</f>
        <v>0</v>
      </c>
      <c r="J17" s="9">
        <f t="shared" si="9"/>
        <v>0</v>
      </c>
      <c r="K17" s="9">
        <f t="shared" ref="K17:L17" si="10">1980.41</f>
        <v>1980.41</v>
      </c>
      <c r="L17" s="9">
        <f t="shared" si="10"/>
        <v>1980.41</v>
      </c>
    </row>
    <row r="18" hidden="1">
      <c r="A18" s="7" t="s">
        <v>25</v>
      </c>
      <c r="B18" s="9">
        <f>17441.55</f>
        <v>17441.55</v>
      </c>
      <c r="C18" s="9">
        <f>7751.5</f>
        <v>7751.5</v>
      </c>
      <c r="D18" s="9">
        <f>1644.06</f>
        <v>1644.06</v>
      </c>
      <c r="E18" s="9">
        <f>27851.25</f>
        <v>27851.25</v>
      </c>
      <c r="F18" s="9">
        <f>4472.91</f>
        <v>4472.91</v>
      </c>
      <c r="G18" s="9">
        <f>1296.75</f>
        <v>1296.75</v>
      </c>
      <c r="H18" s="9">
        <f>262.5</f>
        <v>262.5</v>
      </c>
      <c r="I18" s="9">
        <f t="shared" ref="I18:J18" si="11">0</f>
        <v>0</v>
      </c>
      <c r="J18" s="9">
        <f t="shared" si="11"/>
        <v>0</v>
      </c>
      <c r="K18" s="9">
        <f t="shared" ref="K18:L18" si="12">6583.18</f>
        <v>6583.18</v>
      </c>
      <c r="L18" s="9">
        <f t="shared" si="12"/>
        <v>6583.18</v>
      </c>
    </row>
    <row r="19">
      <c r="A19" s="7" t="s">
        <v>26</v>
      </c>
      <c r="B19" s="10">
        <f t="shared" ref="B19:L19" si="13">((((B14)+(B15))+(B16))+(B17))+(B18)</f>
        <v>58768.3</v>
      </c>
      <c r="C19" s="10">
        <f t="shared" si="13"/>
        <v>48973.25</v>
      </c>
      <c r="D19" s="10">
        <f t="shared" si="13"/>
        <v>40135.81</v>
      </c>
      <c r="E19" s="10">
        <f t="shared" si="13"/>
        <v>65882.14</v>
      </c>
      <c r="F19" s="10">
        <f t="shared" si="13"/>
        <v>42964.66</v>
      </c>
      <c r="G19" s="10">
        <f t="shared" si="13"/>
        <v>38003.5</v>
      </c>
      <c r="H19" s="10">
        <f t="shared" si="13"/>
        <v>42219.25</v>
      </c>
      <c r="I19" s="10">
        <f t="shared" si="13"/>
        <v>36706.75</v>
      </c>
      <c r="J19" s="10">
        <f t="shared" si="13"/>
        <v>36706.75</v>
      </c>
      <c r="K19" s="10">
        <f t="shared" si="13"/>
        <v>45270.34</v>
      </c>
      <c r="L19" s="10">
        <f t="shared" si="13"/>
        <v>45270.34</v>
      </c>
    </row>
    <row r="20" hidden="1">
      <c r="A20" s="7" t="s">
        <v>27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ht="15.75" hidden="1" customHeight="1">
      <c r="A21" s="7" t="s">
        <v>28</v>
      </c>
      <c r="B21" s="9">
        <f>28336.35</f>
        <v>28336.35</v>
      </c>
      <c r="C21" s="9">
        <f>31113.6</f>
        <v>31113.6</v>
      </c>
      <c r="D21" s="9">
        <f>19624.5</f>
        <v>19624.5</v>
      </c>
      <c r="E21" s="9">
        <f>25038.56</f>
        <v>25038.56</v>
      </c>
      <c r="F21" s="9">
        <f>33892.16</f>
        <v>33892.16</v>
      </c>
      <c r="G21" s="9">
        <f>20170.24</f>
        <v>20170.24</v>
      </c>
      <c r="H21" s="9">
        <f>25520.25</f>
        <v>25520.25</v>
      </c>
      <c r="I21" s="9">
        <f>28988.4</f>
        <v>28988.4</v>
      </c>
      <c r="J21" s="9">
        <f>22720.95</f>
        <v>22720.95</v>
      </c>
      <c r="K21" s="9">
        <f t="shared" ref="K21:L21" si="14">26028.13</f>
        <v>26028.13</v>
      </c>
      <c r="L21" s="9">
        <f t="shared" si="14"/>
        <v>26028.13</v>
      </c>
    </row>
    <row r="22" ht="15.75" customHeight="1">
      <c r="A22" s="7" t="s">
        <v>29</v>
      </c>
      <c r="B22" s="10">
        <f t="shared" ref="B22:L22" si="15">(B20)+(B21)</f>
        <v>28336.35</v>
      </c>
      <c r="C22" s="10">
        <f t="shared" si="15"/>
        <v>31113.6</v>
      </c>
      <c r="D22" s="10">
        <f t="shared" si="15"/>
        <v>19624.5</v>
      </c>
      <c r="E22" s="10">
        <f t="shared" si="15"/>
        <v>25038.56</v>
      </c>
      <c r="F22" s="10">
        <f t="shared" si="15"/>
        <v>33892.16</v>
      </c>
      <c r="G22" s="10">
        <f t="shared" si="15"/>
        <v>20170.24</v>
      </c>
      <c r="H22" s="10">
        <f t="shared" si="15"/>
        <v>25520.25</v>
      </c>
      <c r="I22" s="10">
        <f t="shared" si="15"/>
        <v>28988.4</v>
      </c>
      <c r="J22" s="10">
        <f t="shared" si="15"/>
        <v>22720.95</v>
      </c>
      <c r="K22" s="10">
        <f t="shared" si="15"/>
        <v>26028.13</v>
      </c>
      <c r="L22" s="10">
        <f t="shared" si="15"/>
        <v>26028.13</v>
      </c>
    </row>
    <row r="23" ht="15.75" customHeight="1">
      <c r="A23" s="7" t="s">
        <v>30</v>
      </c>
      <c r="B23" s="9">
        <f t="shared" ref="B23:G23" si="16">0</f>
        <v>0</v>
      </c>
      <c r="C23" s="9">
        <f t="shared" si="16"/>
        <v>0</v>
      </c>
      <c r="D23" s="9">
        <f t="shared" si="16"/>
        <v>0</v>
      </c>
      <c r="E23" s="9">
        <f t="shared" si="16"/>
        <v>0</v>
      </c>
      <c r="F23" s="9">
        <f t="shared" si="16"/>
        <v>0</v>
      </c>
      <c r="G23" s="9">
        <f t="shared" si="16"/>
        <v>0</v>
      </c>
      <c r="H23" s="9">
        <f>8130.15</f>
        <v>8130.15</v>
      </c>
      <c r="I23" s="9">
        <f>986.37</f>
        <v>986.37</v>
      </c>
      <c r="J23" s="9">
        <f>0</f>
        <v>0</v>
      </c>
      <c r="K23" s="9">
        <f t="shared" ref="K23:L23" si="17">911.65</f>
        <v>911.65</v>
      </c>
      <c r="L23" s="9">
        <f t="shared" si="17"/>
        <v>911.65</v>
      </c>
    </row>
    <row r="24" ht="15.75" hidden="1" customHeight="1">
      <c r="A24" s="7" t="s">
        <v>31</v>
      </c>
      <c r="B24" s="9">
        <f>42115.47</f>
        <v>42115.47</v>
      </c>
    </row>
    <row r="25" ht="15.75" customHeight="1">
      <c r="A25" s="7" t="s">
        <v>32</v>
      </c>
      <c r="B25" s="10">
        <f t="shared" ref="B25:L25" si="18">(((B13)+(B19))+(B22))+(B23)+(B24)</f>
        <v>173302.62</v>
      </c>
      <c r="C25" s="10">
        <f t="shared" si="18"/>
        <v>136195.6</v>
      </c>
      <c r="D25" s="10">
        <f t="shared" si="18"/>
        <v>147869.06</v>
      </c>
      <c r="E25" s="10">
        <f t="shared" si="18"/>
        <v>193065.7</v>
      </c>
      <c r="F25" s="10">
        <f t="shared" si="18"/>
        <v>282896.82</v>
      </c>
      <c r="G25" s="10">
        <f t="shared" si="18"/>
        <v>772123.74</v>
      </c>
      <c r="H25" s="10">
        <f t="shared" si="18"/>
        <v>444619.65</v>
      </c>
      <c r="I25" s="10">
        <f t="shared" si="18"/>
        <v>239841.52</v>
      </c>
      <c r="J25" s="10">
        <f t="shared" si="18"/>
        <v>795807.7</v>
      </c>
      <c r="K25" s="10">
        <f t="shared" si="18"/>
        <v>144970.12</v>
      </c>
      <c r="L25" s="10">
        <f t="shared" si="18"/>
        <v>75210.12</v>
      </c>
    </row>
    <row r="26" ht="15.75" hidden="1" customHeight="1">
      <c r="A26" s="7" t="s">
        <v>33</v>
      </c>
      <c r="B26" s="10">
        <f t="shared" ref="B26:L26" si="19">(B25)-(0)</f>
        <v>173302.62</v>
      </c>
      <c r="C26" s="10">
        <f t="shared" si="19"/>
        <v>136195.6</v>
      </c>
      <c r="D26" s="10">
        <f t="shared" si="19"/>
        <v>147869.06</v>
      </c>
      <c r="E26" s="10">
        <f t="shared" si="19"/>
        <v>193065.7</v>
      </c>
      <c r="F26" s="10">
        <f t="shared" si="19"/>
        <v>282896.82</v>
      </c>
      <c r="G26" s="10">
        <f t="shared" si="19"/>
        <v>772123.74</v>
      </c>
      <c r="H26" s="10">
        <f t="shared" si="19"/>
        <v>444619.65</v>
      </c>
      <c r="I26" s="10">
        <f t="shared" si="19"/>
        <v>239841.52</v>
      </c>
      <c r="J26" s="10">
        <f t="shared" si="19"/>
        <v>795807.7</v>
      </c>
      <c r="K26" s="10">
        <f t="shared" si="19"/>
        <v>144970.12</v>
      </c>
      <c r="L26" s="10">
        <f t="shared" si="19"/>
        <v>75210.12</v>
      </c>
    </row>
    <row r="27" ht="15.75" hidden="1" customHeight="1">
      <c r="A27" s="7" t="s">
        <v>34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ht="15.75" hidden="1" customHeight="1">
      <c r="A28" s="7" t="s">
        <v>35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ht="15.75" hidden="1" customHeight="1">
      <c r="A29" s="7" t="s">
        <v>36</v>
      </c>
      <c r="B29" s="9">
        <f>1176.36</f>
        <v>1176.36</v>
      </c>
      <c r="C29" s="9">
        <f>9694.01</f>
        <v>9694.01</v>
      </c>
      <c r="D29" s="9">
        <f>1432.55</f>
        <v>1432.55</v>
      </c>
      <c r="E29" s="9">
        <f>6447.62</f>
        <v>6447.62</v>
      </c>
      <c r="F29" s="9">
        <f>849.52</f>
        <v>849.52</v>
      </c>
      <c r="G29" s="9">
        <f>1224.85</f>
        <v>1224.85</v>
      </c>
      <c r="H29" s="9">
        <f>542.83</f>
        <v>542.83</v>
      </c>
      <c r="I29" s="9">
        <f t="shared" ref="I29:J29" si="20">0</f>
        <v>0</v>
      </c>
      <c r="J29" s="9">
        <f t="shared" si="20"/>
        <v>0</v>
      </c>
      <c r="K29" s="9">
        <f t="shared" ref="K29:L29" si="21">2136.77</f>
        <v>2136.77</v>
      </c>
      <c r="L29" s="9">
        <f t="shared" si="21"/>
        <v>2136.77</v>
      </c>
    </row>
    <row r="30" ht="15.75" hidden="1" customHeight="1">
      <c r="A30" s="7" t="s">
        <v>37</v>
      </c>
      <c r="B30" s="9">
        <f t="shared" ref="B30:G30" si="22">0</f>
        <v>0</v>
      </c>
      <c r="C30" s="9">
        <f t="shared" si="22"/>
        <v>0</v>
      </c>
      <c r="D30" s="9">
        <f t="shared" si="22"/>
        <v>0</v>
      </c>
      <c r="E30" s="9">
        <f t="shared" si="22"/>
        <v>0</v>
      </c>
      <c r="F30" s="9">
        <f t="shared" si="22"/>
        <v>0</v>
      </c>
      <c r="G30" s="9">
        <f t="shared" si="22"/>
        <v>0</v>
      </c>
      <c r="H30" s="9">
        <f>311.09</f>
        <v>311.09</v>
      </c>
      <c r="I30" s="9">
        <f t="shared" ref="I30:J30" si="23">0</f>
        <v>0</v>
      </c>
      <c r="J30" s="9">
        <f t="shared" si="23"/>
        <v>0</v>
      </c>
      <c r="K30" s="9">
        <f t="shared" ref="K30:L30" si="24">31.11</f>
        <v>31.11</v>
      </c>
      <c r="L30" s="9">
        <f t="shared" si="24"/>
        <v>31.11</v>
      </c>
    </row>
    <row r="31" ht="15.75" hidden="1" customHeight="1">
      <c r="A31" s="7" t="s">
        <v>38</v>
      </c>
      <c r="B31" s="9">
        <f t="shared" ref="B31:H31" si="25">0</f>
        <v>0</v>
      </c>
      <c r="C31" s="9">
        <f t="shared" si="25"/>
        <v>0</v>
      </c>
      <c r="D31" s="9">
        <f t="shared" si="25"/>
        <v>0</v>
      </c>
      <c r="E31" s="9">
        <f t="shared" si="25"/>
        <v>0</v>
      </c>
      <c r="F31" s="9">
        <f t="shared" si="25"/>
        <v>0</v>
      </c>
      <c r="G31" s="9">
        <f t="shared" si="25"/>
        <v>0</v>
      </c>
      <c r="H31" s="9">
        <f t="shared" si="25"/>
        <v>0</v>
      </c>
      <c r="I31" s="9">
        <f>399</f>
        <v>399</v>
      </c>
      <c r="J31" s="9">
        <f>583.83</f>
        <v>583.83</v>
      </c>
      <c r="K31" s="9">
        <f t="shared" ref="K31:L31" si="26">98.28</f>
        <v>98.28</v>
      </c>
      <c r="L31" s="9">
        <f t="shared" si="26"/>
        <v>98.28</v>
      </c>
    </row>
    <row r="32" ht="15.75" hidden="1" customHeight="1">
      <c r="A32" s="7" t="s">
        <v>39</v>
      </c>
      <c r="B32" s="9">
        <f t="shared" ref="B32:G32" si="27">0</f>
        <v>0</v>
      </c>
      <c r="C32" s="9">
        <f t="shared" si="27"/>
        <v>0</v>
      </c>
      <c r="D32" s="9">
        <f t="shared" si="27"/>
        <v>0</v>
      </c>
      <c r="E32" s="9">
        <f t="shared" si="27"/>
        <v>0</v>
      </c>
      <c r="F32" s="9">
        <f t="shared" si="27"/>
        <v>0</v>
      </c>
      <c r="G32" s="9">
        <f t="shared" si="27"/>
        <v>0</v>
      </c>
      <c r="H32" s="9">
        <f>6787.04</f>
        <v>6787.04</v>
      </c>
      <c r="I32" s="9">
        <f>0</f>
        <v>0</v>
      </c>
      <c r="J32" s="9">
        <f>15.88</f>
        <v>15.88</v>
      </c>
      <c r="K32" s="9">
        <f t="shared" ref="K32:L32" si="28">680.29</f>
        <v>680.29</v>
      </c>
      <c r="L32" s="9">
        <f t="shared" si="28"/>
        <v>680.29</v>
      </c>
    </row>
    <row r="33" ht="15.75" customHeight="1">
      <c r="A33" s="7" t="s">
        <v>40</v>
      </c>
      <c r="B33" s="10">
        <f t="shared" ref="B33:L33" si="29">((((B28)+(B29))+(B30))+(B31))+(B32)</f>
        <v>1176.36</v>
      </c>
      <c r="C33" s="10">
        <f t="shared" si="29"/>
        <v>9694.01</v>
      </c>
      <c r="D33" s="10">
        <f t="shared" si="29"/>
        <v>1432.55</v>
      </c>
      <c r="E33" s="10">
        <f t="shared" si="29"/>
        <v>6447.62</v>
      </c>
      <c r="F33" s="10">
        <f t="shared" si="29"/>
        <v>849.52</v>
      </c>
      <c r="G33" s="10">
        <f t="shared" si="29"/>
        <v>1224.85</v>
      </c>
      <c r="H33" s="10">
        <f t="shared" si="29"/>
        <v>7640.96</v>
      </c>
      <c r="I33" s="10">
        <f t="shared" si="29"/>
        <v>399</v>
      </c>
      <c r="J33" s="10">
        <f t="shared" si="29"/>
        <v>599.71</v>
      </c>
      <c r="K33" s="10">
        <f t="shared" si="29"/>
        <v>2946.45</v>
      </c>
      <c r="L33" s="10">
        <f t="shared" si="29"/>
        <v>2946.45</v>
      </c>
    </row>
    <row r="34" ht="15.75" hidden="1" customHeight="1">
      <c r="A34" s="7" t="s">
        <v>41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ht="15.75" hidden="1" customHeight="1">
      <c r="A35" s="7" t="s">
        <v>42</v>
      </c>
      <c r="B35" s="9">
        <f>33825</f>
        <v>33825</v>
      </c>
      <c r="C35" s="9">
        <f t="shared" ref="C35:C36" si="31">0</f>
        <v>0</v>
      </c>
      <c r="D35" s="9">
        <f>1749</f>
        <v>1749</v>
      </c>
      <c r="E35" s="9">
        <f>33825</f>
        <v>33825</v>
      </c>
      <c r="F35" s="9">
        <f>0</f>
        <v>0</v>
      </c>
      <c r="G35" s="9">
        <f>55050</f>
        <v>55050</v>
      </c>
      <c r="H35" s="9">
        <f t="shared" ref="H35:I35" si="30">0</f>
        <v>0</v>
      </c>
      <c r="I35" s="9">
        <f t="shared" si="30"/>
        <v>0</v>
      </c>
      <c r="J35" s="9">
        <f>83500</f>
        <v>83500</v>
      </c>
      <c r="K35" s="9">
        <f>4000</f>
        <v>4000</v>
      </c>
      <c r="L35" s="9">
        <f>0</f>
        <v>0</v>
      </c>
    </row>
    <row r="36" ht="15.75" hidden="1" customHeight="1">
      <c r="A36" s="7" t="s">
        <v>43</v>
      </c>
      <c r="B36" s="9">
        <f>7761</f>
        <v>7761</v>
      </c>
      <c r="C36" s="9">
        <f t="shared" si="31"/>
        <v>0</v>
      </c>
      <c r="D36" s="9">
        <f>0</f>
        <v>0</v>
      </c>
      <c r="E36" s="9">
        <f>3321</f>
        <v>3321</v>
      </c>
      <c r="F36" s="9">
        <f>1476</f>
        <v>1476</v>
      </c>
      <c r="G36" s="9">
        <f>6520</f>
        <v>6520</v>
      </c>
      <c r="H36" s="9">
        <f>16800</f>
        <v>16800</v>
      </c>
      <c r="I36" s="9">
        <f>1500</f>
        <v>1500</v>
      </c>
      <c r="J36" s="9">
        <f>12450</f>
        <v>12450</v>
      </c>
      <c r="K36" s="9">
        <f t="shared" ref="K36:L36" si="32">0</f>
        <v>0</v>
      </c>
      <c r="L36" s="9">
        <f t="shared" si="32"/>
        <v>0</v>
      </c>
    </row>
    <row r="37" ht="15.75" hidden="1" customHeight="1">
      <c r="A37" s="7" t="s">
        <v>44</v>
      </c>
      <c r="B37" s="9">
        <f t="shared" ref="B37:E37" si="33">0</f>
        <v>0</v>
      </c>
      <c r="C37" s="9">
        <f t="shared" si="33"/>
        <v>0</v>
      </c>
      <c r="D37" s="9">
        <f t="shared" si="33"/>
        <v>0</v>
      </c>
      <c r="E37" s="9">
        <f t="shared" si="33"/>
        <v>0</v>
      </c>
      <c r="F37" s="9">
        <f>369</f>
        <v>369</v>
      </c>
      <c r="G37" s="9">
        <f t="shared" ref="G37:H37" si="34">0</f>
        <v>0</v>
      </c>
      <c r="H37" s="9">
        <f t="shared" si="34"/>
        <v>0</v>
      </c>
      <c r="I37" s="9">
        <f>600</f>
        <v>600</v>
      </c>
      <c r="J37" s="9">
        <f>510</f>
        <v>510</v>
      </c>
      <c r="K37" s="9">
        <f t="shared" ref="K37:L37" si="35">0</f>
        <v>0</v>
      </c>
      <c r="L37" s="9">
        <f t="shared" si="35"/>
        <v>0</v>
      </c>
    </row>
    <row r="38" ht="15.75" hidden="1" customHeight="1">
      <c r="A38" s="7" t="s">
        <v>45</v>
      </c>
      <c r="B38" s="9">
        <f>250</f>
        <v>250</v>
      </c>
      <c r="C38" s="9">
        <f>300</f>
        <v>300</v>
      </c>
      <c r="D38" s="9">
        <f>410</f>
        <v>410</v>
      </c>
      <c r="E38" s="9">
        <f>610</f>
        <v>610</v>
      </c>
      <c r="F38" s="9">
        <f>820</f>
        <v>820</v>
      </c>
      <c r="G38" s="9">
        <f>420</f>
        <v>420</v>
      </c>
      <c r="H38" s="9">
        <f>525</f>
        <v>525</v>
      </c>
      <c r="I38" s="9">
        <f>530</f>
        <v>530</v>
      </c>
      <c r="J38" s="9">
        <f>30</f>
        <v>30</v>
      </c>
      <c r="K38" s="9">
        <f>2000</f>
        <v>2000</v>
      </c>
      <c r="L38" s="9">
        <f t="shared" ref="L38:L39" si="38">0</f>
        <v>0</v>
      </c>
    </row>
    <row r="39" ht="15.75" hidden="1" customHeight="1">
      <c r="A39" s="7" t="s">
        <v>46</v>
      </c>
      <c r="B39" s="9">
        <f t="shared" ref="B39:D39" si="36">0</f>
        <v>0</v>
      </c>
      <c r="C39" s="9">
        <f t="shared" si="36"/>
        <v>0</v>
      </c>
      <c r="D39" s="9">
        <f t="shared" si="36"/>
        <v>0</v>
      </c>
      <c r="E39" s="9">
        <f t="shared" ref="E39:F39" si="37">110000</f>
        <v>110000</v>
      </c>
      <c r="F39" s="9">
        <f t="shared" si="37"/>
        <v>110000</v>
      </c>
      <c r="G39" s="9">
        <f>5000</f>
        <v>5000</v>
      </c>
      <c r="H39" s="9">
        <f>200000</f>
        <v>200000</v>
      </c>
      <c r="I39" s="9">
        <f>25000</f>
        <v>25000</v>
      </c>
      <c r="J39" s="9">
        <f>200000</f>
        <v>200000</v>
      </c>
      <c r="K39" s="9">
        <f>5400</f>
        <v>5400</v>
      </c>
      <c r="L39" s="9">
        <f t="shared" si="38"/>
        <v>0</v>
      </c>
    </row>
    <row r="40" ht="15.75" hidden="1" customHeight="1">
      <c r="A40" s="7" t="s">
        <v>47</v>
      </c>
      <c r="B40" s="9">
        <f t="shared" ref="B40:B53" si="40">0</f>
        <v>0</v>
      </c>
      <c r="C40" s="9">
        <f>250</f>
        <v>250</v>
      </c>
      <c r="D40" s="9">
        <f t="shared" ref="D40:L40" si="39">0</f>
        <v>0</v>
      </c>
      <c r="E40" s="9">
        <f t="shared" si="39"/>
        <v>0</v>
      </c>
      <c r="F40" s="9">
        <f t="shared" si="39"/>
        <v>0</v>
      </c>
      <c r="G40" s="9">
        <f t="shared" si="39"/>
        <v>0</v>
      </c>
      <c r="H40" s="9">
        <f t="shared" si="39"/>
        <v>0</v>
      </c>
      <c r="I40" s="9">
        <f t="shared" si="39"/>
        <v>0</v>
      </c>
      <c r="J40" s="9">
        <f t="shared" si="39"/>
        <v>0</v>
      </c>
      <c r="K40" s="9">
        <f t="shared" si="39"/>
        <v>0</v>
      </c>
      <c r="L40" s="9">
        <f t="shared" si="39"/>
        <v>0</v>
      </c>
    </row>
    <row r="41" ht="15.75" hidden="1" customHeight="1">
      <c r="A41" s="7" t="s">
        <v>48</v>
      </c>
      <c r="B41" s="9">
        <f t="shared" si="40"/>
        <v>0</v>
      </c>
      <c r="C41" s="9">
        <f>0</f>
        <v>0</v>
      </c>
      <c r="D41" s="9">
        <f t="shared" ref="D41:E41" si="41">1000</f>
        <v>1000</v>
      </c>
      <c r="E41" s="9">
        <f t="shared" si="41"/>
        <v>1000</v>
      </c>
      <c r="F41" s="9">
        <f>0</f>
        <v>0</v>
      </c>
      <c r="G41" s="9">
        <f>1000</f>
        <v>1000</v>
      </c>
      <c r="H41" s="9">
        <f>750</f>
        <v>750</v>
      </c>
      <c r="I41" s="9">
        <f t="shared" ref="I41:L41" si="42">0</f>
        <v>0</v>
      </c>
      <c r="J41" s="9">
        <f t="shared" si="42"/>
        <v>0</v>
      </c>
      <c r="K41" s="9">
        <f t="shared" si="42"/>
        <v>0</v>
      </c>
      <c r="L41" s="9">
        <f t="shared" si="42"/>
        <v>0</v>
      </c>
    </row>
    <row r="42" ht="15.75" hidden="1" customHeight="1">
      <c r="A42" s="7" t="s">
        <v>49</v>
      </c>
      <c r="B42" s="9">
        <f t="shared" si="40"/>
        <v>0</v>
      </c>
      <c r="C42" s="9">
        <f>3370</f>
        <v>3370</v>
      </c>
      <c r="D42" s="9">
        <f t="shared" ref="D42:E42" si="43">0</f>
        <v>0</v>
      </c>
      <c r="E42" s="9">
        <f t="shared" si="43"/>
        <v>0</v>
      </c>
      <c r="F42" s="9">
        <f>45</f>
        <v>45</v>
      </c>
      <c r="G42" s="9">
        <f>0</f>
        <v>0</v>
      </c>
      <c r="H42" s="9">
        <f>1402.9</f>
        <v>1402.9</v>
      </c>
      <c r="I42" s="9">
        <f>4889.25</f>
        <v>4889.25</v>
      </c>
      <c r="J42" s="9">
        <f t="shared" ref="J42:L42" si="44">0</f>
        <v>0</v>
      </c>
      <c r="K42" s="9">
        <f t="shared" si="44"/>
        <v>0</v>
      </c>
      <c r="L42" s="9">
        <f t="shared" si="44"/>
        <v>0</v>
      </c>
    </row>
    <row r="43" ht="15.75" hidden="1" customHeight="1">
      <c r="A43" s="7" t="s">
        <v>50</v>
      </c>
      <c r="B43" s="9">
        <f t="shared" si="40"/>
        <v>0</v>
      </c>
      <c r="C43" s="9">
        <f>200</f>
        <v>200</v>
      </c>
      <c r="D43" s="9">
        <f>300</f>
        <v>300</v>
      </c>
      <c r="E43" s="9">
        <f>0</f>
        <v>0</v>
      </c>
      <c r="F43" s="9">
        <f>7000</f>
        <v>7000</v>
      </c>
      <c r="G43" s="9">
        <f>1500</f>
        <v>1500</v>
      </c>
      <c r="H43" s="9">
        <f>500</f>
        <v>500</v>
      </c>
      <c r="I43" s="9">
        <f>1000</f>
        <v>1000</v>
      </c>
      <c r="J43" s="9">
        <f>500</f>
        <v>500</v>
      </c>
      <c r="K43" s="9">
        <f t="shared" ref="K43:L43" si="45">0</f>
        <v>0</v>
      </c>
      <c r="L43" s="9">
        <f t="shared" si="45"/>
        <v>0</v>
      </c>
    </row>
    <row r="44" ht="15.75" hidden="1" customHeight="1">
      <c r="A44" s="7" t="s">
        <v>51</v>
      </c>
      <c r="B44" s="9">
        <f t="shared" si="40"/>
        <v>0</v>
      </c>
      <c r="C44" s="9">
        <f t="shared" ref="C44:C52" si="48">0</f>
        <v>0</v>
      </c>
      <c r="D44" s="9">
        <f t="shared" ref="D44:E44" si="46">1500</f>
        <v>1500</v>
      </c>
      <c r="E44" s="9">
        <f t="shared" si="46"/>
        <v>1500</v>
      </c>
      <c r="F44" s="9">
        <f>300</f>
        <v>300</v>
      </c>
      <c r="G44" s="9">
        <f t="shared" ref="G44:H44" si="47">3000</f>
        <v>3000</v>
      </c>
      <c r="H44" s="9">
        <f t="shared" si="47"/>
        <v>3000</v>
      </c>
      <c r="I44" s="9">
        <f>250</f>
        <v>250</v>
      </c>
      <c r="J44" s="9">
        <f>200</f>
        <v>200</v>
      </c>
      <c r="K44" s="9">
        <f>150</f>
        <v>150</v>
      </c>
      <c r="L44" s="9">
        <f>0</f>
        <v>0</v>
      </c>
    </row>
    <row r="45" ht="15.75" hidden="1" customHeight="1">
      <c r="A45" s="7" t="s">
        <v>52</v>
      </c>
      <c r="B45" s="9">
        <f t="shared" si="40"/>
        <v>0</v>
      </c>
      <c r="C45" s="9">
        <f t="shared" si="48"/>
        <v>0</v>
      </c>
      <c r="D45" s="9">
        <f t="shared" ref="D45:E45" si="49">0</f>
        <v>0</v>
      </c>
      <c r="E45" s="9">
        <f t="shared" si="49"/>
        <v>0</v>
      </c>
      <c r="F45" s="9">
        <f>50</f>
        <v>50</v>
      </c>
      <c r="G45" s="9">
        <f t="shared" ref="G45:H45" si="50">0</f>
        <v>0</v>
      </c>
      <c r="H45" s="9">
        <f t="shared" si="50"/>
        <v>0</v>
      </c>
      <c r="I45" s="9">
        <f>600</f>
        <v>600</v>
      </c>
      <c r="J45" s="9">
        <f t="shared" ref="J45:L45" si="51">0</f>
        <v>0</v>
      </c>
      <c r="K45" s="9">
        <f t="shared" si="51"/>
        <v>0</v>
      </c>
      <c r="L45" s="9">
        <f t="shared" si="51"/>
        <v>0</v>
      </c>
    </row>
    <row r="46" ht="15.75" hidden="1" customHeight="1">
      <c r="A46" s="7" t="s">
        <v>53</v>
      </c>
      <c r="B46" s="9">
        <f t="shared" si="40"/>
        <v>0</v>
      </c>
      <c r="C46" s="9">
        <f t="shared" si="48"/>
        <v>0</v>
      </c>
      <c r="D46" s="9">
        <f t="shared" ref="D46:L46" si="52">0</f>
        <v>0</v>
      </c>
      <c r="E46" s="9">
        <f t="shared" si="52"/>
        <v>0</v>
      </c>
      <c r="F46" s="9">
        <f t="shared" si="52"/>
        <v>0</v>
      </c>
      <c r="G46" s="9">
        <f t="shared" si="52"/>
        <v>0</v>
      </c>
      <c r="H46" s="9">
        <f t="shared" si="52"/>
        <v>0</v>
      </c>
      <c r="I46" s="9">
        <f t="shared" si="52"/>
        <v>0</v>
      </c>
      <c r="J46" s="9">
        <f t="shared" si="52"/>
        <v>0</v>
      </c>
      <c r="K46" s="9">
        <f t="shared" si="52"/>
        <v>0</v>
      </c>
      <c r="L46" s="9">
        <f t="shared" si="52"/>
        <v>0</v>
      </c>
    </row>
    <row r="47" ht="15.75" hidden="1" customHeight="1">
      <c r="A47" s="7" t="s">
        <v>54</v>
      </c>
      <c r="B47" s="9">
        <f t="shared" si="40"/>
        <v>0</v>
      </c>
      <c r="C47" s="9">
        <f t="shared" si="48"/>
        <v>0</v>
      </c>
      <c r="D47" s="9">
        <f t="shared" ref="D47:E47" si="53">0</f>
        <v>0</v>
      </c>
      <c r="E47" s="9">
        <f t="shared" si="53"/>
        <v>0</v>
      </c>
      <c r="F47" s="9">
        <f>2246</f>
        <v>2246</v>
      </c>
      <c r="G47" s="9">
        <f t="shared" ref="G47:H47" si="54">0</f>
        <v>0</v>
      </c>
      <c r="H47" s="9">
        <f t="shared" si="54"/>
        <v>0</v>
      </c>
      <c r="I47" s="9">
        <f>1450</f>
        <v>1450</v>
      </c>
      <c r="J47" s="9">
        <f>240</f>
        <v>240</v>
      </c>
      <c r="K47" s="9">
        <f t="shared" ref="K47:L47" si="55">0</f>
        <v>0</v>
      </c>
      <c r="L47" s="9">
        <f t="shared" si="55"/>
        <v>0</v>
      </c>
    </row>
    <row r="48" ht="15.75" hidden="1" customHeight="1">
      <c r="A48" s="7" t="s">
        <v>55</v>
      </c>
      <c r="B48" s="9">
        <f t="shared" si="40"/>
        <v>0</v>
      </c>
      <c r="C48" s="9">
        <f t="shared" si="48"/>
        <v>0</v>
      </c>
      <c r="D48" s="9">
        <f t="shared" ref="D48:E48" si="56">0</f>
        <v>0</v>
      </c>
      <c r="E48" s="9">
        <f t="shared" si="56"/>
        <v>0</v>
      </c>
      <c r="F48" s="9">
        <f>500</f>
        <v>500</v>
      </c>
      <c r="G48" s="9">
        <f t="shared" ref="G48:H48" si="57">0</f>
        <v>0</v>
      </c>
      <c r="H48" s="9">
        <f t="shared" si="57"/>
        <v>0</v>
      </c>
      <c r="I48" s="9">
        <f>500</f>
        <v>500</v>
      </c>
      <c r="J48" s="9">
        <f t="shared" ref="J48:L48" si="58">0</f>
        <v>0</v>
      </c>
      <c r="K48" s="9">
        <f t="shared" si="58"/>
        <v>0</v>
      </c>
      <c r="L48" s="9">
        <f t="shared" si="58"/>
        <v>0</v>
      </c>
    </row>
    <row r="49" ht="15.75" hidden="1" customHeight="1">
      <c r="A49" s="7" t="s">
        <v>56</v>
      </c>
      <c r="B49" s="9">
        <f t="shared" si="40"/>
        <v>0</v>
      </c>
      <c r="C49" s="9">
        <f t="shared" si="48"/>
        <v>0</v>
      </c>
      <c r="D49" s="9">
        <f t="shared" ref="D49:D52" si="61">0</f>
        <v>0</v>
      </c>
      <c r="E49" s="9">
        <f>2798.4</f>
        <v>2798.4</v>
      </c>
      <c r="F49" s="9">
        <f t="shared" ref="F49:F51" si="62">0</f>
        <v>0</v>
      </c>
      <c r="G49" s="9">
        <f>4200</f>
        <v>4200</v>
      </c>
      <c r="H49" s="9">
        <f t="shared" ref="H49:I49" si="59">0</f>
        <v>0</v>
      </c>
      <c r="I49" s="9">
        <f t="shared" si="59"/>
        <v>0</v>
      </c>
      <c r="J49" s="9">
        <f>6246</f>
        <v>6246</v>
      </c>
      <c r="K49" s="9">
        <f t="shared" ref="K49:L49" si="60">0</f>
        <v>0</v>
      </c>
      <c r="L49" s="9">
        <f t="shared" si="60"/>
        <v>0</v>
      </c>
    </row>
    <row r="50" ht="15.75" hidden="1" customHeight="1">
      <c r="A50" s="7" t="s">
        <v>57</v>
      </c>
      <c r="B50" s="9">
        <f t="shared" si="40"/>
        <v>0</v>
      </c>
      <c r="C50" s="9">
        <f t="shared" si="48"/>
        <v>0</v>
      </c>
      <c r="D50" s="9">
        <f t="shared" si="61"/>
        <v>0</v>
      </c>
      <c r="E50" s="9">
        <f>300</f>
        <v>300</v>
      </c>
      <c r="F50" s="9">
        <f t="shared" si="62"/>
        <v>0</v>
      </c>
      <c r="G50" s="9">
        <f t="shared" ref="G50:G51" si="64">0</f>
        <v>0</v>
      </c>
      <c r="H50" s="9">
        <f>250</f>
        <v>250</v>
      </c>
      <c r="I50" s="9">
        <f>100</f>
        <v>100</v>
      </c>
      <c r="J50" s="9">
        <f t="shared" ref="J50:L50" si="63">0</f>
        <v>0</v>
      </c>
      <c r="K50" s="9">
        <f t="shared" si="63"/>
        <v>0</v>
      </c>
      <c r="L50" s="9">
        <f t="shared" si="63"/>
        <v>0</v>
      </c>
    </row>
    <row r="51" ht="15.75" hidden="1" customHeight="1">
      <c r="A51" s="7" t="s">
        <v>38</v>
      </c>
      <c r="B51" s="9">
        <f t="shared" si="40"/>
        <v>0</v>
      </c>
      <c r="C51" s="9">
        <f t="shared" si="48"/>
        <v>0</v>
      </c>
      <c r="D51" s="9">
        <f t="shared" si="61"/>
        <v>0</v>
      </c>
      <c r="E51" s="9">
        <f>5904</f>
        <v>5904</v>
      </c>
      <c r="F51" s="9">
        <f t="shared" si="62"/>
        <v>0</v>
      </c>
      <c r="G51" s="9">
        <f t="shared" si="64"/>
        <v>0</v>
      </c>
      <c r="H51" s="9">
        <f>7080</f>
        <v>7080</v>
      </c>
      <c r="I51" s="9">
        <f>504</f>
        <v>504</v>
      </c>
      <c r="J51" s="9">
        <f t="shared" ref="J51:L51" si="65">0</f>
        <v>0</v>
      </c>
      <c r="K51" s="9">
        <f t="shared" si="65"/>
        <v>0</v>
      </c>
      <c r="L51" s="9">
        <f t="shared" si="65"/>
        <v>0</v>
      </c>
    </row>
    <row r="52" ht="15.75" hidden="1" customHeight="1">
      <c r="A52" s="7" t="s">
        <v>19</v>
      </c>
      <c r="B52" s="9">
        <f t="shared" si="40"/>
        <v>0</v>
      </c>
      <c r="C52" s="9">
        <f t="shared" si="48"/>
        <v>0</v>
      </c>
      <c r="D52" s="9">
        <f t="shared" si="61"/>
        <v>0</v>
      </c>
      <c r="E52" s="9">
        <f t="shared" ref="E52:F52" si="66">0</f>
        <v>0</v>
      </c>
      <c r="F52" s="9">
        <f t="shared" si="66"/>
        <v>0</v>
      </c>
      <c r="G52" s="9">
        <f>100000</f>
        <v>100000</v>
      </c>
      <c r="H52" s="9">
        <f t="shared" ref="H52:I52" si="67">0</f>
        <v>0</v>
      </c>
      <c r="I52" s="9">
        <f t="shared" si="67"/>
        <v>0</v>
      </c>
      <c r="J52" s="9">
        <f>100000</f>
        <v>100000</v>
      </c>
      <c r="K52" s="9">
        <f>35000</f>
        <v>35000</v>
      </c>
      <c r="L52" s="9">
        <f t="shared" ref="L52:L53" si="68">0</f>
        <v>0</v>
      </c>
    </row>
    <row r="53" ht="15.75" hidden="1" customHeight="1">
      <c r="A53" s="7" t="s">
        <v>39</v>
      </c>
      <c r="B53" s="9">
        <f t="shared" si="40"/>
        <v>0</v>
      </c>
      <c r="C53" s="9">
        <f>16000</f>
        <v>16000</v>
      </c>
      <c r="D53" s="9">
        <f>9073</f>
        <v>9073</v>
      </c>
      <c r="E53" s="9">
        <f>17490</f>
        <v>17490</v>
      </c>
      <c r="F53" s="9">
        <f>4000</f>
        <v>4000</v>
      </c>
      <c r="G53" s="9">
        <f>32200</f>
        <v>32200</v>
      </c>
      <c r="H53" s="9">
        <f>27500</f>
        <v>27500</v>
      </c>
      <c r="I53" s="9">
        <f>17500</f>
        <v>17500</v>
      </c>
      <c r="J53" s="9">
        <f>49414.6</f>
        <v>49414.6</v>
      </c>
      <c r="K53" s="9">
        <f>3400</f>
        <v>3400</v>
      </c>
      <c r="L53" s="9">
        <f t="shared" si="68"/>
        <v>0</v>
      </c>
    </row>
    <row r="54" ht="15.75" hidden="1" customHeight="1">
      <c r="A54" s="7" t="s">
        <v>58</v>
      </c>
      <c r="B54" s="9">
        <f>83556</f>
        <v>83556</v>
      </c>
      <c r="C54" s="9">
        <f>49200</f>
        <v>49200</v>
      </c>
      <c r="D54" s="9">
        <f>17500</f>
        <v>17500</v>
      </c>
      <c r="E54" s="9">
        <f t="shared" ref="E54:F54" si="69">0</f>
        <v>0</v>
      </c>
      <c r="F54" s="9">
        <f t="shared" si="69"/>
        <v>0</v>
      </c>
      <c r="G54" s="9">
        <f>2500</f>
        <v>2500</v>
      </c>
      <c r="H54" s="9">
        <f>0</f>
        <v>0</v>
      </c>
      <c r="I54" s="9">
        <f>1000</f>
        <v>1000</v>
      </c>
      <c r="J54" s="9">
        <f>44356</f>
        <v>44356</v>
      </c>
      <c r="K54" s="9">
        <f t="shared" ref="K54:L54" si="70">0</f>
        <v>0</v>
      </c>
      <c r="L54" s="9">
        <f t="shared" si="70"/>
        <v>0</v>
      </c>
    </row>
    <row r="55" ht="15.75" customHeight="1">
      <c r="A55" s="7" t="s">
        <v>59</v>
      </c>
      <c r="B55" s="10">
        <f t="shared" ref="B55:L55" si="71">((((((((((((((((((((B34)+(B35))+(B36))+(B37))+(B38))+(B39))+(B40))+(B41))+(B42))+(B43))+(B44))+(B45))+(B46))+(B47))+(B48))+(B49))+(B50))+(B51))+(B52))+(B53))+(B54)</f>
        <v>125392</v>
      </c>
      <c r="C55" s="10">
        <f t="shared" si="71"/>
        <v>69320</v>
      </c>
      <c r="D55" s="10">
        <f t="shared" si="71"/>
        <v>31532</v>
      </c>
      <c r="E55" s="10">
        <f t="shared" si="71"/>
        <v>176748.4</v>
      </c>
      <c r="F55" s="10">
        <f t="shared" si="71"/>
        <v>126806</v>
      </c>
      <c r="G55" s="10">
        <f t="shared" si="71"/>
        <v>211390</v>
      </c>
      <c r="H55" s="10">
        <f t="shared" si="71"/>
        <v>257807.9</v>
      </c>
      <c r="I55" s="10">
        <f t="shared" si="71"/>
        <v>55423.25</v>
      </c>
      <c r="J55" s="10">
        <f t="shared" si="71"/>
        <v>497446.6</v>
      </c>
      <c r="K55" s="10">
        <f t="shared" si="71"/>
        <v>49950</v>
      </c>
      <c r="L55" s="10">
        <f t="shared" si="71"/>
        <v>0</v>
      </c>
    </row>
    <row r="56" ht="15.75" hidden="1" customHeight="1">
      <c r="A56" s="7" t="s">
        <v>60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ht="15.75" hidden="1" customHeight="1">
      <c r="A57" s="7" t="s">
        <v>61</v>
      </c>
      <c r="B57" s="9">
        <f>6825</f>
        <v>6825</v>
      </c>
      <c r="C57" s="9">
        <f t="shared" ref="C57:H57" si="72">0</f>
        <v>0</v>
      </c>
      <c r="D57" s="9">
        <f t="shared" si="72"/>
        <v>0</v>
      </c>
      <c r="E57" s="9">
        <f t="shared" si="72"/>
        <v>0</v>
      </c>
      <c r="F57" s="9">
        <f t="shared" si="72"/>
        <v>0</v>
      </c>
      <c r="G57" s="9">
        <f t="shared" si="72"/>
        <v>0</v>
      </c>
      <c r="H57" s="9">
        <f t="shared" si="72"/>
        <v>0</v>
      </c>
      <c r="I57" s="9">
        <f>267.6</f>
        <v>267.6</v>
      </c>
      <c r="J57" s="9">
        <f>0</f>
        <v>0</v>
      </c>
      <c r="K57" s="9">
        <f t="shared" ref="K57:L57" si="73">709.26</f>
        <v>709.26</v>
      </c>
      <c r="L57" s="9">
        <f t="shared" si="73"/>
        <v>709.26</v>
      </c>
    </row>
    <row r="58" ht="15.75" hidden="1" customHeight="1">
      <c r="A58" s="7" t="s">
        <v>62</v>
      </c>
      <c r="B58" s="9">
        <f>153.07</f>
        <v>153.07</v>
      </c>
      <c r="C58" s="9">
        <f>284.7</f>
        <v>284.7</v>
      </c>
      <c r="D58" s="9">
        <f>508.9</f>
        <v>508.9</v>
      </c>
      <c r="E58" s="9">
        <f>152.3</f>
        <v>152.3</v>
      </c>
      <c r="F58" s="9">
        <f>165.19</f>
        <v>165.19</v>
      </c>
      <c r="G58" s="9">
        <f>388.94</f>
        <v>388.94</v>
      </c>
      <c r="H58" s="9">
        <f>324.83</f>
        <v>324.83</v>
      </c>
      <c r="I58" s="9">
        <f>215.5</f>
        <v>215.5</v>
      </c>
      <c r="J58" s="9">
        <f>271.29</f>
        <v>271.29</v>
      </c>
      <c r="K58" s="9">
        <f t="shared" ref="K58:L58" si="74">284.74</f>
        <v>284.74</v>
      </c>
      <c r="L58" s="9">
        <f t="shared" si="74"/>
        <v>284.74</v>
      </c>
    </row>
    <row r="59" ht="15.75" hidden="1" customHeight="1">
      <c r="A59" s="7" t="s">
        <v>63</v>
      </c>
      <c r="B59" s="9">
        <f t="shared" ref="B59:G59" si="75">0</f>
        <v>0</v>
      </c>
      <c r="C59" s="9">
        <f t="shared" si="75"/>
        <v>0</v>
      </c>
      <c r="D59" s="9">
        <f t="shared" si="75"/>
        <v>0</v>
      </c>
      <c r="E59" s="9">
        <f t="shared" si="75"/>
        <v>0</v>
      </c>
      <c r="F59" s="9">
        <f t="shared" si="75"/>
        <v>0</v>
      </c>
      <c r="G59" s="9">
        <f t="shared" si="75"/>
        <v>0</v>
      </c>
      <c r="H59" s="9">
        <f>28.25</f>
        <v>28.25</v>
      </c>
      <c r="I59" s="9">
        <f>0</f>
        <v>0</v>
      </c>
      <c r="J59" s="9">
        <f>109.57</f>
        <v>109.57</v>
      </c>
      <c r="K59" s="9">
        <f t="shared" ref="K59:L59" si="76">33.64</f>
        <v>33.64</v>
      </c>
      <c r="L59" s="9">
        <f t="shared" si="76"/>
        <v>33.64</v>
      </c>
    </row>
    <row r="60" ht="15.75" hidden="1" customHeight="1">
      <c r="A60" s="7" t="s">
        <v>64</v>
      </c>
      <c r="B60" s="9">
        <f t="shared" ref="B60:L60" si="77">2083.33</f>
        <v>2083.33</v>
      </c>
      <c r="C60" s="9">
        <f t="shared" si="77"/>
        <v>2083.33</v>
      </c>
      <c r="D60" s="9">
        <f t="shared" si="77"/>
        <v>2083.33</v>
      </c>
      <c r="E60" s="9">
        <f t="shared" si="77"/>
        <v>2083.33</v>
      </c>
      <c r="F60" s="9">
        <f t="shared" si="77"/>
        <v>2083.33</v>
      </c>
      <c r="G60" s="9">
        <f t="shared" si="77"/>
        <v>2083.33</v>
      </c>
      <c r="H60" s="9">
        <f t="shared" si="77"/>
        <v>2083.33</v>
      </c>
      <c r="I60" s="9">
        <f t="shared" si="77"/>
        <v>2083.33</v>
      </c>
      <c r="J60" s="9">
        <f t="shared" si="77"/>
        <v>2083.33</v>
      </c>
      <c r="K60" s="9">
        <f t="shared" si="77"/>
        <v>2083.33</v>
      </c>
      <c r="L60" s="9">
        <f t="shared" si="77"/>
        <v>2083.33</v>
      </c>
    </row>
    <row r="61" ht="15.75" hidden="1" customHeight="1">
      <c r="A61" s="7" t="s">
        <v>65</v>
      </c>
      <c r="B61" s="9">
        <f>8159.96</f>
        <v>8159.96</v>
      </c>
      <c r="C61" s="9">
        <f>2829.76</f>
        <v>2829.76</v>
      </c>
      <c r="D61" s="9">
        <f>2969.84</f>
        <v>2969.84</v>
      </c>
      <c r="E61" s="9">
        <f>2044.27</f>
        <v>2044.27</v>
      </c>
      <c r="F61" s="9">
        <f>2586.53</f>
        <v>2586.53</v>
      </c>
      <c r="G61" s="9">
        <f>1727.72</f>
        <v>1727.72</v>
      </c>
      <c r="H61" s="9">
        <f>1897.27</f>
        <v>1897.27</v>
      </c>
      <c r="I61" s="9">
        <f>3227.03</f>
        <v>3227.03</v>
      </c>
      <c r="J61" s="9">
        <f>6847.97</f>
        <v>6847.97</v>
      </c>
      <c r="K61" s="9">
        <f t="shared" ref="K61:L61" si="78">4139.51</f>
        <v>4139.51</v>
      </c>
      <c r="L61" s="9">
        <f t="shared" si="78"/>
        <v>4139.51</v>
      </c>
    </row>
    <row r="62" ht="15.75" hidden="1" customHeight="1">
      <c r="A62" s="7" t="s">
        <v>52</v>
      </c>
      <c r="B62" s="9">
        <f>10.94</f>
        <v>10.94</v>
      </c>
      <c r="C62" s="9">
        <f>70.26</f>
        <v>70.26</v>
      </c>
      <c r="D62" s="9">
        <f>13.42</f>
        <v>13.42</v>
      </c>
      <c r="E62" s="9">
        <f>148.56</f>
        <v>148.56</v>
      </c>
      <c r="F62" s="9">
        <f>0</f>
        <v>0</v>
      </c>
      <c r="G62" s="9">
        <f>43.71</f>
        <v>43.71</v>
      </c>
      <c r="H62" s="9">
        <f t="shared" ref="H62:I62" si="79">0</f>
        <v>0</v>
      </c>
      <c r="I62" s="9">
        <f t="shared" si="79"/>
        <v>0</v>
      </c>
      <c r="J62" s="9">
        <f>96.57</f>
        <v>96.57</v>
      </c>
      <c r="K62" s="9">
        <f t="shared" ref="K62:L62" si="80">77.07</f>
        <v>77.07</v>
      </c>
      <c r="L62" s="9">
        <f t="shared" si="80"/>
        <v>77.07</v>
      </c>
    </row>
    <row r="63" ht="15.75" hidden="1" customHeight="1">
      <c r="A63" s="7" t="s">
        <v>66</v>
      </c>
      <c r="B63" s="9">
        <f>808.14</f>
        <v>808.14</v>
      </c>
      <c r="C63" s="9">
        <f>806.05</f>
        <v>806.05</v>
      </c>
      <c r="D63" s="9">
        <f>836.23</f>
        <v>836.23</v>
      </c>
      <c r="E63" s="9">
        <f>1077.73</f>
        <v>1077.73</v>
      </c>
      <c r="F63" s="9">
        <f t="shared" ref="F63:G63" si="81">836.23</f>
        <v>836.23</v>
      </c>
      <c r="G63" s="9">
        <f t="shared" si="81"/>
        <v>836.23</v>
      </c>
      <c r="H63" s="9">
        <f t="shared" ref="H63:J63" si="82">835.98</f>
        <v>835.98</v>
      </c>
      <c r="I63" s="9">
        <f t="shared" si="82"/>
        <v>835.98</v>
      </c>
      <c r="J63" s="9">
        <f t="shared" si="82"/>
        <v>835.98</v>
      </c>
      <c r="K63" s="9">
        <f t="shared" ref="K63:L63" si="83">851.67</f>
        <v>851.67</v>
      </c>
      <c r="L63" s="9">
        <f t="shared" si="83"/>
        <v>851.67</v>
      </c>
    </row>
    <row r="64" ht="15.75" hidden="1" customHeight="1">
      <c r="A64" s="7" t="s">
        <v>67</v>
      </c>
      <c r="B64" s="9">
        <f t="shared" ref="B64:D64" si="84">401.63</f>
        <v>401.63</v>
      </c>
      <c r="C64" s="9">
        <f t="shared" si="84"/>
        <v>401.63</v>
      </c>
      <c r="D64" s="9">
        <f t="shared" si="84"/>
        <v>401.63</v>
      </c>
      <c r="E64" s="9">
        <f>0</f>
        <v>0</v>
      </c>
      <c r="F64" s="9">
        <f>803.25</f>
        <v>803.25</v>
      </c>
      <c r="G64" s="9">
        <f>401.63</f>
        <v>401.63</v>
      </c>
      <c r="H64" s="9">
        <f>1204.88</f>
        <v>1204.88</v>
      </c>
      <c r="I64" s="9">
        <f t="shared" ref="I64:J64" si="85">0</f>
        <v>0</v>
      </c>
      <c r="J64" s="9">
        <f t="shared" si="85"/>
        <v>0</v>
      </c>
      <c r="K64" s="9">
        <f t="shared" ref="K64:L64" si="86">401.63</f>
        <v>401.63</v>
      </c>
      <c r="L64" s="9">
        <f t="shared" si="86"/>
        <v>401.63</v>
      </c>
    </row>
    <row r="65" ht="15.75" hidden="1" customHeight="1">
      <c r="A65" s="7" t="s">
        <v>68</v>
      </c>
      <c r="B65" s="9">
        <f t="shared" ref="B65:H65" si="87">0</f>
        <v>0</v>
      </c>
      <c r="C65" s="9">
        <f t="shared" si="87"/>
        <v>0</v>
      </c>
      <c r="D65" s="9">
        <f t="shared" si="87"/>
        <v>0</v>
      </c>
      <c r="E65" s="9">
        <f t="shared" si="87"/>
        <v>0</v>
      </c>
      <c r="F65" s="9">
        <f t="shared" si="87"/>
        <v>0</v>
      </c>
      <c r="G65" s="9">
        <f t="shared" si="87"/>
        <v>0</v>
      </c>
      <c r="H65" s="9">
        <f t="shared" si="87"/>
        <v>0</v>
      </c>
      <c r="I65" s="9">
        <f>478.89</f>
        <v>478.89</v>
      </c>
      <c r="J65" s="9">
        <f>0</f>
        <v>0</v>
      </c>
      <c r="K65" s="9">
        <f t="shared" ref="K65:L65" si="88">47.89</f>
        <v>47.89</v>
      </c>
      <c r="L65" s="9">
        <f t="shared" si="88"/>
        <v>47.89</v>
      </c>
    </row>
    <row r="66" ht="15.75" hidden="1" customHeight="1">
      <c r="A66" s="7" t="s">
        <v>37</v>
      </c>
      <c r="B66" s="9">
        <f>0</f>
        <v>0</v>
      </c>
      <c r="C66" s="9">
        <f>284.11</f>
        <v>284.11</v>
      </c>
      <c r="D66" s="9">
        <f>4.67</f>
        <v>4.67</v>
      </c>
      <c r="E66" s="9">
        <f>0</f>
        <v>0</v>
      </c>
      <c r="F66" s="9">
        <f>119.6</f>
        <v>119.6</v>
      </c>
      <c r="G66" s="9">
        <f>48.34</f>
        <v>48.34</v>
      </c>
      <c r="H66" s="9">
        <f t="shared" ref="H66:J66" si="89">0</f>
        <v>0</v>
      </c>
      <c r="I66" s="9">
        <f t="shared" si="89"/>
        <v>0</v>
      </c>
      <c r="J66" s="9">
        <f t="shared" si="89"/>
        <v>0</v>
      </c>
      <c r="K66" s="9">
        <f t="shared" ref="K66:L66" si="90">45.67</f>
        <v>45.67</v>
      </c>
      <c r="L66" s="9">
        <f t="shared" si="90"/>
        <v>45.67</v>
      </c>
    </row>
    <row r="67" ht="15.75" hidden="1" customHeight="1">
      <c r="A67" s="7" t="s">
        <v>69</v>
      </c>
      <c r="B67" s="9">
        <f>6117.36</f>
        <v>6117.36</v>
      </c>
      <c r="C67" s="9">
        <f>15010.5</f>
        <v>15010.5</v>
      </c>
      <c r="D67" s="9">
        <f>8199.1</f>
        <v>8199.1</v>
      </c>
      <c r="E67" s="9">
        <f>3183.9</f>
        <v>3183.9</v>
      </c>
      <c r="F67" s="9">
        <f>14223.66</f>
        <v>14223.66</v>
      </c>
      <c r="G67" s="9">
        <f>9511.44</f>
        <v>9511.44</v>
      </c>
      <c r="H67" s="9">
        <f>2838.26</f>
        <v>2838.26</v>
      </c>
      <c r="I67" s="9">
        <f>12756.68</f>
        <v>12756.68</v>
      </c>
      <c r="J67" s="9">
        <f>7601.86</f>
        <v>7601.86</v>
      </c>
      <c r="K67" s="9">
        <f>5252.49</f>
        <v>5252.49</v>
      </c>
      <c r="L67" s="9">
        <f>15252.49</f>
        <v>15252.49</v>
      </c>
    </row>
    <row r="68" ht="15.75" hidden="1" customHeight="1">
      <c r="A68" s="7" t="s">
        <v>39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ht="15.75" hidden="1" customHeight="1">
      <c r="A69" s="7" t="s">
        <v>70</v>
      </c>
      <c r="B69" s="9">
        <f t="shared" ref="B69:C69" si="91">0</f>
        <v>0</v>
      </c>
      <c r="C69" s="9">
        <f t="shared" si="91"/>
        <v>0</v>
      </c>
      <c r="D69" s="9">
        <f>418.5</f>
        <v>418.5</v>
      </c>
      <c r="E69" s="9">
        <f t="shared" ref="E69:H69" si="92">0</f>
        <v>0</v>
      </c>
      <c r="F69" s="9">
        <f t="shared" si="92"/>
        <v>0</v>
      </c>
      <c r="G69" s="9">
        <f t="shared" si="92"/>
        <v>0</v>
      </c>
      <c r="H69" s="9">
        <f t="shared" si="92"/>
        <v>0</v>
      </c>
      <c r="I69" s="9">
        <f>6404.74</f>
        <v>6404.74</v>
      </c>
      <c r="J69" s="9">
        <f>40.82</f>
        <v>40.82</v>
      </c>
      <c r="K69" s="9">
        <f t="shared" ref="K69:L69" si="93">686.41</f>
        <v>686.41</v>
      </c>
      <c r="L69" s="9">
        <f t="shared" si="93"/>
        <v>686.41</v>
      </c>
    </row>
    <row r="70" ht="15.75" hidden="1" customHeight="1">
      <c r="A70" s="7" t="s">
        <v>71</v>
      </c>
      <c r="B70" s="9">
        <f>0</f>
        <v>0</v>
      </c>
      <c r="C70" s="9">
        <f>2692.6</f>
        <v>2692.6</v>
      </c>
      <c r="D70" s="9">
        <f>205.8</f>
        <v>205.8</v>
      </c>
      <c r="E70" s="9">
        <f>376.95</f>
        <v>376.95</v>
      </c>
      <c r="F70" s="9">
        <f>10783.83</f>
        <v>10783.83</v>
      </c>
      <c r="G70" s="9">
        <f>89.25</f>
        <v>89.25</v>
      </c>
      <c r="H70" s="9">
        <f>193.56</f>
        <v>193.56</v>
      </c>
      <c r="I70" s="9">
        <f>178.11</f>
        <v>178.11</v>
      </c>
      <c r="J70" s="9">
        <f>258.97</f>
        <v>258.97</v>
      </c>
      <c r="K70" s="9">
        <f t="shared" ref="K70:L70" si="94">1477.91</f>
        <v>1477.91</v>
      </c>
      <c r="L70" s="9">
        <f t="shared" si="94"/>
        <v>1477.91</v>
      </c>
    </row>
    <row r="71" ht="15.75" hidden="1" customHeight="1">
      <c r="A71" s="7" t="s">
        <v>72</v>
      </c>
      <c r="B71" s="10">
        <f t="shared" ref="B71:L71" si="95">((B68)+(B69))+(B70)</f>
        <v>0</v>
      </c>
      <c r="C71" s="10">
        <f t="shared" si="95"/>
        <v>2692.6</v>
      </c>
      <c r="D71" s="10">
        <f t="shared" si="95"/>
        <v>624.3</v>
      </c>
      <c r="E71" s="10">
        <f t="shared" si="95"/>
        <v>376.95</v>
      </c>
      <c r="F71" s="10">
        <f t="shared" si="95"/>
        <v>10783.83</v>
      </c>
      <c r="G71" s="10">
        <f t="shared" si="95"/>
        <v>89.25</v>
      </c>
      <c r="H71" s="10">
        <f t="shared" si="95"/>
        <v>193.56</v>
      </c>
      <c r="I71" s="10">
        <f t="shared" si="95"/>
        <v>6582.85</v>
      </c>
      <c r="J71" s="10">
        <f t="shared" si="95"/>
        <v>299.79</v>
      </c>
      <c r="K71" s="10">
        <f t="shared" si="95"/>
        <v>2164.32</v>
      </c>
      <c r="L71" s="10">
        <f t="shared" si="95"/>
        <v>2164.32</v>
      </c>
    </row>
    <row r="72" ht="15.75" customHeight="1">
      <c r="A72" s="7" t="s">
        <v>73</v>
      </c>
      <c r="B72" s="10">
        <f t="shared" ref="B72:L72" si="96">((((((((((((B56)+(B57))+(B58))+(B59))+(B60))+(B61))+(B62))+(B63))+(B64))+(B65))+(B66))+(B67))+(B71)</f>
        <v>24559.43</v>
      </c>
      <c r="C72" s="10">
        <f t="shared" si="96"/>
        <v>24462.94</v>
      </c>
      <c r="D72" s="10">
        <f t="shared" si="96"/>
        <v>15641.42</v>
      </c>
      <c r="E72" s="10">
        <f t="shared" si="96"/>
        <v>9067.04</v>
      </c>
      <c r="F72" s="10">
        <f t="shared" si="96"/>
        <v>31601.62</v>
      </c>
      <c r="G72" s="10">
        <f t="shared" si="96"/>
        <v>15130.59</v>
      </c>
      <c r="H72" s="10">
        <f t="shared" si="96"/>
        <v>9406.36</v>
      </c>
      <c r="I72" s="10">
        <f t="shared" si="96"/>
        <v>26447.86</v>
      </c>
      <c r="J72" s="10">
        <f t="shared" si="96"/>
        <v>18146.36</v>
      </c>
      <c r="K72" s="10">
        <f t="shared" si="96"/>
        <v>16091.22</v>
      </c>
      <c r="L72" s="10">
        <f t="shared" si="96"/>
        <v>26091.22</v>
      </c>
    </row>
    <row r="73" ht="15.75" hidden="1" customHeight="1">
      <c r="A73" s="7" t="s">
        <v>74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ht="15.75" hidden="1" customHeight="1">
      <c r="A74" s="7" t="s">
        <v>75</v>
      </c>
      <c r="B74" s="9">
        <f>9769.76</f>
        <v>9769.76</v>
      </c>
      <c r="C74" s="9">
        <f>2898.68</f>
        <v>2898.68</v>
      </c>
      <c r="D74" s="9">
        <f>4076.36</f>
        <v>4076.36</v>
      </c>
      <c r="E74" s="9">
        <f>1663.81</f>
        <v>1663.81</v>
      </c>
      <c r="F74" s="9">
        <f>850.97</f>
        <v>850.97</v>
      </c>
      <c r="G74" s="9">
        <f>2954.33</f>
        <v>2954.33</v>
      </c>
      <c r="H74" s="9">
        <f>945.82</f>
        <v>945.82</v>
      </c>
      <c r="I74" s="9">
        <f>2046.11</f>
        <v>2046.11</v>
      </c>
      <c r="J74" s="9">
        <f>1412.89</f>
        <v>1412.89</v>
      </c>
      <c r="K74" s="9">
        <f t="shared" ref="K74:L74" si="97">3320.68</f>
        <v>3320.68</v>
      </c>
      <c r="L74" s="9">
        <f t="shared" si="97"/>
        <v>3320.68</v>
      </c>
    </row>
    <row r="75" ht="15.75" hidden="1" customHeight="1">
      <c r="A75" s="7" t="s">
        <v>76</v>
      </c>
      <c r="B75" s="9">
        <f>138.87</f>
        <v>138.87</v>
      </c>
      <c r="C75" s="9">
        <f>3040.67</f>
        <v>3040.67</v>
      </c>
      <c r="D75" s="9">
        <f>3065.22</f>
        <v>3065.22</v>
      </c>
      <c r="E75" s="9">
        <f>7171.97</f>
        <v>7171.97</v>
      </c>
      <c r="F75" s="9">
        <f>4104.1</f>
        <v>4104.1</v>
      </c>
      <c r="G75" s="9">
        <f>1395.2</f>
        <v>1395.2</v>
      </c>
      <c r="H75" s="9">
        <f>13825.8</f>
        <v>13825.8</v>
      </c>
      <c r="I75" s="9">
        <f t="shared" ref="I75:J75" si="98">3351.06</f>
        <v>3351.06</v>
      </c>
      <c r="J75" s="9">
        <f t="shared" si="98"/>
        <v>3351.06</v>
      </c>
      <c r="K75" s="9">
        <f t="shared" ref="K75:L75" si="99">3944.4</f>
        <v>3944.4</v>
      </c>
      <c r="L75" s="9">
        <f t="shared" si="99"/>
        <v>3944.4</v>
      </c>
    </row>
    <row r="76" ht="15.75" hidden="1" customHeight="1">
      <c r="A76" s="7" t="s">
        <v>39</v>
      </c>
      <c r="B76" s="9">
        <f t="shared" ref="B76:H76" si="100">0</f>
        <v>0</v>
      </c>
      <c r="C76" s="9">
        <f t="shared" si="100"/>
        <v>0</v>
      </c>
      <c r="D76" s="9">
        <f t="shared" si="100"/>
        <v>0</v>
      </c>
      <c r="E76" s="9">
        <f t="shared" si="100"/>
        <v>0</v>
      </c>
      <c r="F76" s="9">
        <f t="shared" si="100"/>
        <v>0</v>
      </c>
      <c r="G76" s="9">
        <f t="shared" si="100"/>
        <v>0</v>
      </c>
      <c r="H76" s="9">
        <f t="shared" si="100"/>
        <v>0</v>
      </c>
      <c r="I76" s="9">
        <f>147.84</f>
        <v>147.84</v>
      </c>
      <c r="J76" s="9">
        <f>68.28</f>
        <v>68.28</v>
      </c>
      <c r="K76" s="9">
        <f t="shared" ref="K76:L76" si="101">21.61</f>
        <v>21.61</v>
      </c>
      <c r="L76" s="9">
        <f t="shared" si="101"/>
        <v>21.61</v>
      </c>
    </row>
    <row r="77" ht="15.75" customHeight="1">
      <c r="A77" s="7" t="s">
        <v>77</v>
      </c>
      <c r="B77" s="10">
        <f t="shared" ref="B77:L77" si="102">(((B73)+(B74))+(B75))+(B76)</f>
        <v>9908.63</v>
      </c>
      <c r="C77" s="10">
        <f t="shared" si="102"/>
        <v>5939.35</v>
      </c>
      <c r="D77" s="10">
        <f t="shared" si="102"/>
        <v>7141.58</v>
      </c>
      <c r="E77" s="10">
        <f t="shared" si="102"/>
        <v>8835.78</v>
      </c>
      <c r="F77" s="10">
        <f t="shared" si="102"/>
        <v>4955.07</v>
      </c>
      <c r="G77" s="10">
        <f t="shared" si="102"/>
        <v>4349.53</v>
      </c>
      <c r="H77" s="10">
        <f t="shared" si="102"/>
        <v>14771.62</v>
      </c>
      <c r="I77" s="10">
        <f t="shared" si="102"/>
        <v>5545.01</v>
      </c>
      <c r="J77" s="10">
        <f t="shared" si="102"/>
        <v>4832.23</v>
      </c>
      <c r="K77" s="10">
        <f t="shared" si="102"/>
        <v>7286.69</v>
      </c>
      <c r="L77" s="10">
        <f t="shared" si="102"/>
        <v>7286.69</v>
      </c>
    </row>
    <row r="78" ht="15.75" hidden="1" customHeight="1">
      <c r="A78" s="7" t="s">
        <v>78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ht="15.75" hidden="1" customHeight="1">
      <c r="A79" s="7" t="s">
        <v>79</v>
      </c>
      <c r="B79" s="9">
        <f t="shared" ref="B79:L79" si="103">13259.53</f>
        <v>13259.53</v>
      </c>
      <c r="C79" s="9">
        <f t="shared" si="103"/>
        <v>13259.53</v>
      </c>
      <c r="D79" s="9">
        <f t="shared" si="103"/>
        <v>13259.53</v>
      </c>
      <c r="E79" s="9">
        <f t="shared" si="103"/>
        <v>13259.53</v>
      </c>
      <c r="F79" s="9">
        <f t="shared" si="103"/>
        <v>13259.53</v>
      </c>
      <c r="G79" s="9">
        <f t="shared" si="103"/>
        <v>13259.53</v>
      </c>
      <c r="H79" s="9">
        <f t="shared" si="103"/>
        <v>13259.53</v>
      </c>
      <c r="I79" s="9">
        <f t="shared" si="103"/>
        <v>13259.53</v>
      </c>
      <c r="J79" s="9">
        <f t="shared" si="103"/>
        <v>13259.53</v>
      </c>
      <c r="K79" s="9">
        <f t="shared" si="103"/>
        <v>13259.53</v>
      </c>
      <c r="L79" s="9">
        <f t="shared" si="103"/>
        <v>13259.53</v>
      </c>
    </row>
    <row r="80" ht="15.75" hidden="1" customHeight="1">
      <c r="A80" s="7" t="s">
        <v>80</v>
      </c>
      <c r="B80" s="9">
        <f t="shared" ref="B80:L80" si="104">60133.91</f>
        <v>60133.91</v>
      </c>
      <c r="C80" s="9">
        <f t="shared" si="104"/>
        <v>60133.91</v>
      </c>
      <c r="D80" s="9">
        <f t="shared" si="104"/>
        <v>60133.91</v>
      </c>
      <c r="E80" s="9">
        <f t="shared" si="104"/>
        <v>60133.91</v>
      </c>
      <c r="F80" s="9">
        <f t="shared" si="104"/>
        <v>60133.91</v>
      </c>
      <c r="G80" s="9">
        <f t="shared" si="104"/>
        <v>60133.91</v>
      </c>
      <c r="H80" s="9">
        <f t="shared" si="104"/>
        <v>60133.91</v>
      </c>
      <c r="I80" s="9">
        <f t="shared" si="104"/>
        <v>60133.91</v>
      </c>
      <c r="J80" s="9">
        <f t="shared" si="104"/>
        <v>60133.91</v>
      </c>
      <c r="K80" s="9">
        <f t="shared" si="104"/>
        <v>60133.91</v>
      </c>
      <c r="L80" s="9">
        <f t="shared" si="104"/>
        <v>60133.91</v>
      </c>
    </row>
    <row r="81" ht="15.75" hidden="1" customHeight="1">
      <c r="A81" s="7" t="s">
        <v>81</v>
      </c>
      <c r="B81" s="9">
        <f>353.29</f>
        <v>353.29</v>
      </c>
      <c r="C81" s="9">
        <f>359.29</f>
        <v>359.29</v>
      </c>
      <c r="D81" s="9">
        <f>252.17</f>
        <v>252.17</v>
      </c>
      <c r="E81" s="9">
        <f>244.03</f>
        <v>244.03</v>
      </c>
      <c r="F81" s="9">
        <f>237.99</f>
        <v>237.99</v>
      </c>
      <c r="G81" s="9">
        <f t="shared" ref="G81:H81" si="105">244.03</f>
        <v>244.03</v>
      </c>
      <c r="H81" s="9">
        <f t="shared" si="105"/>
        <v>244.03</v>
      </c>
      <c r="I81" s="9">
        <f>237.99</f>
        <v>237.99</v>
      </c>
      <c r="J81" s="9">
        <f>244.03</f>
        <v>244.03</v>
      </c>
      <c r="K81" s="9">
        <f t="shared" ref="K81:L81" si="106">737.68</f>
        <v>737.68</v>
      </c>
      <c r="L81" s="9">
        <f t="shared" si="106"/>
        <v>737.68</v>
      </c>
    </row>
    <row r="82" ht="15.75" hidden="1" customHeight="1">
      <c r="A82" s="7" t="s">
        <v>82</v>
      </c>
      <c r="B82" s="9">
        <f t="shared" ref="B82:L82" si="107">4810.71</f>
        <v>4810.71</v>
      </c>
      <c r="C82" s="9">
        <f t="shared" si="107"/>
        <v>4810.71</v>
      </c>
      <c r="D82" s="9">
        <f t="shared" si="107"/>
        <v>4810.71</v>
      </c>
      <c r="E82" s="9">
        <f t="shared" si="107"/>
        <v>4810.71</v>
      </c>
      <c r="F82" s="9">
        <f t="shared" si="107"/>
        <v>4810.71</v>
      </c>
      <c r="G82" s="9">
        <f t="shared" si="107"/>
        <v>4810.71</v>
      </c>
      <c r="H82" s="9">
        <f t="shared" si="107"/>
        <v>4810.71</v>
      </c>
      <c r="I82" s="9">
        <f t="shared" si="107"/>
        <v>4810.71</v>
      </c>
      <c r="J82" s="9">
        <f t="shared" si="107"/>
        <v>4810.71</v>
      </c>
      <c r="K82" s="9">
        <f t="shared" si="107"/>
        <v>4810.71</v>
      </c>
      <c r="L82" s="9">
        <f t="shared" si="107"/>
        <v>4810.71</v>
      </c>
    </row>
    <row r="83" ht="15.75" hidden="1" customHeight="1">
      <c r="A83" s="7" t="s">
        <v>83</v>
      </c>
      <c r="B83" s="9">
        <f t="shared" ref="B83:C83" si="108">2616.56</f>
        <v>2616.56</v>
      </c>
      <c r="C83" s="9">
        <f t="shared" si="108"/>
        <v>2616.56</v>
      </c>
      <c r="D83" s="9">
        <f>2783.06</f>
        <v>2783.06</v>
      </c>
      <c r="E83" s="9">
        <f>4393.54</f>
        <v>4393.54</v>
      </c>
      <c r="F83" s="9">
        <f>2213.01</f>
        <v>2213.01</v>
      </c>
      <c r="G83" s="9">
        <f t="shared" ref="G83:H83" si="109">2248.87</f>
        <v>2248.87</v>
      </c>
      <c r="H83" s="9">
        <f t="shared" si="109"/>
        <v>2248.87</v>
      </c>
      <c r="I83" s="9">
        <f>2777.42</f>
        <v>2777.42</v>
      </c>
      <c r="J83" s="9">
        <f>2831.18</f>
        <v>2831.18</v>
      </c>
      <c r="K83" s="9">
        <f t="shared" ref="K83:L83" si="110">2026.63</f>
        <v>2026.63</v>
      </c>
      <c r="L83" s="9">
        <f t="shared" si="110"/>
        <v>2026.63</v>
      </c>
    </row>
    <row r="84" ht="15.75" hidden="1" customHeight="1">
      <c r="A84" s="7" t="s">
        <v>84</v>
      </c>
      <c r="B84" s="9">
        <f>342.95</f>
        <v>342.95</v>
      </c>
      <c r="C84" s="9">
        <f>340.21</f>
        <v>340.21</v>
      </c>
      <c r="D84" s="9">
        <f>325.01</f>
        <v>325.01</v>
      </c>
      <c r="E84" s="9">
        <f>320.26</f>
        <v>320.26</v>
      </c>
      <c r="F84" s="9">
        <f>317.38</f>
        <v>317.38</v>
      </c>
      <c r="G84" s="9">
        <f t="shared" ref="G84:H84" si="111">320.26</f>
        <v>320.26</v>
      </c>
      <c r="H84" s="9">
        <f t="shared" si="111"/>
        <v>320.26</v>
      </c>
      <c r="I84" s="9">
        <f>317.38</f>
        <v>317.38</v>
      </c>
      <c r="J84" s="9">
        <f>320.26</f>
        <v>320.26</v>
      </c>
      <c r="K84" s="9">
        <f t="shared" ref="K84:L84" si="112">327.71</f>
        <v>327.71</v>
      </c>
      <c r="L84" s="9">
        <f t="shared" si="112"/>
        <v>327.71</v>
      </c>
    </row>
    <row r="85" ht="15.75" customHeight="1">
      <c r="A85" s="7" t="s">
        <v>85</v>
      </c>
      <c r="B85" s="10">
        <f t="shared" ref="B85:L85" si="113">((((((B78)+(B79))+(B80))+(B81))+(B82))+(B83))+(B84)</f>
        <v>81516.95</v>
      </c>
      <c r="C85" s="10">
        <f t="shared" si="113"/>
        <v>81520.21</v>
      </c>
      <c r="D85" s="10">
        <f t="shared" si="113"/>
        <v>81564.39</v>
      </c>
      <c r="E85" s="10">
        <f t="shared" si="113"/>
        <v>83161.98</v>
      </c>
      <c r="F85" s="10">
        <f t="shared" si="113"/>
        <v>80972.53</v>
      </c>
      <c r="G85" s="10">
        <f t="shared" si="113"/>
        <v>81017.31</v>
      </c>
      <c r="H85" s="10">
        <f t="shared" si="113"/>
        <v>81017.31</v>
      </c>
      <c r="I85" s="10">
        <f t="shared" si="113"/>
        <v>81536.94</v>
      </c>
      <c r="J85" s="10">
        <f t="shared" si="113"/>
        <v>81599.62</v>
      </c>
      <c r="K85" s="10">
        <f t="shared" si="113"/>
        <v>81296.17</v>
      </c>
      <c r="L85" s="10">
        <f t="shared" si="113"/>
        <v>81296.17</v>
      </c>
    </row>
    <row r="86" ht="15.75" hidden="1" customHeight="1">
      <c r="A86" s="7" t="s">
        <v>86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ht="15.75" hidden="1" customHeight="1">
      <c r="A87" s="7" t="s">
        <v>87</v>
      </c>
      <c r="B87" s="9">
        <f t="shared" ref="B87:D87" si="114">5690</f>
        <v>5690</v>
      </c>
      <c r="C87" s="9">
        <f t="shared" si="114"/>
        <v>5690</v>
      </c>
      <c r="D87" s="9">
        <f t="shared" si="114"/>
        <v>5690</v>
      </c>
      <c r="E87" s="9">
        <f t="shared" ref="E87:G87" si="115">13740</f>
        <v>13740</v>
      </c>
      <c r="F87" s="9">
        <f t="shared" si="115"/>
        <v>13740</v>
      </c>
      <c r="G87" s="9">
        <f t="shared" si="115"/>
        <v>13740</v>
      </c>
      <c r="H87" s="9">
        <f t="shared" ref="H87:L87" si="116">5690</f>
        <v>5690</v>
      </c>
      <c r="I87" s="9">
        <f t="shared" si="116"/>
        <v>5690</v>
      </c>
      <c r="J87" s="9">
        <f t="shared" si="116"/>
        <v>5690</v>
      </c>
      <c r="K87" s="9">
        <f t="shared" si="116"/>
        <v>5690</v>
      </c>
      <c r="L87" s="9">
        <f t="shared" si="116"/>
        <v>5690</v>
      </c>
    </row>
    <row r="88" ht="15.75" hidden="1" customHeight="1">
      <c r="A88" s="7" t="s">
        <v>88</v>
      </c>
      <c r="B88" s="9">
        <f>24475.07</f>
        <v>24475.07</v>
      </c>
      <c r="C88" s="9">
        <f>5118.95</f>
        <v>5118.95</v>
      </c>
      <c r="D88" s="9">
        <f>610.68</f>
        <v>610.68</v>
      </c>
      <c r="E88" s="9">
        <f>404.32</f>
        <v>404.32</v>
      </c>
      <c r="F88" s="9">
        <f>631.05</f>
        <v>631.05</v>
      </c>
      <c r="G88" s="9">
        <f>202.65</f>
        <v>202.65</v>
      </c>
      <c r="H88" s="9">
        <f>3444.99</f>
        <v>3444.99</v>
      </c>
      <c r="I88" s="9">
        <f>7793.49</f>
        <v>7793.49</v>
      </c>
      <c r="J88" s="9">
        <f>4116.11</f>
        <v>4116.11</v>
      </c>
      <c r="K88" s="9">
        <f t="shared" ref="K88:L88" si="117">4825.27</f>
        <v>4825.27</v>
      </c>
      <c r="L88" s="9">
        <f t="shared" si="117"/>
        <v>4825.27</v>
      </c>
    </row>
    <row r="89" ht="15.75" customHeight="1">
      <c r="A89" s="7" t="s">
        <v>89</v>
      </c>
      <c r="B89" s="10">
        <f t="shared" ref="B89:L89" si="118">((B86)+(B87))+(B88)</f>
        <v>30165.07</v>
      </c>
      <c r="C89" s="10">
        <f t="shared" si="118"/>
        <v>10808.95</v>
      </c>
      <c r="D89" s="10">
        <f t="shared" si="118"/>
        <v>6300.68</v>
      </c>
      <c r="E89" s="10">
        <f t="shared" si="118"/>
        <v>14144.32</v>
      </c>
      <c r="F89" s="10">
        <f t="shared" si="118"/>
        <v>14371.05</v>
      </c>
      <c r="G89" s="10">
        <f t="shared" si="118"/>
        <v>13942.65</v>
      </c>
      <c r="H89" s="10">
        <f t="shared" si="118"/>
        <v>9134.99</v>
      </c>
      <c r="I89" s="10">
        <f t="shared" si="118"/>
        <v>13483.49</v>
      </c>
      <c r="J89" s="10">
        <f t="shared" si="118"/>
        <v>9806.11</v>
      </c>
      <c r="K89" s="10">
        <f t="shared" si="118"/>
        <v>10515.27</v>
      </c>
      <c r="L89" s="10">
        <f t="shared" si="118"/>
        <v>10515.27</v>
      </c>
    </row>
    <row r="90" ht="15.75" hidden="1" customHeight="1">
      <c r="A90" s="7" t="s">
        <v>90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ht="15.75" hidden="1" customHeight="1">
      <c r="A91" s="7" t="s">
        <v>91</v>
      </c>
      <c r="B91" s="9">
        <f>31430.54</f>
        <v>31430.54</v>
      </c>
      <c r="C91" s="9">
        <f>301.85</f>
        <v>301.85</v>
      </c>
      <c r="D91" s="9">
        <f>542.93</f>
        <v>542.93</v>
      </c>
      <c r="E91" s="9">
        <f>12819.57</f>
        <v>12819.57</v>
      </c>
      <c r="F91" s="9">
        <f>0</f>
        <v>0</v>
      </c>
      <c r="G91" s="9">
        <f>3525.6</f>
        <v>3525.6</v>
      </c>
      <c r="H91" s="9">
        <f>17511.02</f>
        <v>17511.02</v>
      </c>
      <c r="I91" s="9">
        <f>218.83</f>
        <v>218.83</v>
      </c>
      <c r="J91" s="9">
        <f>1546.74</f>
        <v>1546.74</v>
      </c>
      <c r="K91" s="9">
        <f t="shared" ref="K91:L91" si="119">6789.71</f>
        <v>6789.71</v>
      </c>
      <c r="L91" s="9">
        <f t="shared" si="119"/>
        <v>6789.71</v>
      </c>
    </row>
    <row r="92" ht="15.75" hidden="1" customHeight="1">
      <c r="A92" s="7" t="s">
        <v>39</v>
      </c>
      <c r="B92" s="9">
        <f t="shared" ref="B92:H92" si="120">0</f>
        <v>0</v>
      </c>
      <c r="C92" s="9">
        <f t="shared" si="120"/>
        <v>0</v>
      </c>
      <c r="D92" s="9">
        <f t="shared" si="120"/>
        <v>0</v>
      </c>
      <c r="E92" s="9">
        <f t="shared" si="120"/>
        <v>0</v>
      </c>
      <c r="F92" s="9">
        <f t="shared" si="120"/>
        <v>0</v>
      </c>
      <c r="G92" s="9">
        <f t="shared" si="120"/>
        <v>0</v>
      </c>
      <c r="H92" s="9">
        <f t="shared" si="120"/>
        <v>0</v>
      </c>
      <c r="I92" s="9">
        <f>7184.37</f>
        <v>7184.37</v>
      </c>
      <c r="J92" s="9">
        <f>0</f>
        <v>0</v>
      </c>
      <c r="K92" s="9">
        <f t="shared" ref="K92:L92" si="121">718.44</f>
        <v>718.44</v>
      </c>
      <c r="L92" s="9">
        <f t="shared" si="121"/>
        <v>718.44</v>
      </c>
    </row>
    <row r="93" ht="15.75" customHeight="1">
      <c r="A93" s="7" t="s">
        <v>92</v>
      </c>
      <c r="B93" s="10">
        <f t="shared" ref="B93:L93" si="122">((B90)+(B91))+(B92)</f>
        <v>31430.54</v>
      </c>
      <c r="C93" s="10">
        <f t="shared" si="122"/>
        <v>301.85</v>
      </c>
      <c r="D93" s="10">
        <f t="shared" si="122"/>
        <v>542.93</v>
      </c>
      <c r="E93" s="10">
        <f t="shared" si="122"/>
        <v>12819.57</v>
      </c>
      <c r="F93" s="10">
        <f t="shared" si="122"/>
        <v>0</v>
      </c>
      <c r="G93" s="10">
        <f t="shared" si="122"/>
        <v>3525.6</v>
      </c>
      <c r="H93" s="10">
        <f t="shared" si="122"/>
        <v>17511.02</v>
      </c>
      <c r="I93" s="10">
        <f t="shared" si="122"/>
        <v>7403.2</v>
      </c>
      <c r="J93" s="10">
        <f t="shared" si="122"/>
        <v>1546.74</v>
      </c>
      <c r="K93" s="10">
        <f t="shared" si="122"/>
        <v>7508.15</v>
      </c>
      <c r="L93" s="10">
        <f t="shared" si="122"/>
        <v>7508.15</v>
      </c>
    </row>
    <row r="94" ht="15.75" customHeight="1">
      <c r="A94" s="7" t="s">
        <v>93</v>
      </c>
      <c r="B94" s="10">
        <f t="shared" ref="B94:L94" si="123">((((((B33)+(B55))+(B72))+(B77))+(B85))+(B89))+(B93)</f>
        <v>304148.98</v>
      </c>
      <c r="C94" s="10">
        <f t="shared" si="123"/>
        <v>202047.31</v>
      </c>
      <c r="D94" s="10">
        <f t="shared" si="123"/>
        <v>144155.55</v>
      </c>
      <c r="E94" s="10">
        <f t="shared" si="123"/>
        <v>311224.71</v>
      </c>
      <c r="F94" s="10">
        <f t="shared" si="123"/>
        <v>259555.79</v>
      </c>
      <c r="G94" s="10">
        <f t="shared" si="123"/>
        <v>330580.53</v>
      </c>
      <c r="H94" s="10">
        <f t="shared" si="123"/>
        <v>397290.16</v>
      </c>
      <c r="I94" s="10">
        <f t="shared" si="123"/>
        <v>190238.75</v>
      </c>
      <c r="J94" s="10">
        <f t="shared" si="123"/>
        <v>613977.37</v>
      </c>
      <c r="K94" s="10">
        <f t="shared" si="123"/>
        <v>175593.95</v>
      </c>
      <c r="L94" s="10">
        <f t="shared" si="123"/>
        <v>135643.95</v>
      </c>
    </row>
    <row r="95" ht="15.75" customHeight="1">
      <c r="A95" s="7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ht="15.75" customHeight="1">
      <c r="A96" s="7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ht="15.75" customHeight="1">
      <c r="A97" s="7" t="s">
        <v>94</v>
      </c>
      <c r="B97" s="10">
        <f t="shared" ref="B97:L97" si="124">(B26)-(B94)</f>
        <v>-130846.36</v>
      </c>
      <c r="C97" s="10">
        <f t="shared" si="124"/>
        <v>-65851.71</v>
      </c>
      <c r="D97" s="10">
        <f t="shared" si="124"/>
        <v>3713.51</v>
      </c>
      <c r="E97" s="10">
        <f t="shared" si="124"/>
        <v>-118159.01</v>
      </c>
      <c r="F97" s="10">
        <f t="shared" si="124"/>
        <v>23341.03</v>
      </c>
      <c r="G97" s="10">
        <f t="shared" si="124"/>
        <v>441543.21</v>
      </c>
      <c r="H97" s="10">
        <f t="shared" si="124"/>
        <v>47329.49</v>
      </c>
      <c r="I97" s="10">
        <f t="shared" si="124"/>
        <v>49602.77</v>
      </c>
      <c r="J97" s="10">
        <f t="shared" si="124"/>
        <v>181830.33</v>
      </c>
      <c r="K97" s="10">
        <f t="shared" si="124"/>
        <v>-30623.83</v>
      </c>
      <c r="L97" s="10">
        <f t="shared" si="124"/>
        <v>-60433.83</v>
      </c>
    </row>
    <row r="98" ht="15.75" customHeight="1">
      <c r="A98" s="7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ht="15.75" customHeigh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ht="15.75" customHeight="1">
      <c r="A100" s="7" t="s">
        <v>95</v>
      </c>
      <c r="B100" s="11">
        <f t="shared" ref="B100:L100" si="125">B6+B97</f>
        <v>1833585.73</v>
      </c>
      <c r="C100" s="11">
        <f t="shared" si="125"/>
        <v>1767734.02</v>
      </c>
      <c r="D100" s="11">
        <f t="shared" si="125"/>
        <v>1771447.53</v>
      </c>
      <c r="E100" s="11">
        <f t="shared" si="125"/>
        <v>1653288.52</v>
      </c>
      <c r="F100" s="11">
        <f t="shared" si="125"/>
        <v>1676629.55</v>
      </c>
      <c r="G100" s="11">
        <f t="shared" si="125"/>
        <v>2118172.76</v>
      </c>
      <c r="H100" s="11">
        <f t="shared" si="125"/>
        <v>2165502.25</v>
      </c>
      <c r="I100" s="11">
        <f t="shared" si="125"/>
        <v>2215105.02</v>
      </c>
      <c r="J100" s="11">
        <f t="shared" si="125"/>
        <v>2396935.35</v>
      </c>
      <c r="K100" s="11">
        <f t="shared" si="125"/>
        <v>2366311.52</v>
      </c>
      <c r="L100" s="11">
        <f t="shared" si="125"/>
        <v>2305877.69</v>
      </c>
    </row>
    <row r="101" ht="15.75" customHeight="1"/>
    <row r="102" ht="15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L1"/>
    <mergeCell ref="A2:L2"/>
    <mergeCell ref="A3:L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2024-03-12T03:55:39Z</dcterms:created>
  <dc:creator>Apache POI</dc:creator>
</cp:coreProperties>
</file>