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Y24 Budget" sheetId="1" r:id="rId4"/>
    <sheet state="visible" name="FY23 Actuals &amp; Projections" sheetId="2" r:id="rId5"/>
    <sheet state="visible" name="Career Fair " sheetId="3" r:id="rId6"/>
    <sheet state="visible" name="Appsec Lisbon " sheetId="4" r:id="rId7"/>
    <sheet state="visible" name="Appsec San Francisco " sheetId="5" r:id="rId8"/>
    <sheet state="visible" name="Appsec Singapore" sheetId="6" r:id="rId9"/>
    <sheet state="visible" name="Project Summit " sheetId="7" r:id="rId10"/>
  </sheets>
  <definedNames/>
  <calcPr/>
  <extLst>
    <ext uri="GoogleSheetsCustomDataVersion2">
      <go:sheetsCustomData xmlns:go="http://customooxmlschemas.google.com/" r:id="rId11" roundtripDataChecksum="Ft/S7/owEXztk11v/3sJrszjvtcYk3jnhkO9/HLBjkg="/>
    </ext>
  </extLst>
</workbook>
</file>

<file path=xl/sharedStrings.xml><?xml version="1.0" encoding="utf-8"?>
<sst xmlns="http://schemas.openxmlformats.org/spreadsheetml/2006/main" count="747" uniqueCount="149">
  <si>
    <t>OWASP Foundation, Inc.</t>
  </si>
  <si>
    <t xml:space="preserve">FY24 Budget </t>
  </si>
  <si>
    <t>January - December, 2023</t>
  </si>
  <si>
    <t xml:space="preserve">Actuals </t>
  </si>
  <si>
    <t xml:space="preserve">FY 2023 Budget </t>
  </si>
  <si>
    <t>Jan 2023</t>
  </si>
  <si>
    <t>Feb 2023</t>
  </si>
  <si>
    <t>Mar 2023</t>
  </si>
  <si>
    <t>Apr 2023</t>
  </si>
  <si>
    <t>May 2023</t>
  </si>
  <si>
    <t>Jun 2023</t>
  </si>
  <si>
    <t>Jul 2023</t>
  </si>
  <si>
    <t>Aug 2023</t>
  </si>
  <si>
    <t>Sep 2023</t>
  </si>
  <si>
    <t>Oct 2023</t>
  </si>
  <si>
    <t>Total</t>
  </si>
  <si>
    <t xml:space="preserve">Notes </t>
  </si>
  <si>
    <t>Income</t>
  </si>
  <si>
    <t xml:space="preserve">   Conference Income</t>
  </si>
  <si>
    <t xml:space="preserve">      Registrations</t>
  </si>
  <si>
    <t>Will auto-fill  detail tabs</t>
  </si>
  <si>
    <t xml:space="preserve">      Sponsorships</t>
  </si>
  <si>
    <t xml:space="preserve">      Training</t>
  </si>
  <si>
    <t xml:space="preserve">   Total Conference Income</t>
  </si>
  <si>
    <t xml:space="preserve">   Donations</t>
  </si>
  <si>
    <t xml:space="preserve">      General Donations</t>
  </si>
  <si>
    <t>2023 actuals + 5%</t>
  </si>
  <si>
    <t xml:space="preserve">      Fundraising</t>
  </si>
  <si>
    <t xml:space="preserve">      Local Chapter</t>
  </si>
  <si>
    <t xml:space="preserve">      Projects</t>
  </si>
  <si>
    <t xml:space="preserve">   Total Donations</t>
  </si>
  <si>
    <t xml:space="preserve">   Membership Income</t>
  </si>
  <si>
    <t xml:space="preserve">      Corporate</t>
  </si>
  <si>
    <t xml:space="preserve">Per Andrew </t>
  </si>
  <si>
    <t xml:space="preserve">   Grant Income</t>
  </si>
  <si>
    <t xml:space="preserve">      Individual</t>
  </si>
  <si>
    <t xml:space="preserve">   Total Membership Income</t>
  </si>
  <si>
    <t xml:space="preserve">   Miscellaneous Income</t>
  </si>
  <si>
    <t xml:space="preserve">   Uncategorized Income</t>
  </si>
  <si>
    <t xml:space="preserve">na </t>
  </si>
  <si>
    <t xml:space="preserve">      Lifetime Membership</t>
  </si>
  <si>
    <t>Total Income</t>
  </si>
  <si>
    <t>Gross Profit</t>
  </si>
  <si>
    <t>Expenses</t>
  </si>
  <si>
    <t xml:space="preserve">   Project Income</t>
  </si>
  <si>
    <t xml:space="preserve">   Community Outreach</t>
  </si>
  <si>
    <t xml:space="preserve">      Outreach</t>
  </si>
  <si>
    <t xml:space="preserve">      Shipping &amp; Postage</t>
  </si>
  <si>
    <t xml:space="preserve">      Swag</t>
  </si>
  <si>
    <t xml:space="preserve">      Travel</t>
  </si>
  <si>
    <t xml:space="preserve">   Total Community Outreach</t>
  </si>
  <si>
    <t xml:space="preserve">   Conference Expenses</t>
  </si>
  <si>
    <t xml:space="preserve">      Audio &amp; Video</t>
  </si>
  <si>
    <t xml:space="preserve">      Conference Expenses</t>
  </si>
  <si>
    <t xml:space="preserve">      Copying &amp; Printing</t>
  </si>
  <si>
    <t xml:space="preserve">      Fees - Registration</t>
  </si>
  <si>
    <t xml:space="preserve">      Food &amp; Beverages</t>
  </si>
  <si>
    <t xml:space="preserve">      Graphic Design</t>
  </si>
  <si>
    <t xml:space="preserve">      Insurance</t>
  </si>
  <si>
    <t xml:space="preserve">      Lead Scanners, Lanyards, &amp; Badges</t>
  </si>
  <si>
    <t xml:space="preserve">      Logistics Freight</t>
  </si>
  <si>
    <t xml:space="preserve">      Marketing</t>
  </si>
  <si>
    <t xml:space="preserve">      Miscellaneous</t>
  </si>
  <si>
    <t xml:space="preserve">      Office Supplies &amp; Equipment</t>
  </si>
  <si>
    <t xml:space="preserve">      Photography</t>
  </si>
  <si>
    <t xml:space="preserve">      Postage &amp; Shipping</t>
  </si>
  <si>
    <t xml:space="preserve">      Software</t>
  </si>
  <si>
    <t xml:space="preserve">      Speakers</t>
  </si>
  <si>
    <t xml:space="preserve">      Speakers Gifts</t>
  </si>
  <si>
    <t xml:space="preserve">      Tax Compliance</t>
  </si>
  <si>
    <t xml:space="preserve">      Venue</t>
  </si>
  <si>
    <t xml:space="preserve">   Total Conference Expenses</t>
  </si>
  <si>
    <t xml:space="preserve">   General &amp; Admin - Operations</t>
  </si>
  <si>
    <t xml:space="preserve">      Awards and Member Benefits</t>
  </si>
  <si>
    <t xml:space="preserve">      Bank &amp; Credit Card Fees</t>
  </si>
  <si>
    <t xml:space="preserve">      Employee Recognition</t>
  </si>
  <si>
    <t xml:space="preserve">      Marketing, Communications, and Advertising</t>
  </si>
  <si>
    <t xml:space="preserve">      Merchant  Fees</t>
  </si>
  <si>
    <t xml:space="preserve">      Miscellaneous Fees</t>
  </si>
  <si>
    <t xml:space="preserve">      OWASP Insurance</t>
  </si>
  <si>
    <t xml:space="preserve">      Phone Expenses</t>
  </si>
  <si>
    <t xml:space="preserve">      Professional Development</t>
  </si>
  <si>
    <t xml:space="preserve">      Software, Internet, Dues, &amp; Subscriptions</t>
  </si>
  <si>
    <t xml:space="preserve">         Board Travel</t>
  </si>
  <si>
    <t xml:space="preserve">         Staff Travel</t>
  </si>
  <si>
    <t xml:space="preserve">      Total Travel</t>
  </si>
  <si>
    <t xml:space="preserve">      Uncategorized Expenses</t>
  </si>
  <si>
    <t>na</t>
  </si>
  <si>
    <t xml:space="preserve">   Total General &amp; Admin - Operations</t>
  </si>
  <si>
    <t xml:space="preserve">   Local Chapter Expenses</t>
  </si>
  <si>
    <t xml:space="preserve">      Meeting Expenses</t>
  </si>
  <si>
    <t xml:space="preserve">      Meetup</t>
  </si>
  <si>
    <t xml:space="preserve">      Your Membership</t>
  </si>
  <si>
    <t xml:space="preserve">   Total Local Chapter Expenses</t>
  </si>
  <si>
    <t xml:space="preserve">   Personnel &amp; Payroll</t>
  </si>
  <si>
    <t xml:space="preserve">      Benefits</t>
  </si>
  <si>
    <t xml:space="preserve">21% of salary &amp; wages (based on 2023 percentage) + 5% increase  </t>
  </si>
  <si>
    <t xml:space="preserve">      Gross Wages</t>
  </si>
  <si>
    <t xml:space="preserve">2023 Actuals + 125K for new position - No increases budgeted </t>
  </si>
  <si>
    <t xml:space="preserve">      Payroll Processing Fee</t>
  </si>
  <si>
    <t>2023 actuals + 5% (adj for shift from payroll processing to hr from April 2023)</t>
  </si>
  <si>
    <t xml:space="preserve">      Payroll Taxes</t>
  </si>
  <si>
    <t xml:space="preserve">8% of gross wages </t>
  </si>
  <si>
    <t xml:space="preserve">      PEO Admin &amp; HR fees</t>
  </si>
  <si>
    <t xml:space="preserve">      Workers Comp</t>
  </si>
  <si>
    <t xml:space="preserve">   Total Personnel &amp; Payroll</t>
  </si>
  <si>
    <t xml:space="preserve">   Professional Fees</t>
  </si>
  <si>
    <t xml:space="preserve">      Accounting - EU</t>
  </si>
  <si>
    <t xml:space="preserve">      Accounting - US</t>
  </si>
  <si>
    <t>TCCFO Fee &amp; annual audit based on FY22 audit amount + 5%</t>
  </si>
  <si>
    <t xml:space="preserve">      Legal</t>
  </si>
  <si>
    <t xml:space="preserve">   Total Professional Fees</t>
  </si>
  <si>
    <t xml:space="preserve">   Project Expenses</t>
  </si>
  <si>
    <t xml:space="preserve">   Total Project Expenses</t>
  </si>
  <si>
    <t>Total Expenses</t>
  </si>
  <si>
    <t>Net Operating Income</t>
  </si>
  <si>
    <t>Other Income</t>
  </si>
  <si>
    <t xml:space="preserve">      Other Professional Services</t>
  </si>
  <si>
    <t xml:space="preserve">   Interest Income</t>
  </si>
  <si>
    <t xml:space="preserve">   Other Income</t>
  </si>
  <si>
    <t>Total Other Income</t>
  </si>
  <si>
    <t xml:space="preserve">      Other expenses</t>
  </si>
  <si>
    <t>Other Expenses</t>
  </si>
  <si>
    <t xml:space="preserve">   Exchange Rate Gain/Loss</t>
  </si>
  <si>
    <t xml:space="preserve">   One time write offs - Bad Debt Expense</t>
  </si>
  <si>
    <t>Total Other Expenses</t>
  </si>
  <si>
    <t>Net Other Income</t>
  </si>
  <si>
    <t>Net Income</t>
  </si>
  <si>
    <t>Thursday, Dec 07, 2023 08:43:44 AM GMT-8 - Accrual Basis</t>
  </si>
  <si>
    <t xml:space="preserve">Remove "your membership" line item </t>
  </si>
  <si>
    <t xml:space="preserve">Marketing $25K total </t>
  </si>
  <si>
    <t>Profit and Loss</t>
  </si>
  <si>
    <t>All expenses actual +5%</t>
  </si>
  <si>
    <t>5% on all non event income</t>
  </si>
  <si>
    <t xml:space="preserve">Payroll +$125K - payroll expenses % adj. </t>
  </si>
  <si>
    <t>CORPORATE - $425K</t>
  </si>
  <si>
    <t xml:space="preserve">Projected </t>
  </si>
  <si>
    <t xml:space="preserve">FY23 Projected </t>
  </si>
  <si>
    <t>TCCFO + AUDIT +5%</t>
  </si>
  <si>
    <t xml:space="preserve">Career Fair FY24 Budget </t>
  </si>
  <si>
    <t>Conference Income</t>
  </si>
  <si>
    <t xml:space="preserve">TOTAL INCOME </t>
  </si>
  <si>
    <t xml:space="preserve">TOTAL EXPENSES </t>
  </si>
  <si>
    <t xml:space="preserve">Appsec Lisbon FY24 Budget </t>
  </si>
  <si>
    <t>Directional signage, registration booth, entry unit, photo back drops, CTF items, floor plan draft, booths (expo company), labor (expo company)</t>
  </si>
  <si>
    <t xml:space="preserve">Games for gaming room &amp; Gift Cards for venue staff thank you's </t>
  </si>
  <si>
    <t xml:space="preserve">Appsen San Francisco FY 24  Budget </t>
  </si>
  <si>
    <t>Appsec Singapore FY24 Budget</t>
  </si>
  <si>
    <t>Project Summit FY24 Budget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</si>
</sst>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_€"/>
    <numFmt numFmtId="165" formatCode="&quot;$&quot;* #,##0.00\ _€"/>
    <numFmt numFmtId="166" formatCode="_(&quot;$&quot;* #,##0.00_);_(&quot;$&quot;* \(#,##0.00\);_(&quot;$&quot;* &quot;-&quot;??_);_(@_)"/>
  </numFmts>
  <fonts count="11">
    <font>
      <sz val="11.0"/>
      <color rgb="FF000000"/>
      <name val="Calibri"/>
      <scheme val="minor"/>
    </font>
    <font>
      <b/>
      <sz val="14.0"/>
      <color rgb="FF000000"/>
      <name val="Arial"/>
    </font>
    <font>
      <sz val="11.0"/>
      <color rgb="FF000000"/>
      <name val="Calibri"/>
    </font>
    <font>
      <b/>
      <sz val="10.0"/>
      <color rgb="FF000000"/>
      <name val="Arial"/>
    </font>
    <font>
      <b/>
      <sz val="11.0"/>
      <color rgb="FF000000"/>
      <name val="Calibri"/>
    </font>
    <font>
      <b/>
      <sz val="9.0"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  <font>
      <color theme="1"/>
      <name val="Calibri"/>
      <scheme val="minor"/>
    </font>
    <font/>
    <font>
      <sz val="8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E2EFDA"/>
        <bgColor rgb="FFE2EFDA"/>
      </patternFill>
    </fill>
  </fills>
  <borders count="10">
    <border/>
    <border>
      <bottom style="thin">
        <color rgb="FF000000"/>
      </bottom>
    </border>
    <border>
      <left/>
      <right/>
      <top/>
      <bottom/>
    </border>
    <border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1" fillId="0" fontId="5" numFmtId="0" xfId="0" applyAlignment="1" applyBorder="1" applyFont="1">
      <alignment horizontal="center" shrinkToFit="0" wrapText="1"/>
    </xf>
    <xf borderId="1" fillId="0" fontId="5" numFmtId="17" xfId="0" applyAlignment="1" applyBorder="1" applyFont="1" applyNumberFormat="1">
      <alignment horizontal="center" shrinkToFit="0" wrapText="1"/>
    </xf>
    <xf borderId="0" fillId="0" fontId="5" numFmtId="0" xfId="0" applyAlignment="1" applyFont="1">
      <alignment horizontal="center" shrinkToFit="0" wrapText="1"/>
    </xf>
    <xf borderId="0" fillId="0" fontId="6" numFmtId="0" xfId="0" applyAlignment="1" applyFont="1">
      <alignment horizontal="left" shrinkToFit="0" wrapText="1"/>
    </xf>
    <xf borderId="0" fillId="0" fontId="7" numFmtId="164" xfId="0" applyAlignment="1" applyFont="1" applyNumberFormat="1">
      <alignment shrinkToFit="0" wrapText="1"/>
    </xf>
    <xf borderId="0" fillId="0" fontId="7" numFmtId="164" xfId="0" applyAlignment="1" applyFont="1" applyNumberFormat="1">
      <alignment horizontal="center" shrinkToFit="0" wrapText="1"/>
    </xf>
    <xf borderId="0" fillId="0" fontId="7" numFmtId="164" xfId="0" applyAlignment="1" applyFont="1" applyNumberFormat="1">
      <alignment horizontal="right" shrinkToFit="0" wrapText="1"/>
    </xf>
    <xf borderId="2" fillId="2" fontId="7" numFmtId="164" xfId="0" applyAlignment="1" applyBorder="1" applyFill="1" applyFont="1" applyNumberFormat="1">
      <alignment shrinkToFit="0" wrapText="1"/>
    </xf>
    <xf borderId="3" fillId="0" fontId="6" numFmtId="165" xfId="0" applyAlignment="1" applyBorder="1" applyFont="1" applyNumberFormat="1">
      <alignment horizontal="right" shrinkToFit="0" wrapText="1"/>
    </xf>
    <xf borderId="0" fillId="0" fontId="6" numFmtId="165" xfId="0" applyAlignment="1" applyFont="1" applyNumberFormat="1">
      <alignment horizontal="center" shrinkToFit="0" wrapText="1"/>
    </xf>
    <xf borderId="2" fillId="3" fontId="7" numFmtId="164" xfId="0" applyAlignment="1" applyBorder="1" applyFill="1" applyFont="1" applyNumberFormat="1">
      <alignment horizontal="right" shrinkToFit="0" wrapText="1"/>
    </xf>
    <xf borderId="0" fillId="0" fontId="2" numFmtId="0" xfId="0" applyAlignment="1" applyFont="1">
      <alignment horizontal="center" readingOrder="0" shrinkToFit="0" wrapText="1"/>
    </xf>
    <xf borderId="2" fillId="3" fontId="7" numFmtId="164" xfId="0" applyAlignment="1" applyBorder="1" applyFont="1" applyNumberFormat="1">
      <alignment shrinkToFit="0" wrapText="1"/>
    </xf>
    <xf borderId="2" fillId="3" fontId="7" numFmtId="164" xfId="0" applyAlignment="1" applyBorder="1" applyFont="1" applyNumberFormat="1">
      <alignment readingOrder="0" shrinkToFit="0" wrapText="1"/>
    </xf>
    <xf borderId="2" fillId="4" fontId="6" numFmtId="0" xfId="0" applyAlignment="1" applyBorder="1" applyFill="1" applyFont="1">
      <alignment horizontal="left" shrinkToFit="0" wrapText="1"/>
    </xf>
    <xf borderId="0" fillId="5" fontId="6" numFmtId="0" xfId="0" applyAlignment="1" applyFill="1" applyFont="1">
      <alignment horizontal="left" shrinkToFit="0" wrapText="1"/>
    </xf>
    <xf borderId="2" fillId="5" fontId="7" numFmtId="164" xfId="0" applyAlignment="1" applyBorder="1" applyFont="1" applyNumberFormat="1">
      <alignment horizontal="right" readingOrder="0" shrinkToFit="0" wrapText="1"/>
    </xf>
    <xf borderId="2" fillId="2" fontId="7" numFmtId="164" xfId="0" applyAlignment="1" applyBorder="1" applyFont="1" applyNumberFormat="1">
      <alignment horizontal="right" shrinkToFit="0" wrapText="1"/>
    </xf>
    <xf borderId="2" fillId="3" fontId="7" numFmtId="164" xfId="0" applyAlignment="1" applyBorder="1" applyFont="1" applyNumberFormat="1">
      <alignment horizontal="right" readingOrder="0" shrinkToFit="0" wrapText="1"/>
    </xf>
    <xf borderId="0" fillId="5" fontId="7" numFmtId="164" xfId="0" applyAlignment="1" applyFont="1" applyNumberFormat="1">
      <alignment horizontal="center" shrinkToFit="0" wrapText="1"/>
    </xf>
    <xf borderId="0" fillId="0" fontId="7" numFmtId="0" xfId="0" applyAlignment="1" applyFont="1">
      <alignment horizontal="center"/>
    </xf>
    <xf borderId="0" fillId="0" fontId="2" numFmtId="166" xfId="0" applyFont="1" applyNumberFormat="1"/>
    <xf borderId="0" fillId="6" fontId="8" numFmtId="0" xfId="0" applyAlignment="1" applyFill="1" applyFont="1">
      <alignment readingOrder="0"/>
    </xf>
    <xf borderId="0" fillId="6" fontId="8" numFmtId="0" xfId="0" applyFont="1"/>
    <xf borderId="4" fillId="3" fontId="4" numFmtId="0" xfId="0" applyAlignment="1" applyBorder="1" applyFont="1">
      <alignment horizontal="center"/>
    </xf>
    <xf borderId="5" fillId="0" fontId="9" numFmtId="0" xfId="0" applyBorder="1" applyFont="1"/>
    <xf borderId="6" fillId="0" fontId="9" numFmtId="0" xfId="0" applyBorder="1" applyFont="1"/>
    <xf borderId="4" fillId="4" fontId="4" numFmtId="0" xfId="0" applyAlignment="1" applyBorder="1" applyFont="1">
      <alignment horizontal="center"/>
    </xf>
    <xf borderId="2" fillId="4" fontId="4" numFmtId="0" xfId="0" applyBorder="1" applyFont="1"/>
    <xf borderId="7" fillId="3" fontId="5" numFmtId="0" xfId="0" applyAlignment="1" applyBorder="1" applyFont="1">
      <alignment horizontal="center" shrinkToFit="0" wrapText="1"/>
    </xf>
    <xf borderId="7" fillId="4" fontId="5" numFmtId="17" xfId="0" applyAlignment="1" applyBorder="1" applyFont="1" applyNumberFormat="1">
      <alignment horizontal="center" shrinkToFit="0" wrapText="1"/>
    </xf>
    <xf borderId="7" fillId="4" fontId="5" numFmtId="0" xfId="0" applyAlignment="1" applyBorder="1" applyFont="1">
      <alignment horizontal="center" shrinkToFit="0" wrapText="1"/>
    </xf>
    <xf borderId="0" fillId="5" fontId="7" numFmtId="164" xfId="0" applyAlignment="1" applyFont="1" applyNumberFormat="1">
      <alignment horizontal="right" shrinkToFit="0" wrapText="1"/>
    </xf>
    <xf borderId="0" fillId="0" fontId="8" numFmtId="0" xfId="0" applyAlignment="1" applyFont="1">
      <alignment readingOrder="0"/>
    </xf>
    <xf borderId="0" fillId="3" fontId="7" numFmtId="164" xfId="0" applyAlignment="1" applyFont="1" applyNumberFormat="1">
      <alignment horizontal="right" readingOrder="0" vertical="bottom"/>
    </xf>
    <xf borderId="0" fillId="0" fontId="4" numFmtId="164" xfId="0" applyFont="1" applyNumberFormat="1"/>
    <xf borderId="8" fillId="0" fontId="4" numFmtId="164" xfId="0" applyBorder="1" applyFont="1" applyNumberFormat="1"/>
    <xf borderId="2" fillId="7" fontId="7" numFmtId="164" xfId="0" applyAlignment="1" applyBorder="1" applyFill="1" applyFont="1" applyNumberFormat="1">
      <alignment shrinkToFit="0" wrapText="1"/>
    </xf>
    <xf borderId="9" fillId="7" fontId="7" numFmtId="164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1" fillId="3" fontId="7" numFmtId="164" xfId="0" applyAlignment="1" applyBorder="1" applyFont="1" applyNumberFormat="1">
      <alignment horizontal="right" readingOrder="0" vertical="bottom"/>
    </xf>
    <xf borderId="0" fillId="7" fontId="7" numFmtId="164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wrapText="1"/>
    </xf>
    <xf borderId="1" fillId="7" fontId="7" numFmtId="164" xfId="0" applyAlignment="1" applyBorder="1" applyFont="1" applyNumberFormat="1">
      <alignment horizontal="right" readingOrder="0" vertical="bottom"/>
    </xf>
    <xf borderId="0" fillId="3" fontId="10" numFmtId="164" xfId="0" applyAlignment="1" applyFont="1" applyNumberFormat="1">
      <alignment horizontal="right" shrinkToFit="0" vertical="bottom" wrapText="1"/>
    </xf>
    <xf borderId="8" fillId="3" fontId="10" numFmtId="164" xfId="0" applyAlignment="1" applyBorder="1" applyFont="1" applyNumberFormat="1">
      <alignment horizontal="right" shrinkToFit="0" vertical="bottom" wrapText="1"/>
    </xf>
    <xf borderId="0" fillId="7" fontId="10" numFmtId="164" xfId="0" applyAlignment="1" applyFont="1" applyNumberFormat="1">
      <alignment horizontal="right" shrinkToFit="0" vertical="bottom" wrapText="1"/>
    </xf>
    <xf borderId="8" fillId="7" fontId="10" numFmtId="164" xfId="0" applyAlignment="1" applyBorder="1" applyFont="1" applyNumberFormat="1">
      <alignment horizontal="right" shrinkToFit="0" vertical="bottom" wrapText="1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6.0"/>
    <col customWidth="1" min="2" max="2" width="11.14"/>
    <col customWidth="1" min="3" max="3" width="10.29"/>
    <col customWidth="1" min="4" max="4" width="11.14"/>
    <col customWidth="1" min="5" max="5" width="12.0"/>
    <col customWidth="1" min="6" max="7" width="11.14"/>
    <col customWidth="1" min="8" max="8" width="12.0"/>
    <col customWidth="1" min="9" max="11" width="10.29"/>
    <col customWidth="1" min="12" max="12" width="13.0"/>
    <col customWidth="1" min="13" max="14" width="13.86"/>
    <col customWidth="1" min="15" max="15" width="26.71"/>
    <col customWidth="1" min="16" max="16" width="13.29"/>
    <col customWidth="1" min="17" max="17" width="23.71"/>
    <col customWidth="1" min="18" max="18" width="16.43"/>
    <col customWidth="1" min="19" max="26" width="8.86"/>
  </cols>
  <sheetData>
    <row r="1">
      <c r="A1" s="1" t="s">
        <v>0</v>
      </c>
      <c r="O1" s="2"/>
    </row>
    <row r="2">
      <c r="A2" s="1" t="s">
        <v>1</v>
      </c>
      <c r="O2" s="2"/>
    </row>
    <row r="3">
      <c r="A3" s="3" t="s">
        <v>2</v>
      </c>
      <c r="O3" s="2"/>
    </row>
    <row r="4">
      <c r="B4" s="4" t="s">
        <v>3</v>
      </c>
      <c r="L4" s="4"/>
      <c r="N4" s="5"/>
      <c r="O4" s="6"/>
      <c r="Q4" s="4" t="s">
        <v>4</v>
      </c>
    </row>
    <row r="5">
      <c r="A5" s="7"/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8" t="s">
        <v>12</v>
      </c>
      <c r="J5" s="8" t="s">
        <v>13</v>
      </c>
      <c r="K5" s="8" t="s">
        <v>14</v>
      </c>
      <c r="L5" s="9">
        <v>45231.0</v>
      </c>
      <c r="M5" s="9">
        <v>45261.0</v>
      </c>
      <c r="N5" s="8" t="s">
        <v>15</v>
      </c>
      <c r="O5" s="10" t="s">
        <v>16</v>
      </c>
    </row>
    <row r="6">
      <c r="A6" s="11" t="s">
        <v>17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  <c r="Q6" s="11" t="s">
        <v>17</v>
      </c>
      <c r="R6" s="12"/>
    </row>
    <row r="7">
      <c r="A7" s="11" t="s">
        <v>18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4"/>
      <c r="O7" s="13"/>
      <c r="Q7" s="11" t="s">
        <v>18</v>
      </c>
      <c r="R7" s="14">
        <v>0.0</v>
      </c>
    </row>
    <row r="8">
      <c r="A8" s="11" t="s">
        <v>19</v>
      </c>
      <c r="B8" s="15">
        <f>'Career Fair '!B6+'Appsec Lisbon '!B6+'Appsec San Francisco '!B6+'Appsec Singapore'!B6+'Project Summit '!C6</f>
        <v>0</v>
      </c>
      <c r="C8" s="15">
        <f>'Career Fair '!C6+'Appsec Lisbon '!C6+'Appsec San Francisco '!C6+'Appsec Singapore'!C6+'Project Summit '!D6</f>
        <v>0</v>
      </c>
      <c r="D8" s="15">
        <f>'Career Fair '!D6+'Appsec Lisbon '!D6+'Appsec San Francisco '!D6+'Appsec Singapore'!D6+'Project Summit '!E6</f>
        <v>0</v>
      </c>
      <c r="E8" s="15">
        <f>'Career Fair '!E6+'Appsec Lisbon '!E6+'Appsec San Francisco '!E6+'Appsec Singapore'!E6+'Project Summit '!F6</f>
        <v>0</v>
      </c>
      <c r="F8" s="15">
        <f>'Career Fair '!F6+'Appsec Lisbon '!F6+'Appsec San Francisco '!F6+'Appsec Singapore'!F6+'Project Summit '!G6</f>
        <v>0</v>
      </c>
      <c r="G8" s="15">
        <f>'Career Fair '!G6+'Appsec Lisbon '!G6+'Appsec San Francisco '!G6+'Appsec Singapore'!G6+'Project Summit '!H6</f>
        <v>0</v>
      </c>
      <c r="H8" s="15">
        <f>'Career Fair '!H6+'Appsec Lisbon '!H6+'Appsec San Francisco '!H6+'Appsec Singapore'!H6+'Project Summit '!I6</f>
        <v>326950</v>
      </c>
      <c r="I8" s="15">
        <f>'Career Fair '!I6+'Appsec Lisbon '!I6+'Appsec San Francisco '!I6+'Appsec Singapore'!I6+'Project Summit '!J6</f>
        <v>0</v>
      </c>
      <c r="J8" s="15">
        <f>'Career Fair '!J6+'Appsec Lisbon '!J6+'Appsec San Francisco '!J6+'Appsec Singapore'!J6+'Project Summit '!K6</f>
        <v>0</v>
      </c>
      <c r="K8" s="15">
        <f>'Career Fair '!K6+'Appsec Lisbon '!K6+'Appsec San Francisco '!K6+'Appsec Singapore'!K6+'Project Summit '!L6</f>
        <v>541975</v>
      </c>
      <c r="L8" s="15">
        <f>'Career Fair '!L6+'Appsec Lisbon '!L6+'Appsec San Francisco '!L6+'Appsec Singapore'!L6+'Project Summit '!M6</f>
        <v>25000</v>
      </c>
      <c r="M8" s="15">
        <f>'Career Fair '!M6+'Appsec Lisbon '!M6+'Appsec San Francisco '!M6+'Appsec Singapore'!M6+'Project Summit '!N6</f>
        <v>0</v>
      </c>
      <c r="N8" s="14">
        <f t="shared" ref="N8:N11" si="1">(((((((((B8)+(C8))+(D8))+(E8))+(F8))+(G8))+(H8))+(I8))+(J8))+(K8)+L8+M8</f>
        <v>893925</v>
      </c>
      <c r="O8" s="2" t="s">
        <v>20</v>
      </c>
      <c r="Q8" s="11" t="s">
        <v>19</v>
      </c>
      <c r="R8" s="14">
        <v>1912673.0</v>
      </c>
    </row>
    <row r="9">
      <c r="A9" s="11" t="s">
        <v>21</v>
      </c>
      <c r="B9" s="15">
        <f>'Career Fair '!B7+'Appsec Lisbon '!B7+'Appsec San Francisco '!B7+'Appsec Singapore'!B7+'Project Summit '!C7</f>
        <v>0</v>
      </c>
      <c r="C9" s="15">
        <f>'Career Fair '!C7+'Appsec Lisbon '!C7+'Appsec San Francisco '!C7+'Appsec Singapore'!C7+'Project Summit '!D7</f>
        <v>44072.5</v>
      </c>
      <c r="D9" s="15">
        <f>'Career Fair '!D7+'Appsec Lisbon '!D7+'Appsec San Francisco '!D7+'Appsec Singapore'!D7+'Project Summit '!E7</f>
        <v>56108.75</v>
      </c>
      <c r="E9" s="15">
        <f>'Career Fair '!E7+'Appsec Lisbon '!E7+'Appsec San Francisco '!E7+'Appsec Singapore'!E7+'Project Summit '!F7</f>
        <v>88108.75</v>
      </c>
      <c r="F9" s="15">
        <f>'Career Fair '!F7+'Appsec Lisbon '!F7+'Appsec San Francisco '!F7+'Appsec Singapore'!F7+'Project Summit '!G7</f>
        <v>102145</v>
      </c>
      <c r="G9" s="15">
        <f>'Career Fair '!G7+'Appsec Lisbon '!G7+'Appsec San Francisco '!G7+'Appsec Singapore'!G7+'Project Summit '!H7</f>
        <v>206040</v>
      </c>
      <c r="H9" s="15">
        <f>'Career Fair '!H7+'Appsec Lisbon '!H7+'Appsec San Francisco '!H7+'Appsec Singapore'!H7+'Project Summit '!I7</f>
        <v>209750</v>
      </c>
      <c r="I9" s="15">
        <f>'Career Fair '!I7+'Appsec Lisbon '!I7+'Appsec San Francisco '!I7+'Appsec Singapore'!I7+'Project Summit '!J7</f>
        <v>368750</v>
      </c>
      <c r="J9" s="15">
        <f>'Career Fair '!J7+'Appsec Lisbon '!J7+'Appsec San Francisco '!J7+'Appsec Singapore'!J7+'Project Summit '!K7</f>
        <v>173160</v>
      </c>
      <c r="K9" s="15">
        <f>'Career Fair '!K7+'Appsec Lisbon '!K7+'Appsec San Francisco '!K7+'Appsec Singapore'!K7+'Project Summit '!L7</f>
        <v>40555</v>
      </c>
      <c r="L9" s="15">
        <f>'Career Fair '!L7+'Appsec Lisbon '!L7+'Appsec San Francisco '!L7+'Appsec Singapore'!L7+'Project Summit '!M7</f>
        <v>7760</v>
      </c>
      <c r="M9" s="15">
        <f>'Career Fair '!M7+'Appsec Lisbon '!M7+'Appsec San Francisco '!M7+'Appsec Singapore'!M7+'Project Summit '!N7</f>
        <v>3000</v>
      </c>
      <c r="N9" s="14">
        <f t="shared" si="1"/>
        <v>1299450</v>
      </c>
      <c r="O9" s="2" t="s">
        <v>20</v>
      </c>
      <c r="Q9" s="11" t="s">
        <v>21</v>
      </c>
      <c r="R9" s="14">
        <v>0.0</v>
      </c>
    </row>
    <row r="10">
      <c r="A10" s="11" t="s">
        <v>22</v>
      </c>
      <c r="B10" s="15">
        <f>'Career Fair '!B8+'Appsec Lisbon '!B8+'Appsec San Francisco '!B8+'Appsec Singapore'!B8+'Project Summit '!C8</f>
        <v>0</v>
      </c>
      <c r="C10" s="15">
        <f>'Career Fair '!C8+'Appsec Lisbon '!C8+'Appsec San Francisco '!C8+'Appsec Singapore'!C8+'Project Summit '!D8</f>
        <v>0</v>
      </c>
      <c r="D10" s="15">
        <f>'Career Fair '!D8+'Appsec Lisbon '!D8+'Appsec San Francisco '!D8+'Appsec Singapore'!D8+'Project Summit '!E8</f>
        <v>0</v>
      </c>
      <c r="E10" s="15">
        <f>'Career Fair '!E8+'Appsec Lisbon '!E8+'Appsec San Francisco '!E8+'Appsec Singapore'!E8+'Project Summit '!F8</f>
        <v>0</v>
      </c>
      <c r="F10" s="15">
        <f>'Career Fair '!F8+'Appsec Lisbon '!F8+'Appsec San Francisco '!F8+'Appsec Singapore'!F8+'Project Summit '!G8</f>
        <v>0</v>
      </c>
      <c r="G10" s="15">
        <f>'Career Fair '!G8+'Appsec Lisbon '!G8+'Appsec San Francisco '!G8+'Appsec Singapore'!G8+'Project Summit '!H8</f>
        <v>0</v>
      </c>
      <c r="H10" s="15">
        <f>'Career Fair '!H8+'Appsec Lisbon '!H8+'Appsec San Francisco '!H8+'Appsec Singapore'!H8+'Project Summit '!I8</f>
        <v>177250</v>
      </c>
      <c r="I10" s="15">
        <f>'Career Fair '!I8+'Appsec Lisbon '!I8+'Appsec San Francisco '!I8+'Appsec Singapore'!I8+'Project Summit '!J8</f>
        <v>0</v>
      </c>
      <c r="J10" s="15">
        <f>'Career Fair '!J8+'Appsec Lisbon '!J8+'Appsec San Francisco '!J8+'Appsec Singapore'!J8+'Project Summit '!K8</f>
        <v>0</v>
      </c>
      <c r="K10" s="15">
        <f>'Career Fair '!K8+'Appsec Lisbon '!K8+'Appsec San Francisco '!K8+'Appsec Singapore'!K8+'Project Summit '!L8</f>
        <v>153850</v>
      </c>
      <c r="L10" s="15">
        <f>'Career Fair '!L8+'Appsec Lisbon '!L8+'Appsec San Francisco '!L8+'Appsec Singapore'!L8+'Project Summit '!M8</f>
        <v>40000</v>
      </c>
      <c r="M10" s="15">
        <f>'Career Fair '!M8+'Appsec Lisbon '!M8+'Appsec San Francisco '!M8+'Appsec Singapore'!M8+'Project Summit '!N8</f>
        <v>0</v>
      </c>
      <c r="N10" s="14">
        <f t="shared" si="1"/>
        <v>371100</v>
      </c>
      <c r="O10" s="2" t="s">
        <v>20</v>
      </c>
      <c r="Q10" s="11" t="s">
        <v>22</v>
      </c>
      <c r="R10" s="14">
        <v>0.0</v>
      </c>
    </row>
    <row r="11">
      <c r="A11" s="11" t="s">
        <v>23</v>
      </c>
      <c r="B11" s="16">
        <f t="shared" ref="B11:M11" si="2">(((B7)+(B8))+(B9))+(B10)</f>
        <v>0</v>
      </c>
      <c r="C11" s="16">
        <f t="shared" si="2"/>
        <v>44072.5</v>
      </c>
      <c r="D11" s="16">
        <f t="shared" si="2"/>
        <v>56108.75</v>
      </c>
      <c r="E11" s="16">
        <f t="shared" si="2"/>
        <v>88108.75</v>
      </c>
      <c r="F11" s="16">
        <f t="shared" si="2"/>
        <v>102145</v>
      </c>
      <c r="G11" s="16">
        <f t="shared" si="2"/>
        <v>206040</v>
      </c>
      <c r="H11" s="16">
        <f t="shared" si="2"/>
        <v>713950</v>
      </c>
      <c r="I11" s="16">
        <f t="shared" si="2"/>
        <v>368750</v>
      </c>
      <c r="J11" s="16">
        <f t="shared" si="2"/>
        <v>173160</v>
      </c>
      <c r="K11" s="16">
        <f t="shared" si="2"/>
        <v>736380</v>
      </c>
      <c r="L11" s="16">
        <f t="shared" si="2"/>
        <v>72760</v>
      </c>
      <c r="M11" s="16">
        <f t="shared" si="2"/>
        <v>3000</v>
      </c>
      <c r="N11" s="16">
        <f t="shared" si="1"/>
        <v>2564475</v>
      </c>
      <c r="O11" s="17"/>
      <c r="Q11" s="11" t="s">
        <v>23</v>
      </c>
      <c r="R11" s="16">
        <v>1912673.0</v>
      </c>
    </row>
    <row r="12">
      <c r="A12" s="11" t="s">
        <v>24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4"/>
      <c r="O12" s="13"/>
      <c r="Q12" s="11" t="s">
        <v>24</v>
      </c>
      <c r="R12" s="14">
        <v>0.0</v>
      </c>
    </row>
    <row r="13">
      <c r="A13" s="11" t="s">
        <v>25</v>
      </c>
      <c r="B13" s="18">
        <f>'FY23 Actuals &amp; Projections'!B13*1.05</f>
        <v>614.754</v>
      </c>
      <c r="C13" s="18">
        <f>'FY23 Actuals &amp; Projections'!C13*1.05</f>
        <v>365.4525</v>
      </c>
      <c r="D13" s="18">
        <f>'FY23 Actuals &amp; Projections'!D13*1.05</f>
        <v>7702.9575</v>
      </c>
      <c r="E13" s="18">
        <f>'FY23 Actuals &amp; Projections'!E13*1.05</f>
        <v>-2251.0425</v>
      </c>
      <c r="F13" s="18">
        <f>'FY23 Actuals &amp; Projections'!F13*1.05</f>
        <v>3235.617</v>
      </c>
      <c r="G13" s="18">
        <f>'FY23 Actuals &amp; Projections'!G13*1.05</f>
        <v>-4220.9055</v>
      </c>
      <c r="H13" s="18">
        <f>'FY23 Actuals &amp; Projections'!H13*1.05</f>
        <v>1684.83</v>
      </c>
      <c r="I13" s="18">
        <f>'FY23 Actuals &amp; Projections'!I13*1.05</f>
        <v>184.716</v>
      </c>
      <c r="J13" s="18">
        <f>'FY23 Actuals &amp; Projections'!J13*1.05</f>
        <v>4475.0475</v>
      </c>
      <c r="K13" s="18">
        <f>'FY23 Actuals &amp; Projections'!K13*1.05</f>
        <v>495.117</v>
      </c>
      <c r="L13" s="18">
        <f>'FY23 Actuals &amp; Projections'!L13*1.05</f>
        <v>1228.65435</v>
      </c>
      <c r="M13" s="18">
        <f>'FY23 Actuals &amp; Projections'!M13*1.05</f>
        <v>1228.65435</v>
      </c>
      <c r="N13" s="14">
        <f t="shared" ref="N13:N16" si="3">(((((((((B13)+(C13))+(D13))+(E13))+(F13))+(G13))+(H13))+(I13))+(J13))+(K13)+L13+M13</f>
        <v>14743.8522</v>
      </c>
      <c r="O13" s="2" t="s">
        <v>26</v>
      </c>
      <c r="Q13" s="11" t="s">
        <v>27</v>
      </c>
      <c r="R13" s="14">
        <v>80000.0</v>
      </c>
    </row>
    <row r="14">
      <c r="A14" s="11" t="s">
        <v>28</v>
      </c>
      <c r="B14" s="18">
        <f>'FY23 Actuals &amp; Projections'!B14*1.05</f>
        <v>525</v>
      </c>
      <c r="C14" s="18">
        <f>'FY23 Actuals &amp; Projections'!C14*1.05</f>
        <v>4620</v>
      </c>
      <c r="D14" s="18">
        <f>'FY23 Actuals &amp; Projections'!D14*1.05</f>
        <v>4515</v>
      </c>
      <c r="E14" s="18">
        <f>'FY23 Actuals &amp; Projections'!E14*1.05</f>
        <v>1785</v>
      </c>
      <c r="F14" s="18">
        <f>'FY23 Actuals &amp; Projections'!F14*1.05</f>
        <v>1324.1445</v>
      </c>
      <c r="G14" s="18">
        <f>'FY23 Actuals &amp; Projections'!G14*1.05</f>
        <v>1785</v>
      </c>
      <c r="H14" s="18">
        <f>'FY23 Actuals &amp; Projections'!H14*1.05</f>
        <v>0</v>
      </c>
      <c r="I14" s="18">
        <f>'FY23 Actuals &amp; Projections'!I14*1.05</f>
        <v>5250</v>
      </c>
      <c r="J14" s="18">
        <f>'FY23 Actuals &amp; Projections'!J14*1.05</f>
        <v>0</v>
      </c>
      <c r="K14" s="18">
        <f>'FY23 Actuals &amp; Projections'!K14*1.05</f>
        <v>0</v>
      </c>
      <c r="L14" s="18">
        <f>'FY23 Actuals &amp; Projections'!L14*1.05</f>
        <v>1980.41445</v>
      </c>
      <c r="M14" s="18">
        <f>'FY23 Actuals &amp; Projections'!M14*1.05</f>
        <v>1980.41445</v>
      </c>
      <c r="N14" s="14">
        <f t="shared" si="3"/>
        <v>23764.9734</v>
      </c>
      <c r="O14" s="19" t="s">
        <v>26</v>
      </c>
      <c r="Q14" s="11" t="s">
        <v>25</v>
      </c>
      <c r="R14" s="14">
        <v>25000.000000000004</v>
      </c>
    </row>
    <row r="15">
      <c r="A15" s="11" t="s">
        <v>29</v>
      </c>
      <c r="B15" s="18">
        <f>'FY23 Actuals &amp; Projections'!B15*1.05</f>
        <v>5111.3265</v>
      </c>
      <c r="C15" s="18">
        <f>'FY23 Actuals &amp; Projections'!C15*1.05</f>
        <v>17441.55</v>
      </c>
      <c r="D15" s="18">
        <f>'FY23 Actuals &amp; Projections'!D15*1.05</f>
        <v>7751.499</v>
      </c>
      <c r="E15" s="18">
        <f>'FY23 Actuals &amp; Projections'!E15*1.05</f>
        <v>1644.0585</v>
      </c>
      <c r="F15" s="18">
        <f>'FY23 Actuals &amp; Projections'!F15*1.05</f>
        <v>27851.25</v>
      </c>
      <c r="G15" s="18">
        <f>'FY23 Actuals &amp; Projections'!G15*1.05</f>
        <v>4472.9055</v>
      </c>
      <c r="H15" s="18">
        <f>'FY23 Actuals &amp; Projections'!H15*1.05</f>
        <v>1296.75</v>
      </c>
      <c r="I15" s="18">
        <f>'FY23 Actuals &amp; Projections'!I15*1.05</f>
        <v>262.5</v>
      </c>
      <c r="J15" s="18">
        <f>'FY23 Actuals &amp; Projections'!J15*1.05</f>
        <v>0</v>
      </c>
      <c r="K15" s="18">
        <f>'FY23 Actuals &amp; Projections'!K15*1.05</f>
        <v>0</v>
      </c>
      <c r="L15" s="18">
        <f>'FY23 Actuals &amp; Projections'!L15*1.05</f>
        <v>6583.18395</v>
      </c>
      <c r="M15" s="18">
        <f>'FY23 Actuals &amp; Projections'!M15*1.05</f>
        <v>6583.18395</v>
      </c>
      <c r="N15" s="14">
        <f t="shared" si="3"/>
        <v>78998.2074</v>
      </c>
      <c r="O15" s="2" t="s">
        <v>26</v>
      </c>
      <c r="Q15" s="11" t="s">
        <v>28</v>
      </c>
      <c r="R15" s="14">
        <v>3999.9999999999995</v>
      </c>
    </row>
    <row r="16">
      <c r="A16" s="11" t="s">
        <v>30</v>
      </c>
      <c r="B16" s="16">
        <f t="shared" ref="B16:M16" si="4">(((B12)+(B13))+(B14))+(B15)</f>
        <v>6251.0805</v>
      </c>
      <c r="C16" s="16">
        <f t="shared" si="4"/>
        <v>22427.0025</v>
      </c>
      <c r="D16" s="16">
        <f t="shared" si="4"/>
        <v>19969.4565</v>
      </c>
      <c r="E16" s="16">
        <f t="shared" si="4"/>
        <v>1178.016</v>
      </c>
      <c r="F16" s="16">
        <f t="shared" si="4"/>
        <v>32411.0115</v>
      </c>
      <c r="G16" s="16">
        <f t="shared" si="4"/>
        <v>2037</v>
      </c>
      <c r="H16" s="16">
        <f t="shared" si="4"/>
        <v>2981.58</v>
      </c>
      <c r="I16" s="16">
        <f t="shared" si="4"/>
        <v>5697.216</v>
      </c>
      <c r="J16" s="16">
        <f t="shared" si="4"/>
        <v>4475.0475</v>
      </c>
      <c r="K16" s="16">
        <f t="shared" si="4"/>
        <v>495.117</v>
      </c>
      <c r="L16" s="16">
        <f t="shared" si="4"/>
        <v>9792.25275</v>
      </c>
      <c r="M16" s="16">
        <f t="shared" si="4"/>
        <v>9792.25275</v>
      </c>
      <c r="N16" s="16">
        <f t="shared" si="3"/>
        <v>117507.033</v>
      </c>
      <c r="O16" s="17"/>
      <c r="Q16" s="11" t="s">
        <v>29</v>
      </c>
      <c r="R16" s="14">
        <v>0.0</v>
      </c>
    </row>
    <row r="17">
      <c r="A17" s="11" t="s">
        <v>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4"/>
      <c r="O17" s="13"/>
      <c r="Q17" s="11" t="s">
        <v>30</v>
      </c>
      <c r="R17" s="16">
        <v>109000.0</v>
      </c>
    </row>
    <row r="18">
      <c r="A18" s="11" t="s">
        <v>32</v>
      </c>
      <c r="B18" s="18">
        <f t="shared" ref="B18:M18" si="5">425000/12</f>
        <v>35416.66667</v>
      </c>
      <c r="C18" s="18">
        <f t="shared" si="5"/>
        <v>35416.66667</v>
      </c>
      <c r="D18" s="18">
        <f t="shared" si="5"/>
        <v>35416.66667</v>
      </c>
      <c r="E18" s="18">
        <f t="shared" si="5"/>
        <v>35416.66667</v>
      </c>
      <c r="F18" s="18">
        <f t="shared" si="5"/>
        <v>35416.66667</v>
      </c>
      <c r="G18" s="18">
        <f t="shared" si="5"/>
        <v>35416.66667</v>
      </c>
      <c r="H18" s="18">
        <f t="shared" si="5"/>
        <v>35416.66667</v>
      </c>
      <c r="I18" s="18">
        <f t="shared" si="5"/>
        <v>35416.66667</v>
      </c>
      <c r="J18" s="18">
        <f t="shared" si="5"/>
        <v>35416.66667</v>
      </c>
      <c r="K18" s="18">
        <f t="shared" si="5"/>
        <v>35416.66667</v>
      </c>
      <c r="L18" s="18">
        <f t="shared" si="5"/>
        <v>35416.66667</v>
      </c>
      <c r="M18" s="18">
        <f t="shared" si="5"/>
        <v>35416.66667</v>
      </c>
      <c r="N18" s="14">
        <f t="shared" ref="N18:N24" si="6">(((((((((B18)+(C18))+(D18))+(E18))+(F18))+(G18))+(H18))+(I18))+(J18))+(K18)+L18+M18</f>
        <v>425000</v>
      </c>
      <c r="O18" s="2" t="s">
        <v>33</v>
      </c>
      <c r="Q18" s="11" t="s">
        <v>34</v>
      </c>
      <c r="R18" s="14">
        <v>35000.0</v>
      </c>
    </row>
    <row r="19">
      <c r="A19" s="11" t="s">
        <v>35</v>
      </c>
      <c r="B19" s="18">
        <f>'FY23 Actuals &amp; Projections'!B19*1.05</f>
        <v>24876.327</v>
      </c>
      <c r="C19" s="18">
        <f>'FY23 Actuals &amp; Projections'!C19*1.05</f>
        <v>28336.35</v>
      </c>
      <c r="D19" s="18">
        <f>'FY23 Actuals &amp; Projections'!D19*1.05</f>
        <v>31113.6</v>
      </c>
      <c r="E19" s="18">
        <f>'FY23 Actuals &amp; Projections'!E19*1.05</f>
        <v>19624.5</v>
      </c>
      <c r="F19" s="18">
        <f>'FY23 Actuals &amp; Projections'!F19*1.05</f>
        <v>25038.5625</v>
      </c>
      <c r="G19" s="18">
        <f>'FY23 Actuals &amp; Projections'!G19*1.05</f>
        <v>33892.1625</v>
      </c>
      <c r="H19" s="18">
        <f>'FY23 Actuals &amp; Projections'!H19*1.05</f>
        <v>20170.2375</v>
      </c>
      <c r="I19" s="18">
        <f>'FY23 Actuals &amp; Projections'!I19*1.05</f>
        <v>25520.25</v>
      </c>
      <c r="J19" s="18">
        <f>'FY23 Actuals &amp; Projections'!J19*1.05</f>
        <v>28988.4</v>
      </c>
      <c r="K19" s="18">
        <f>'FY23 Actuals &amp; Projections'!K19*1.05</f>
        <v>22720.95</v>
      </c>
      <c r="L19" s="18">
        <f>'FY23 Actuals &amp; Projections'!L19*1.05</f>
        <v>26028.13395</v>
      </c>
      <c r="M19" s="18">
        <f>'FY23 Actuals &amp; Projections'!M19*1.05</f>
        <v>26028.13395</v>
      </c>
      <c r="N19" s="14">
        <f t="shared" si="6"/>
        <v>312337.6074</v>
      </c>
      <c r="O19" s="2" t="s">
        <v>26</v>
      </c>
      <c r="Q19" s="11" t="s">
        <v>31</v>
      </c>
      <c r="R19" s="14">
        <v>0.0</v>
      </c>
    </row>
    <row r="20">
      <c r="A20" s="11" t="s">
        <v>36</v>
      </c>
      <c r="B20" s="16">
        <f t="shared" ref="B20:M20" si="7">((B17)+(B18))+(B19)</f>
        <v>60292.99367</v>
      </c>
      <c r="C20" s="16">
        <f t="shared" si="7"/>
        <v>63753.01667</v>
      </c>
      <c r="D20" s="16">
        <f t="shared" si="7"/>
        <v>66530.26667</v>
      </c>
      <c r="E20" s="16">
        <f t="shared" si="7"/>
        <v>55041.16667</v>
      </c>
      <c r="F20" s="16">
        <f t="shared" si="7"/>
        <v>60455.22917</v>
      </c>
      <c r="G20" s="16">
        <f t="shared" si="7"/>
        <v>69308.82917</v>
      </c>
      <c r="H20" s="16">
        <f t="shared" si="7"/>
        <v>55586.90417</v>
      </c>
      <c r="I20" s="16">
        <f t="shared" si="7"/>
        <v>60936.91667</v>
      </c>
      <c r="J20" s="16">
        <f t="shared" si="7"/>
        <v>64405.06667</v>
      </c>
      <c r="K20" s="16">
        <f t="shared" si="7"/>
        <v>58137.61667</v>
      </c>
      <c r="L20" s="16">
        <f t="shared" si="7"/>
        <v>61444.80062</v>
      </c>
      <c r="M20" s="16">
        <f t="shared" si="7"/>
        <v>61444.80062</v>
      </c>
      <c r="N20" s="16">
        <f t="shared" si="6"/>
        <v>737337.6074</v>
      </c>
      <c r="O20" s="17"/>
      <c r="Q20" s="11" t="s">
        <v>32</v>
      </c>
      <c r="R20" s="14">
        <v>450000.0</v>
      </c>
    </row>
    <row r="21" ht="15.75" customHeight="1">
      <c r="A21" s="11" t="s">
        <v>37</v>
      </c>
      <c r="B21" s="20">
        <f>'FY23 Actuals &amp; Projections'!B21*1.05</f>
        <v>0</v>
      </c>
      <c r="C21" s="20">
        <f>'FY23 Actuals &amp; Projections'!C21*1.05</f>
        <v>0</v>
      </c>
      <c r="D21" s="20">
        <f>'FY23 Actuals &amp; Projections'!D21*1.05</f>
        <v>0</v>
      </c>
      <c r="E21" s="20">
        <f>'FY23 Actuals &amp; Projections'!E21*1.05</f>
        <v>0</v>
      </c>
      <c r="F21" s="20">
        <f>'FY23 Actuals &amp; Projections'!F21*1.05</f>
        <v>0</v>
      </c>
      <c r="G21" s="20">
        <f>'FY23 Actuals &amp; Projections'!G21*1.05</f>
        <v>0</v>
      </c>
      <c r="H21" s="20">
        <f>'FY23 Actuals &amp; Projections'!H21*1.05</f>
        <v>0</v>
      </c>
      <c r="I21" s="20">
        <f>'FY23 Actuals &amp; Projections'!I21*1.05</f>
        <v>8130.15</v>
      </c>
      <c r="J21" s="20">
        <f>'FY23 Actuals &amp; Projections'!J21*1.05</f>
        <v>986.37</v>
      </c>
      <c r="K21" s="20">
        <f>'FY23 Actuals &amp; Projections'!K21*1.05</f>
        <v>0</v>
      </c>
      <c r="L21" s="20">
        <f>'FY23 Actuals &amp; Projections'!L21*1.05</f>
        <v>911.652</v>
      </c>
      <c r="M21" s="20">
        <f>'FY23 Actuals &amp; Projections'!M21*1.05</f>
        <v>911.652</v>
      </c>
      <c r="N21" s="14">
        <f t="shared" si="6"/>
        <v>10939.824</v>
      </c>
      <c r="O21" s="2" t="s">
        <v>26</v>
      </c>
      <c r="Q21" s="11" t="s">
        <v>35</v>
      </c>
      <c r="R21" s="14">
        <v>300000.0</v>
      </c>
    </row>
    <row r="22" ht="15.75" customHeight="1">
      <c r="A22" s="11" t="s">
        <v>38</v>
      </c>
      <c r="B22" s="20">
        <v>0.0</v>
      </c>
      <c r="C22" s="20">
        <v>0.0</v>
      </c>
      <c r="D22" s="20">
        <v>0.0</v>
      </c>
      <c r="E22" s="20">
        <v>0.0</v>
      </c>
      <c r="F22" s="20">
        <v>0.0</v>
      </c>
      <c r="G22" s="20">
        <v>0.0</v>
      </c>
      <c r="H22" s="20">
        <v>0.0</v>
      </c>
      <c r="I22" s="20">
        <v>0.0</v>
      </c>
      <c r="J22" s="20">
        <v>0.0</v>
      </c>
      <c r="K22" s="20">
        <v>0.0</v>
      </c>
      <c r="L22" s="20">
        <v>0.0</v>
      </c>
      <c r="M22" s="20">
        <v>0.0</v>
      </c>
      <c r="N22" s="14">
        <f t="shared" si="6"/>
        <v>0</v>
      </c>
      <c r="O22" s="2" t="s">
        <v>39</v>
      </c>
      <c r="Q22" s="11" t="s">
        <v>40</v>
      </c>
      <c r="R22" s="14">
        <v>1500.0</v>
      </c>
    </row>
    <row r="23" ht="15.75" customHeight="1">
      <c r="A23" s="11" t="s">
        <v>41</v>
      </c>
      <c r="B23" s="16">
        <f t="shared" ref="B23:M23" si="8">((((B11)+(B16))+(B20))+(B21))+(B22)</f>
        <v>66544.07417</v>
      </c>
      <c r="C23" s="16">
        <f t="shared" si="8"/>
        <v>130252.5192</v>
      </c>
      <c r="D23" s="16">
        <f t="shared" si="8"/>
        <v>142608.4732</v>
      </c>
      <c r="E23" s="16">
        <f t="shared" si="8"/>
        <v>144327.9327</v>
      </c>
      <c r="F23" s="16">
        <f t="shared" si="8"/>
        <v>195011.2407</v>
      </c>
      <c r="G23" s="16">
        <f t="shared" si="8"/>
        <v>277385.8292</v>
      </c>
      <c r="H23" s="16">
        <f t="shared" si="8"/>
        <v>772518.4842</v>
      </c>
      <c r="I23" s="16">
        <f t="shared" si="8"/>
        <v>443514.2827</v>
      </c>
      <c r="J23" s="16">
        <f t="shared" si="8"/>
        <v>243026.4842</v>
      </c>
      <c r="K23" s="16">
        <f t="shared" si="8"/>
        <v>795012.7337</v>
      </c>
      <c r="L23" s="16">
        <f t="shared" si="8"/>
        <v>144908.7054</v>
      </c>
      <c r="M23" s="16">
        <f t="shared" si="8"/>
        <v>75148.70537</v>
      </c>
      <c r="N23" s="16">
        <f t="shared" si="6"/>
        <v>3430259.464</v>
      </c>
      <c r="O23" s="17"/>
      <c r="Q23" s="11" t="s">
        <v>36</v>
      </c>
      <c r="R23" s="16">
        <v>751500.0</v>
      </c>
    </row>
    <row r="24" ht="15.75" customHeight="1">
      <c r="A24" s="11" t="s">
        <v>42</v>
      </c>
      <c r="B24" s="16">
        <f t="shared" ref="B24:M24" si="9">(B23)-(0)</f>
        <v>66544.07417</v>
      </c>
      <c r="C24" s="16">
        <f t="shared" si="9"/>
        <v>130252.5192</v>
      </c>
      <c r="D24" s="16">
        <f t="shared" si="9"/>
        <v>142608.4732</v>
      </c>
      <c r="E24" s="16">
        <f t="shared" si="9"/>
        <v>144327.9327</v>
      </c>
      <c r="F24" s="16">
        <f t="shared" si="9"/>
        <v>195011.2407</v>
      </c>
      <c r="G24" s="16">
        <f t="shared" si="9"/>
        <v>277385.8292</v>
      </c>
      <c r="H24" s="16">
        <f t="shared" si="9"/>
        <v>772518.4842</v>
      </c>
      <c r="I24" s="16">
        <f t="shared" si="9"/>
        <v>443514.2827</v>
      </c>
      <c r="J24" s="16">
        <f t="shared" si="9"/>
        <v>243026.4842</v>
      </c>
      <c r="K24" s="16">
        <f t="shared" si="9"/>
        <v>795012.7337</v>
      </c>
      <c r="L24" s="16">
        <f t="shared" si="9"/>
        <v>144908.7054</v>
      </c>
      <c r="M24" s="16">
        <f t="shared" si="9"/>
        <v>75148.70537</v>
      </c>
      <c r="N24" s="16">
        <f t="shared" si="6"/>
        <v>3430259.464</v>
      </c>
      <c r="O24" s="17"/>
      <c r="Q24" s="11" t="s">
        <v>37</v>
      </c>
      <c r="R24" s="14">
        <v>6000.0</v>
      </c>
    </row>
    <row r="25" ht="15.75" customHeight="1">
      <c r="A25" s="11" t="s">
        <v>43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  <c r="Q25" s="11" t="s">
        <v>44</v>
      </c>
      <c r="R25" s="14">
        <v>40000.0</v>
      </c>
    </row>
    <row r="26" ht="15.75" customHeight="1">
      <c r="A26" s="11" t="s">
        <v>45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4"/>
      <c r="O26" s="13"/>
      <c r="Q26" s="11" t="s">
        <v>38</v>
      </c>
      <c r="R26" s="14">
        <v>0.0</v>
      </c>
    </row>
    <row r="27" ht="15.75" customHeight="1">
      <c r="A27" s="11" t="s">
        <v>46</v>
      </c>
      <c r="B27" s="20">
        <f>'FY23 Actuals &amp; Projections'!B27*1.05</f>
        <v>0</v>
      </c>
      <c r="C27" s="20">
        <f>'FY23 Actuals &amp; Projections'!C27*1.05</f>
        <v>1176.357</v>
      </c>
      <c r="D27" s="20">
        <f>'FY23 Actuals &amp; Projections'!D27*1.05</f>
        <v>9694.0095</v>
      </c>
      <c r="E27" s="20">
        <f>'FY23 Actuals &amp; Projections'!E27*1.05</f>
        <v>1432.5465</v>
      </c>
      <c r="F27" s="20">
        <f>'FY23 Actuals &amp; Projections'!F27*1.05</f>
        <v>6447.6195</v>
      </c>
      <c r="G27" s="20">
        <f>'FY23 Actuals &amp; Projections'!G27*1.05</f>
        <v>849.5235</v>
      </c>
      <c r="H27" s="20">
        <f>'FY23 Actuals &amp; Projections'!H27*1.05</f>
        <v>1224.846</v>
      </c>
      <c r="I27" s="20">
        <f>'FY23 Actuals &amp; Projections'!I27*1.05</f>
        <v>542.829</v>
      </c>
      <c r="J27" s="20">
        <f>'FY23 Actuals &amp; Projections'!J27*1.05</f>
        <v>0</v>
      </c>
      <c r="K27" s="20">
        <f>'FY23 Actuals &amp; Projections'!K27*1.05</f>
        <v>0</v>
      </c>
      <c r="L27" s="20">
        <f>'FY23 Actuals &amp; Projections'!L27*1.05</f>
        <v>2136.7731</v>
      </c>
      <c r="M27" s="20">
        <f>'FY23 Actuals &amp; Projections'!M27*1.05</f>
        <v>2136.7731</v>
      </c>
      <c r="N27" s="14">
        <f t="shared" ref="N27:N30" si="10">(((((((((B27)+(C27))+(D27))+(E27))+(F27))+(G27))+(H27))+(I27))+(J27))+(K27)+L27++M27</f>
        <v>25641.2772</v>
      </c>
      <c r="O27" s="2" t="s">
        <v>26</v>
      </c>
      <c r="Q27" s="11" t="s">
        <v>41</v>
      </c>
      <c r="R27" s="16">
        <v>2854173.0000000005</v>
      </c>
    </row>
    <row r="28" ht="15.75" customHeight="1">
      <c r="A28" s="11" t="s">
        <v>47</v>
      </c>
      <c r="B28" s="20">
        <f>'FY23 Actuals &amp; Projections'!B28*1.05</f>
        <v>0</v>
      </c>
      <c r="C28" s="20">
        <f>'FY23 Actuals &amp; Projections'!C28*1.05</f>
        <v>0</v>
      </c>
      <c r="D28" s="20">
        <f>'FY23 Actuals &amp; Projections'!D28*1.05</f>
        <v>0</v>
      </c>
      <c r="E28" s="20">
        <f>'FY23 Actuals &amp; Projections'!E28*1.05</f>
        <v>0</v>
      </c>
      <c r="F28" s="20">
        <f>'FY23 Actuals &amp; Projections'!F28*1.05</f>
        <v>0</v>
      </c>
      <c r="G28" s="20">
        <f>'FY23 Actuals &amp; Projections'!G28*1.05</f>
        <v>0</v>
      </c>
      <c r="H28" s="20">
        <f>'FY23 Actuals &amp; Projections'!H28*1.05</f>
        <v>0</v>
      </c>
      <c r="I28" s="20">
        <f>'FY23 Actuals &amp; Projections'!I28*1.05</f>
        <v>311.094</v>
      </c>
      <c r="J28" s="20">
        <f>'FY23 Actuals &amp; Projections'!J28*1.05</f>
        <v>0</v>
      </c>
      <c r="K28" s="20">
        <f>'FY23 Actuals &amp; Projections'!K28*1.05</f>
        <v>0</v>
      </c>
      <c r="L28" s="20">
        <f>'FY23 Actuals &amp; Projections'!L28*1.05</f>
        <v>31.1094</v>
      </c>
      <c r="M28" s="20">
        <f>'FY23 Actuals &amp; Projections'!M28*1.05</f>
        <v>31.1094</v>
      </c>
      <c r="N28" s="14">
        <f t="shared" si="10"/>
        <v>373.3128</v>
      </c>
      <c r="O28" s="19" t="s">
        <v>26</v>
      </c>
      <c r="Q28" s="11" t="s">
        <v>42</v>
      </c>
      <c r="R28" s="16">
        <v>2854173.0000000005</v>
      </c>
    </row>
    <row r="29" ht="15.75" customHeight="1">
      <c r="A29" s="11" t="s">
        <v>48</v>
      </c>
      <c r="B29" s="20">
        <f>'FY23 Actuals &amp; Projections'!B29*1.05</f>
        <v>0</v>
      </c>
      <c r="C29" s="20">
        <f>'FY23 Actuals &amp; Projections'!C29*1.05</f>
        <v>0</v>
      </c>
      <c r="D29" s="20">
        <f>'FY23 Actuals &amp; Projections'!D29*1.05</f>
        <v>0</v>
      </c>
      <c r="E29" s="20">
        <f>'FY23 Actuals &amp; Projections'!E29*1.05</f>
        <v>0</v>
      </c>
      <c r="F29" s="20">
        <f>'FY23 Actuals &amp; Projections'!F29*1.05</f>
        <v>0</v>
      </c>
      <c r="G29" s="20">
        <f>'FY23 Actuals &amp; Projections'!G29*1.05</f>
        <v>0</v>
      </c>
      <c r="H29" s="20">
        <f>'FY23 Actuals &amp; Projections'!H29*1.05</f>
        <v>0</v>
      </c>
      <c r="I29" s="20">
        <f>'FY23 Actuals &amp; Projections'!I29*1.05</f>
        <v>0</v>
      </c>
      <c r="J29" s="20">
        <f>'FY23 Actuals &amp; Projections'!J29*1.05</f>
        <v>399</v>
      </c>
      <c r="K29" s="20">
        <f>'FY23 Actuals &amp; Projections'!K29*1.05</f>
        <v>583.8315</v>
      </c>
      <c r="L29" s="20">
        <f>'FY23 Actuals &amp; Projections'!L29*1.05</f>
        <v>98.28315</v>
      </c>
      <c r="M29" s="20">
        <f>'FY23 Actuals &amp; Projections'!M29*1.05</f>
        <v>98.28315</v>
      </c>
      <c r="N29" s="14">
        <f t="shared" si="10"/>
        <v>1179.3978</v>
      </c>
      <c r="O29" s="2" t="s">
        <v>26</v>
      </c>
      <c r="Q29" s="11" t="s">
        <v>43</v>
      </c>
      <c r="R29" s="12"/>
    </row>
    <row r="30" ht="15.75" customHeight="1">
      <c r="A30" s="11" t="s">
        <v>49</v>
      </c>
      <c r="B30" s="20">
        <f>'FY23 Actuals &amp; Projections'!B30*1.05</f>
        <v>0</v>
      </c>
      <c r="C30" s="20">
        <f>'FY23 Actuals &amp; Projections'!C30*1.05</f>
        <v>0</v>
      </c>
      <c r="D30" s="20">
        <f>'FY23 Actuals &amp; Projections'!D30*1.05</f>
        <v>0</v>
      </c>
      <c r="E30" s="20">
        <f>'FY23 Actuals &amp; Projections'!E30*1.05</f>
        <v>0</v>
      </c>
      <c r="F30" s="20">
        <f>'FY23 Actuals &amp; Projections'!F30*1.05</f>
        <v>0</v>
      </c>
      <c r="G30" s="20">
        <f>'FY23 Actuals &amp; Projections'!G30*1.05</f>
        <v>0</v>
      </c>
      <c r="H30" s="20">
        <f>'FY23 Actuals &amp; Projections'!H30*1.05</f>
        <v>0</v>
      </c>
      <c r="I30" s="20">
        <f>'FY23 Actuals &amp; Projections'!I30*1.05</f>
        <v>6787.0425</v>
      </c>
      <c r="J30" s="20">
        <f>'FY23 Actuals &amp; Projections'!J30*1.05</f>
        <v>0</v>
      </c>
      <c r="K30" s="20">
        <f>'FY23 Actuals &amp; Projections'!K30*1.05</f>
        <v>15.876</v>
      </c>
      <c r="L30" s="20">
        <f>'FY23 Actuals &amp; Projections'!L30*1.05</f>
        <v>680.29185</v>
      </c>
      <c r="M30" s="20">
        <f>'FY23 Actuals &amp; Projections'!M30*1.05</f>
        <v>680.29185</v>
      </c>
      <c r="N30" s="14">
        <f t="shared" si="10"/>
        <v>8163.5022</v>
      </c>
      <c r="O30" s="19" t="s">
        <v>26</v>
      </c>
      <c r="Q30" s="11" t="s">
        <v>45</v>
      </c>
      <c r="R30" s="14">
        <v>0.0</v>
      </c>
    </row>
    <row r="31" ht="15.75" customHeight="1">
      <c r="A31" s="11" t="s">
        <v>50</v>
      </c>
      <c r="B31" s="16">
        <f t="shared" ref="B31:M31" si="11">((((B26)+(B27))+(B28))+(B29))+(B30)</f>
        <v>0</v>
      </c>
      <c r="C31" s="16">
        <f t="shared" si="11"/>
        <v>1176.357</v>
      </c>
      <c r="D31" s="16">
        <f t="shared" si="11"/>
        <v>9694.0095</v>
      </c>
      <c r="E31" s="16">
        <f t="shared" si="11"/>
        <v>1432.5465</v>
      </c>
      <c r="F31" s="16">
        <f t="shared" si="11"/>
        <v>6447.6195</v>
      </c>
      <c r="G31" s="16">
        <f t="shared" si="11"/>
        <v>849.5235</v>
      </c>
      <c r="H31" s="16">
        <f t="shared" si="11"/>
        <v>1224.846</v>
      </c>
      <c r="I31" s="16">
        <f t="shared" si="11"/>
        <v>7640.9655</v>
      </c>
      <c r="J31" s="16">
        <f t="shared" si="11"/>
        <v>399</v>
      </c>
      <c r="K31" s="16">
        <f t="shared" si="11"/>
        <v>599.7075</v>
      </c>
      <c r="L31" s="16">
        <f t="shared" si="11"/>
        <v>2946.4575</v>
      </c>
      <c r="M31" s="16">
        <f t="shared" si="11"/>
        <v>2946.4575</v>
      </c>
      <c r="N31" s="16">
        <f>(((((((((B31)+(C31))+(D31))+(E31))+(F31))+(G31))+(H31))+(I31))+(J31))+(K31)+L31+M31</f>
        <v>35357.49</v>
      </c>
      <c r="O31" s="17"/>
      <c r="Q31" s="11" t="s">
        <v>46</v>
      </c>
      <c r="R31" s="14">
        <v>0.0</v>
      </c>
    </row>
    <row r="32" ht="15.75" customHeight="1">
      <c r="A32" s="11" t="s">
        <v>51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4"/>
      <c r="O32" s="13"/>
      <c r="Q32" s="11" t="s">
        <v>47</v>
      </c>
      <c r="R32" s="14">
        <v>2000.0</v>
      </c>
    </row>
    <row r="33" ht="15.75" customHeight="1">
      <c r="A33" s="11" t="s">
        <v>52</v>
      </c>
      <c r="B33" s="15">
        <f>'Career Fair '!B12+'Appsec Lisbon '!B12+'Appsec San Francisco '!B12+'Appsec Singapore'!B12+'Project Summit '!C12</f>
        <v>0</v>
      </c>
      <c r="C33" s="15">
        <f>'Career Fair '!C12+'Appsec Lisbon '!C12+'Appsec San Francisco '!C12+'Appsec Singapore'!C12+'Project Summit '!D12</f>
        <v>33825</v>
      </c>
      <c r="D33" s="15">
        <f>'Career Fair '!D12+'Appsec Lisbon '!D12+'Appsec San Francisco '!D12+'Appsec Singapore'!D12+'Project Summit '!E12</f>
        <v>0</v>
      </c>
      <c r="E33" s="15">
        <f>'Career Fair '!E12+'Appsec Lisbon '!E12+'Appsec San Francisco '!E12+'Appsec Singapore'!E12+'Project Summit '!F12</f>
        <v>1749</v>
      </c>
      <c r="F33" s="15">
        <f>'Career Fair '!F12+'Appsec Lisbon '!F12+'Appsec San Francisco '!F12+'Appsec Singapore'!F12+'Project Summit '!G12</f>
        <v>33825</v>
      </c>
      <c r="G33" s="15">
        <f>'Career Fair '!G12+'Appsec Lisbon '!G12+'Appsec San Francisco '!G12+'Appsec Singapore'!G12+'Project Summit '!H12</f>
        <v>0</v>
      </c>
      <c r="H33" s="15">
        <f>'Career Fair '!H12+'Appsec Lisbon '!H12+'Appsec San Francisco '!H12+'Appsec Singapore'!H12+'Project Summit '!I12</f>
        <v>55050</v>
      </c>
      <c r="I33" s="15">
        <f>'Career Fair '!I12+'Appsec Lisbon '!I12+'Appsec San Francisco '!I12+'Appsec Singapore'!I12+'Project Summit '!J12</f>
        <v>0</v>
      </c>
      <c r="J33" s="15">
        <f>'Career Fair '!J12+'Appsec Lisbon '!J12+'Appsec San Francisco '!J12+'Appsec Singapore'!J12+'Project Summit '!K12</f>
        <v>0</v>
      </c>
      <c r="K33" s="15">
        <f>'Career Fair '!K12+'Appsec Lisbon '!K12+'Appsec San Francisco '!K12+'Appsec Singapore'!K12+'Project Summit '!L12</f>
        <v>83500</v>
      </c>
      <c r="L33" s="15">
        <f>'Career Fair '!L12+'Appsec Lisbon '!L12+'Appsec San Francisco '!L12+'Appsec Singapore'!L12+'Project Summit '!M12</f>
        <v>4000</v>
      </c>
      <c r="M33" s="15">
        <f>'Career Fair '!M12+'Appsec Lisbon '!M12+'Appsec San Francisco '!M12+'Appsec Singapore'!M12+'Project Summit '!N12</f>
        <v>0</v>
      </c>
      <c r="N33" s="14">
        <f t="shared" ref="N33:N55" si="12">(((((((((B33)+(C33))+(D33))+(E33))+(F33))+(G33))+(H33))+(I33))+(J33))+(K33)+L33+M33</f>
        <v>211949</v>
      </c>
      <c r="O33" s="2" t="s">
        <v>20</v>
      </c>
      <c r="Q33" s="11" t="s">
        <v>48</v>
      </c>
      <c r="R33" s="14">
        <v>0.0</v>
      </c>
    </row>
    <row r="34" ht="15.75" customHeight="1">
      <c r="A34" s="11" t="s">
        <v>53</v>
      </c>
      <c r="B34" s="15">
        <f>'Career Fair '!B13+'Appsec Lisbon '!B13+'Appsec San Francisco '!B13+'Appsec Singapore'!B13+'Project Summit '!C13</f>
        <v>0</v>
      </c>
      <c r="C34" s="15">
        <f>'Career Fair '!C13+'Appsec Lisbon '!C13+'Appsec San Francisco '!C13+'Appsec Singapore'!C13+'Project Summit '!D13</f>
        <v>7761</v>
      </c>
      <c r="D34" s="15">
        <f>'Career Fair '!D13+'Appsec Lisbon '!D13+'Appsec San Francisco '!D13+'Appsec Singapore'!D13+'Project Summit '!E13</f>
        <v>0</v>
      </c>
      <c r="E34" s="15">
        <f>'Career Fair '!E13+'Appsec Lisbon '!E13+'Appsec San Francisco '!E13+'Appsec Singapore'!E13+'Project Summit '!F13</f>
        <v>0</v>
      </c>
      <c r="F34" s="15">
        <f>'Career Fair '!F13+'Appsec Lisbon '!F13+'Appsec San Francisco '!F13+'Appsec Singapore'!F13+'Project Summit '!G13</f>
        <v>3321</v>
      </c>
      <c r="G34" s="15">
        <f>'Career Fair '!G13+'Appsec Lisbon '!G13+'Appsec San Francisco '!G13+'Appsec Singapore'!G13+'Project Summit '!H13</f>
        <v>1476</v>
      </c>
      <c r="H34" s="15">
        <f>'Career Fair '!H13+'Appsec Lisbon '!H13+'Appsec San Francisco '!H13+'Appsec Singapore'!H13+'Project Summit '!I13</f>
        <v>6520</v>
      </c>
      <c r="I34" s="15">
        <f>'Career Fair '!I13+'Appsec Lisbon '!I13+'Appsec San Francisco '!I13+'Appsec Singapore'!I13+'Project Summit '!J13</f>
        <v>16800</v>
      </c>
      <c r="J34" s="15">
        <f>'Career Fair '!J13+'Appsec Lisbon '!J13+'Appsec San Francisco '!J13+'Appsec Singapore'!J13+'Project Summit '!K13</f>
        <v>1500</v>
      </c>
      <c r="K34" s="15">
        <f>'Career Fair '!K13+'Appsec Lisbon '!K13+'Appsec San Francisco '!K13+'Appsec Singapore'!K13+'Project Summit '!L13</f>
        <v>12450</v>
      </c>
      <c r="L34" s="15">
        <f>'Career Fair '!L13+'Appsec Lisbon '!L13+'Appsec San Francisco '!L13+'Appsec Singapore'!L13+'Project Summit '!M13</f>
        <v>0</v>
      </c>
      <c r="M34" s="15">
        <f>'Career Fair '!M13+'Appsec Lisbon '!M13+'Appsec San Francisco '!M13+'Appsec Singapore'!M13+'Project Summit '!N13</f>
        <v>0</v>
      </c>
      <c r="N34" s="14">
        <f t="shared" si="12"/>
        <v>49828</v>
      </c>
      <c r="O34" s="2" t="s">
        <v>20</v>
      </c>
      <c r="Q34" s="11" t="s">
        <v>49</v>
      </c>
      <c r="R34" s="14">
        <v>0.0</v>
      </c>
    </row>
    <row r="35" ht="15.75" customHeight="1">
      <c r="A35" s="11" t="s">
        <v>54</v>
      </c>
      <c r="B35" s="15">
        <f>'Career Fair '!B14+'Appsec Lisbon '!B14+'Appsec San Francisco '!B14+'Appsec Singapore'!B14+'Project Summit '!C14</f>
        <v>0</v>
      </c>
      <c r="C35" s="15">
        <f>'Career Fair '!C14+'Appsec Lisbon '!C14+'Appsec San Francisco '!C14+'Appsec Singapore'!C14+'Project Summit '!D14</f>
        <v>0</v>
      </c>
      <c r="D35" s="15">
        <f>'Career Fair '!D14+'Appsec Lisbon '!D14+'Appsec San Francisco '!D14+'Appsec Singapore'!D14+'Project Summit '!E14</f>
        <v>0</v>
      </c>
      <c r="E35" s="15">
        <f>'Career Fair '!E14+'Appsec Lisbon '!E14+'Appsec San Francisco '!E14+'Appsec Singapore'!E14+'Project Summit '!F14</f>
        <v>0</v>
      </c>
      <c r="F35" s="15">
        <f>'Career Fair '!F14+'Appsec Lisbon '!F14+'Appsec San Francisco '!F14+'Appsec Singapore'!F14+'Project Summit '!G14</f>
        <v>0</v>
      </c>
      <c r="G35" s="15">
        <f>'Career Fair '!G14+'Appsec Lisbon '!G14+'Appsec San Francisco '!G14+'Appsec Singapore'!G14+'Project Summit '!H14</f>
        <v>369</v>
      </c>
      <c r="H35" s="15">
        <f>'Career Fair '!H14+'Appsec Lisbon '!H14+'Appsec San Francisco '!H14+'Appsec Singapore'!H14+'Project Summit '!I14</f>
        <v>0</v>
      </c>
      <c r="I35" s="15">
        <f>'Career Fair '!I14+'Appsec Lisbon '!I14+'Appsec San Francisco '!I14+'Appsec Singapore'!I14+'Project Summit '!J14</f>
        <v>0</v>
      </c>
      <c r="J35" s="15">
        <f>'Career Fair '!J14+'Appsec Lisbon '!J14+'Appsec San Francisco '!J14+'Appsec Singapore'!J14+'Project Summit '!K14</f>
        <v>600</v>
      </c>
      <c r="K35" s="15">
        <f>'Career Fair '!K14+'Appsec Lisbon '!K14+'Appsec San Francisco '!K14+'Appsec Singapore'!K14+'Project Summit '!L14</f>
        <v>510</v>
      </c>
      <c r="L35" s="15">
        <f>'Career Fair '!L14+'Appsec Lisbon '!L14+'Appsec San Francisco '!L14+'Appsec Singapore'!L14+'Project Summit '!M14</f>
        <v>0</v>
      </c>
      <c r="M35" s="15">
        <f>'Career Fair '!M14+'Appsec Lisbon '!M14+'Appsec San Francisco '!M14+'Appsec Singapore'!M14+'Project Summit '!N14</f>
        <v>0</v>
      </c>
      <c r="N35" s="14">
        <f t="shared" si="12"/>
        <v>1479</v>
      </c>
      <c r="O35" s="2" t="s">
        <v>20</v>
      </c>
      <c r="Q35" s="11" t="s">
        <v>50</v>
      </c>
      <c r="R35" s="16">
        <v>2000.0</v>
      </c>
    </row>
    <row r="36" ht="15.75" customHeight="1">
      <c r="A36" s="11" t="s">
        <v>55</v>
      </c>
      <c r="B36" s="15">
        <f>'Career Fair '!B15+'Appsec Lisbon '!B15+'Appsec San Francisco '!B15+'Appsec Singapore'!B15+'Project Summit '!C15</f>
        <v>164.04</v>
      </c>
      <c r="C36" s="15">
        <f>'Career Fair '!C15+'Appsec Lisbon '!C15+'Appsec San Francisco '!C15+'Appsec Singapore'!C15+'Project Summit '!D15</f>
        <v>250</v>
      </c>
      <c r="D36" s="15">
        <f>'Career Fair '!D15+'Appsec Lisbon '!D15+'Appsec San Francisco '!D15+'Appsec Singapore'!D15+'Project Summit '!E15</f>
        <v>300</v>
      </c>
      <c r="E36" s="15">
        <f>'Career Fair '!E15+'Appsec Lisbon '!E15+'Appsec San Francisco '!E15+'Appsec Singapore'!E15+'Project Summit '!F15</f>
        <v>410</v>
      </c>
      <c r="F36" s="15">
        <f>'Career Fair '!F15+'Appsec Lisbon '!F15+'Appsec San Francisco '!F15+'Appsec Singapore'!F15+'Project Summit '!G15</f>
        <v>610</v>
      </c>
      <c r="G36" s="15">
        <f>'Career Fair '!G15+'Appsec Lisbon '!G15+'Appsec San Francisco '!G15+'Appsec Singapore'!G15+'Project Summit '!H15</f>
        <v>820</v>
      </c>
      <c r="H36" s="15">
        <f>'Career Fair '!H15+'Appsec Lisbon '!H15+'Appsec San Francisco '!H15+'Appsec Singapore'!H15+'Project Summit '!I15</f>
        <v>420</v>
      </c>
      <c r="I36" s="15">
        <f>'Career Fair '!I15+'Appsec Lisbon '!I15+'Appsec San Francisco '!I15+'Appsec Singapore'!I15+'Project Summit '!J15</f>
        <v>525</v>
      </c>
      <c r="J36" s="15">
        <f>'Career Fair '!J15+'Appsec Lisbon '!J15+'Appsec San Francisco '!J15+'Appsec Singapore'!J15+'Project Summit '!K15</f>
        <v>530</v>
      </c>
      <c r="K36" s="15">
        <f>'Career Fair '!K15+'Appsec Lisbon '!K15+'Appsec San Francisco '!K15+'Appsec Singapore'!K15+'Project Summit '!L15</f>
        <v>30</v>
      </c>
      <c r="L36" s="15">
        <f>'Career Fair '!L15+'Appsec Lisbon '!L15+'Appsec San Francisco '!L15+'Appsec Singapore'!L15+'Project Summit '!M15</f>
        <v>2000</v>
      </c>
      <c r="M36" s="15">
        <f>'Career Fair '!M15+'Appsec Lisbon '!M15+'Appsec San Francisco '!M15+'Appsec Singapore'!M15+'Project Summit '!N15</f>
        <v>0</v>
      </c>
      <c r="N36" s="14">
        <f t="shared" si="12"/>
        <v>6059.04</v>
      </c>
      <c r="O36" s="2" t="s">
        <v>20</v>
      </c>
      <c r="Q36" s="11" t="s">
        <v>51</v>
      </c>
      <c r="R36" s="14">
        <v>1362969.0</v>
      </c>
    </row>
    <row r="37" ht="15.75" customHeight="1">
      <c r="A37" s="11" t="s">
        <v>56</v>
      </c>
      <c r="B37" s="15">
        <f>'Career Fair '!B16+'Appsec Lisbon '!B16+'Appsec San Francisco '!B16+'Appsec Singapore'!B16+'Project Summit '!C16</f>
        <v>0</v>
      </c>
      <c r="C37" s="15">
        <f>'Career Fair '!C16+'Appsec Lisbon '!C16+'Appsec San Francisco '!C16+'Appsec Singapore'!C16+'Project Summit '!D16</f>
        <v>0</v>
      </c>
      <c r="D37" s="15">
        <f>'Career Fair '!D16+'Appsec Lisbon '!D16+'Appsec San Francisco '!D16+'Appsec Singapore'!D16+'Project Summit '!E16</f>
        <v>0</v>
      </c>
      <c r="E37" s="15">
        <f>'Career Fair '!E16+'Appsec Lisbon '!E16+'Appsec San Francisco '!E16+'Appsec Singapore'!E16+'Project Summit '!F16</f>
        <v>0</v>
      </c>
      <c r="F37" s="15">
        <f>'Career Fair '!F16+'Appsec Lisbon '!F16+'Appsec San Francisco '!F16+'Appsec Singapore'!F16+'Project Summit '!G16</f>
        <v>110000</v>
      </c>
      <c r="G37" s="15">
        <f>'Career Fair '!G16+'Appsec Lisbon '!G16+'Appsec San Francisco '!G16+'Appsec Singapore'!G16+'Project Summit '!H16</f>
        <v>110000</v>
      </c>
      <c r="H37" s="15">
        <f>'Career Fair '!H16+'Appsec Lisbon '!H16+'Appsec San Francisco '!H16+'Appsec Singapore'!H16+'Project Summit '!I16</f>
        <v>5000</v>
      </c>
      <c r="I37" s="15">
        <f>'Career Fair '!I16+'Appsec Lisbon '!I16+'Appsec San Francisco '!I16+'Appsec Singapore'!I16+'Project Summit '!J16</f>
        <v>200000</v>
      </c>
      <c r="J37" s="15">
        <f>'Career Fair '!J16+'Appsec Lisbon '!J16+'Appsec San Francisco '!J16+'Appsec Singapore'!J16+'Project Summit '!K16</f>
        <v>25000</v>
      </c>
      <c r="K37" s="15">
        <f>'Career Fair '!K16+'Appsec Lisbon '!K16+'Appsec San Francisco '!K16+'Appsec Singapore'!K16+'Project Summit '!L16</f>
        <v>200000</v>
      </c>
      <c r="L37" s="15">
        <f>'Career Fair '!L16+'Appsec Lisbon '!L16+'Appsec San Francisco '!L16+'Appsec Singapore'!L16+'Project Summit '!M16</f>
        <v>5400</v>
      </c>
      <c r="M37" s="15">
        <f>'Career Fair '!M16+'Appsec Lisbon '!M16+'Appsec San Francisco '!M16+'Appsec Singapore'!M16+'Project Summit '!N16</f>
        <v>0</v>
      </c>
      <c r="N37" s="14">
        <f t="shared" si="12"/>
        <v>655400</v>
      </c>
      <c r="O37" s="2" t="s">
        <v>20</v>
      </c>
      <c r="Q37" s="11" t="s">
        <v>52</v>
      </c>
      <c r="R37" s="14">
        <v>0.0</v>
      </c>
    </row>
    <row r="38" ht="15.75" customHeight="1">
      <c r="A38" s="11" t="s">
        <v>57</v>
      </c>
      <c r="B38" s="15">
        <f>'Career Fair '!B17+'Appsec Lisbon '!B17+'Appsec San Francisco '!B17+'Appsec Singapore'!B17+'Project Summit '!C17</f>
        <v>0</v>
      </c>
      <c r="C38" s="15">
        <f>'Career Fair '!C17+'Appsec Lisbon '!C17+'Appsec San Francisco '!C17+'Appsec Singapore'!C17+'Project Summit '!D17</f>
        <v>0</v>
      </c>
      <c r="D38" s="15">
        <f>'Career Fair '!D17+'Appsec Lisbon '!D17+'Appsec San Francisco '!D17+'Appsec Singapore'!D17+'Project Summit '!E17</f>
        <v>250</v>
      </c>
      <c r="E38" s="15">
        <f>'Career Fair '!E17+'Appsec Lisbon '!E17+'Appsec San Francisco '!E17+'Appsec Singapore'!E17+'Project Summit '!F17</f>
        <v>0</v>
      </c>
      <c r="F38" s="15">
        <f>'Career Fair '!F17+'Appsec Lisbon '!F17+'Appsec San Francisco '!F17+'Appsec Singapore'!F17+'Project Summit '!G17</f>
        <v>0</v>
      </c>
      <c r="G38" s="15">
        <f>'Career Fair '!G17+'Appsec Lisbon '!G17+'Appsec San Francisco '!G17+'Appsec Singapore'!G17+'Project Summit '!H17</f>
        <v>0</v>
      </c>
      <c r="H38" s="15">
        <f>'Career Fair '!H17+'Appsec Lisbon '!H17+'Appsec San Francisco '!H17+'Appsec Singapore'!H17+'Project Summit '!I17</f>
        <v>0</v>
      </c>
      <c r="I38" s="15">
        <f>'Career Fair '!I17+'Appsec Lisbon '!I17+'Appsec San Francisco '!I17+'Appsec Singapore'!I17+'Project Summit '!J17</f>
        <v>0</v>
      </c>
      <c r="J38" s="15">
        <f>'Career Fair '!J17+'Appsec Lisbon '!J17+'Appsec San Francisco '!J17+'Appsec Singapore'!J17+'Project Summit '!K17</f>
        <v>0</v>
      </c>
      <c r="K38" s="15">
        <f>'Career Fair '!K17+'Appsec Lisbon '!K17+'Appsec San Francisco '!K17+'Appsec Singapore'!K17+'Project Summit '!L17</f>
        <v>0</v>
      </c>
      <c r="L38" s="15">
        <f>'Career Fair '!L17+'Appsec Lisbon '!L17+'Appsec San Francisco '!L17+'Appsec Singapore'!L17+'Project Summit '!M17</f>
        <v>0</v>
      </c>
      <c r="M38" s="15">
        <f>'Career Fair '!M17+'Appsec Lisbon '!M17+'Appsec San Francisco '!M17+'Appsec Singapore'!M17+'Project Summit '!N17</f>
        <v>0</v>
      </c>
      <c r="N38" s="14">
        <f t="shared" si="12"/>
        <v>250</v>
      </c>
      <c r="O38" s="2" t="s">
        <v>20</v>
      </c>
      <c r="Q38" s="11" t="s">
        <v>53</v>
      </c>
      <c r="R38" s="14">
        <v>0.0</v>
      </c>
    </row>
    <row r="39" ht="15.75" customHeight="1">
      <c r="A39" s="11" t="s">
        <v>58</v>
      </c>
      <c r="B39" s="15">
        <f>'Career Fair '!B18+'Appsec Lisbon '!B18+'Appsec San Francisco '!B18+'Appsec Singapore'!B18+'Project Summit '!C18</f>
        <v>0</v>
      </c>
      <c r="C39" s="15">
        <f>'Career Fair '!C18+'Appsec Lisbon '!C18+'Appsec San Francisco '!C18+'Appsec Singapore'!C18+'Project Summit '!D18</f>
        <v>0</v>
      </c>
      <c r="D39" s="15">
        <f>'Career Fair '!D18+'Appsec Lisbon '!D18+'Appsec San Francisco '!D18+'Appsec Singapore'!D18+'Project Summit '!E18</f>
        <v>0</v>
      </c>
      <c r="E39" s="15">
        <f>'Career Fair '!E18+'Appsec Lisbon '!E18+'Appsec San Francisco '!E18+'Appsec Singapore'!E18+'Project Summit '!F18</f>
        <v>1000</v>
      </c>
      <c r="F39" s="15">
        <f>'Career Fair '!F18+'Appsec Lisbon '!F18+'Appsec San Francisco '!F18+'Appsec Singapore'!F18+'Project Summit '!G18</f>
        <v>1000</v>
      </c>
      <c r="G39" s="15">
        <f>'Career Fair '!G18+'Appsec Lisbon '!G18+'Appsec San Francisco '!G18+'Appsec Singapore'!G18+'Project Summit '!H18</f>
        <v>0</v>
      </c>
      <c r="H39" s="15">
        <f>'Career Fair '!H18+'Appsec Lisbon '!H18+'Appsec San Francisco '!H18+'Appsec Singapore'!H18+'Project Summit '!I18</f>
        <v>1000</v>
      </c>
      <c r="I39" s="15">
        <f>'Career Fair '!I18+'Appsec Lisbon '!I18+'Appsec San Francisco '!I18+'Appsec Singapore'!I18+'Project Summit '!J18</f>
        <v>750</v>
      </c>
      <c r="J39" s="15">
        <f>'Career Fair '!J18+'Appsec Lisbon '!J18+'Appsec San Francisco '!J18+'Appsec Singapore'!J18+'Project Summit '!K18</f>
        <v>0</v>
      </c>
      <c r="K39" s="15">
        <f>'Career Fair '!K18+'Appsec Lisbon '!K18+'Appsec San Francisco '!K18+'Appsec Singapore'!K18+'Project Summit '!L18</f>
        <v>0</v>
      </c>
      <c r="L39" s="15">
        <f>'Career Fair '!L18+'Appsec Lisbon '!L18+'Appsec San Francisco '!L18+'Appsec Singapore'!L18+'Project Summit '!M18</f>
        <v>0</v>
      </c>
      <c r="M39" s="15">
        <f>'Career Fair '!M18+'Appsec Lisbon '!M18+'Appsec San Francisco '!M18+'Appsec Singapore'!M18+'Project Summit '!N18</f>
        <v>0</v>
      </c>
      <c r="N39" s="14">
        <f t="shared" si="12"/>
        <v>3750</v>
      </c>
      <c r="O39" s="2" t="s">
        <v>20</v>
      </c>
      <c r="Q39" s="11" t="s">
        <v>54</v>
      </c>
      <c r="R39" s="14">
        <v>0.0</v>
      </c>
    </row>
    <row r="40" ht="15.75" customHeight="1">
      <c r="A40" s="11" t="s">
        <v>59</v>
      </c>
      <c r="B40" s="15">
        <f>'Career Fair '!B19+'Appsec Lisbon '!B19+'Appsec San Francisco '!B19+'Appsec Singapore'!B19+'Project Summit '!C19</f>
        <v>0</v>
      </c>
      <c r="C40" s="15">
        <f>'Career Fair '!C19+'Appsec Lisbon '!C19+'Appsec San Francisco '!C19+'Appsec Singapore'!C19+'Project Summit '!D19</f>
        <v>0</v>
      </c>
      <c r="D40" s="15">
        <f>'Career Fair '!D19+'Appsec Lisbon '!D19+'Appsec San Francisco '!D19+'Appsec Singapore'!D19+'Project Summit '!E19</f>
        <v>3370</v>
      </c>
      <c r="E40" s="15">
        <f>'Career Fair '!E19+'Appsec Lisbon '!E19+'Appsec San Francisco '!E19+'Appsec Singapore'!E19+'Project Summit '!F19</f>
        <v>0</v>
      </c>
      <c r="F40" s="15">
        <f>'Career Fair '!F19+'Appsec Lisbon '!F19+'Appsec San Francisco '!F19+'Appsec Singapore'!F19+'Project Summit '!G19</f>
        <v>0</v>
      </c>
      <c r="G40" s="15">
        <f>'Career Fair '!G19+'Appsec Lisbon '!G19+'Appsec San Francisco '!G19+'Appsec Singapore'!G19+'Project Summit '!H19</f>
        <v>45</v>
      </c>
      <c r="H40" s="15">
        <f>'Career Fair '!H19+'Appsec Lisbon '!H19+'Appsec San Francisco '!H19+'Appsec Singapore'!H19+'Project Summit '!I19</f>
        <v>0</v>
      </c>
      <c r="I40" s="15">
        <f>'Career Fair '!I19+'Appsec Lisbon '!I19+'Appsec San Francisco '!I19+'Appsec Singapore'!I19+'Project Summit '!J19</f>
        <v>1402.9</v>
      </c>
      <c r="J40" s="15">
        <f>'Career Fair '!J19+'Appsec Lisbon '!J19+'Appsec San Francisco '!J19+'Appsec Singapore'!J19+'Project Summit '!K19</f>
        <v>4889.25</v>
      </c>
      <c r="K40" s="15">
        <f>'Career Fair '!K19+'Appsec Lisbon '!K19+'Appsec San Francisco '!K19+'Appsec Singapore'!K19+'Project Summit '!L19</f>
        <v>0</v>
      </c>
      <c r="L40" s="15">
        <f>'Career Fair '!L19+'Appsec Lisbon '!L19+'Appsec San Francisco '!L19+'Appsec Singapore'!L19+'Project Summit '!M19</f>
        <v>0</v>
      </c>
      <c r="M40" s="15">
        <f>'Career Fair '!M19+'Appsec Lisbon '!M19+'Appsec San Francisco '!M19+'Appsec Singapore'!M19+'Project Summit '!N19</f>
        <v>0</v>
      </c>
      <c r="N40" s="14">
        <f t="shared" si="12"/>
        <v>9707.15</v>
      </c>
      <c r="O40" s="2" t="s">
        <v>20</v>
      </c>
      <c r="Q40" s="11" t="s">
        <v>55</v>
      </c>
      <c r="R40" s="14">
        <v>0.0</v>
      </c>
    </row>
    <row r="41" ht="15.75" customHeight="1">
      <c r="A41" s="11" t="s">
        <v>60</v>
      </c>
      <c r="B41" s="15">
        <f>'Career Fair '!B20+'Appsec Lisbon '!B20+'Appsec San Francisco '!B20+'Appsec Singapore'!B20+'Project Summit '!C20</f>
        <v>0</v>
      </c>
      <c r="C41" s="15">
        <f>'Career Fair '!C20+'Appsec Lisbon '!C20+'Appsec San Francisco '!C20+'Appsec Singapore'!C20+'Project Summit '!D20</f>
        <v>0</v>
      </c>
      <c r="D41" s="15">
        <f>'Career Fair '!D20+'Appsec Lisbon '!D20+'Appsec San Francisco '!D20+'Appsec Singapore'!D20+'Project Summit '!E20</f>
        <v>0</v>
      </c>
      <c r="E41" s="15">
        <f>'Career Fair '!E20+'Appsec Lisbon '!E20+'Appsec San Francisco '!E20+'Appsec Singapore'!E20+'Project Summit '!F20</f>
        <v>0</v>
      </c>
      <c r="F41" s="15">
        <f>'Career Fair '!F20+'Appsec Lisbon '!F20+'Appsec San Francisco '!F20+'Appsec Singapore'!F20+'Project Summit '!G20</f>
        <v>0</v>
      </c>
      <c r="G41" s="15">
        <f>'Career Fair '!G20+'Appsec Lisbon '!G20+'Appsec San Francisco '!G20+'Appsec Singapore'!G20+'Project Summit '!H20</f>
        <v>0</v>
      </c>
      <c r="H41" s="15">
        <f>'Career Fair '!H20+'Appsec Lisbon '!H20+'Appsec San Francisco '!H20+'Appsec Singapore'!H20+'Project Summit '!I20</f>
        <v>0</v>
      </c>
      <c r="I41" s="15">
        <f>'Career Fair '!I20+'Appsec Lisbon '!I20+'Appsec San Francisco '!I20+'Appsec Singapore'!I20+'Project Summit '!J20</f>
        <v>0</v>
      </c>
      <c r="J41" s="15">
        <f>'Career Fair '!J20+'Appsec Lisbon '!J20+'Appsec San Francisco '!J20+'Appsec Singapore'!J20+'Project Summit '!K20</f>
        <v>0</v>
      </c>
      <c r="K41" s="15">
        <f>'Career Fair '!K20+'Appsec Lisbon '!K20+'Appsec San Francisco '!K20+'Appsec Singapore'!K20+'Project Summit '!L20</f>
        <v>0</v>
      </c>
      <c r="L41" s="15">
        <f>'Career Fair '!L20+'Appsec Lisbon '!L20+'Appsec San Francisco '!L20+'Appsec Singapore'!L20+'Project Summit '!M20</f>
        <v>0</v>
      </c>
      <c r="M41" s="15">
        <f>'Career Fair '!M20+'Appsec Lisbon '!M20+'Appsec San Francisco '!M20+'Appsec Singapore'!M20+'Project Summit '!N20</f>
        <v>0</v>
      </c>
      <c r="N41" s="14">
        <f t="shared" si="12"/>
        <v>0</v>
      </c>
      <c r="O41" s="2" t="s">
        <v>20</v>
      </c>
      <c r="Q41" s="11" t="s">
        <v>56</v>
      </c>
      <c r="R41" s="14">
        <v>0.0</v>
      </c>
    </row>
    <row r="42" ht="15.75" customHeight="1">
      <c r="A42" s="11" t="s">
        <v>61</v>
      </c>
      <c r="B42" s="15">
        <f>'Career Fair '!B21+'Appsec Lisbon '!B21+'Appsec San Francisco '!B21+'Appsec Singapore'!B21+'Project Summit '!C21</f>
        <v>0</v>
      </c>
      <c r="C42" s="15">
        <f>'Career Fair '!C21+'Appsec Lisbon '!C21+'Appsec San Francisco '!C21+'Appsec Singapore'!C21+'Project Summit '!D21</f>
        <v>0</v>
      </c>
      <c r="D42" s="15">
        <f>'Career Fair '!D21+'Appsec Lisbon '!D21+'Appsec San Francisco '!D21+'Appsec Singapore'!D21+'Project Summit '!E21</f>
        <v>200</v>
      </c>
      <c r="E42" s="15">
        <f>'Career Fair '!E21+'Appsec Lisbon '!E21+'Appsec San Francisco '!E21+'Appsec Singapore'!E21+'Project Summit '!F21</f>
        <v>300</v>
      </c>
      <c r="F42" s="15">
        <f>'Career Fair '!F21+'Appsec Lisbon '!F21+'Appsec San Francisco '!F21+'Appsec Singapore'!F21+'Project Summit '!G21</f>
        <v>0</v>
      </c>
      <c r="G42" s="15">
        <f>'Career Fair '!G21+'Appsec Lisbon '!G21+'Appsec San Francisco '!G21+'Appsec Singapore'!G21+'Project Summit '!H21</f>
        <v>7000</v>
      </c>
      <c r="H42" s="15">
        <f>'Career Fair '!H21+'Appsec Lisbon '!H21+'Appsec San Francisco '!H21+'Appsec Singapore'!H21+'Project Summit '!I21</f>
        <v>1500</v>
      </c>
      <c r="I42" s="15">
        <f>'Career Fair '!I21+'Appsec Lisbon '!I21+'Appsec San Francisco '!I21+'Appsec Singapore'!I21+'Project Summit '!J21</f>
        <v>500</v>
      </c>
      <c r="J42" s="15">
        <f>'Career Fair '!J21+'Appsec Lisbon '!J21+'Appsec San Francisco '!J21+'Appsec Singapore'!J21+'Project Summit '!K21</f>
        <v>1000</v>
      </c>
      <c r="K42" s="15">
        <f>'Career Fair '!K21+'Appsec Lisbon '!K21+'Appsec San Francisco '!K21+'Appsec Singapore'!K21+'Project Summit '!L21</f>
        <v>500</v>
      </c>
      <c r="L42" s="15">
        <f>'Career Fair '!L21+'Appsec Lisbon '!L21+'Appsec San Francisco '!L21+'Appsec Singapore'!L21+'Project Summit '!M21</f>
        <v>0</v>
      </c>
      <c r="M42" s="15">
        <f>'Career Fair '!M21+'Appsec Lisbon '!M21+'Appsec San Francisco '!M21+'Appsec Singapore'!M21+'Project Summit '!N21</f>
        <v>0</v>
      </c>
      <c r="N42" s="14">
        <f t="shared" si="12"/>
        <v>11000</v>
      </c>
      <c r="O42" s="2" t="s">
        <v>20</v>
      </c>
      <c r="Q42" s="11" t="s">
        <v>57</v>
      </c>
      <c r="R42" s="14">
        <v>0.0</v>
      </c>
    </row>
    <row r="43" ht="15.75" customHeight="1">
      <c r="A43" s="11" t="s">
        <v>62</v>
      </c>
      <c r="B43" s="15">
        <f>'Career Fair '!B22+'Appsec Lisbon '!B22+'Appsec San Francisco '!B22+'Appsec Singapore'!B22+'Project Summit '!C22</f>
        <v>0</v>
      </c>
      <c r="C43" s="15">
        <f>'Career Fair '!C22+'Appsec Lisbon '!C22+'Appsec San Francisco '!C22+'Appsec Singapore'!C22+'Project Summit '!D22</f>
        <v>0</v>
      </c>
      <c r="D43" s="15">
        <f>'Career Fair '!D22+'Appsec Lisbon '!D22+'Appsec San Francisco '!D22+'Appsec Singapore'!D22+'Project Summit '!E22</f>
        <v>0</v>
      </c>
      <c r="E43" s="15">
        <f>'Career Fair '!E22+'Appsec Lisbon '!E22+'Appsec San Francisco '!E22+'Appsec Singapore'!E22+'Project Summit '!F22</f>
        <v>1500</v>
      </c>
      <c r="F43" s="15">
        <f>'Career Fair '!F22+'Appsec Lisbon '!F22+'Appsec San Francisco '!F22+'Appsec Singapore'!F22+'Project Summit '!G22</f>
        <v>1500</v>
      </c>
      <c r="G43" s="15">
        <f>'Career Fair '!G22+'Appsec Lisbon '!G22+'Appsec San Francisco '!G22+'Appsec Singapore'!G22+'Project Summit '!H22</f>
        <v>300</v>
      </c>
      <c r="H43" s="15">
        <f>'Career Fair '!H22+'Appsec Lisbon '!H22+'Appsec San Francisco '!H22+'Appsec Singapore'!H22+'Project Summit '!I22</f>
        <v>3000</v>
      </c>
      <c r="I43" s="15">
        <f>'Career Fair '!I22+'Appsec Lisbon '!I22+'Appsec San Francisco '!I22+'Appsec Singapore'!I22+'Project Summit '!J22</f>
        <v>3000</v>
      </c>
      <c r="J43" s="15">
        <f>'Career Fair '!J22+'Appsec Lisbon '!J22+'Appsec San Francisco '!J22+'Appsec Singapore'!J22+'Project Summit '!K22</f>
        <v>250</v>
      </c>
      <c r="K43" s="15">
        <f>'Career Fair '!K22+'Appsec Lisbon '!K22+'Appsec San Francisco '!K22+'Appsec Singapore'!K22+'Project Summit '!L22</f>
        <v>200</v>
      </c>
      <c r="L43" s="15">
        <f>'Career Fair '!L22+'Appsec Lisbon '!L22+'Appsec San Francisco '!L22+'Appsec Singapore'!L22+'Project Summit '!M22</f>
        <v>150</v>
      </c>
      <c r="M43" s="15">
        <f>'Career Fair '!M22+'Appsec Lisbon '!M22+'Appsec San Francisco '!M22+'Appsec Singapore'!M22+'Project Summit '!N22</f>
        <v>0</v>
      </c>
      <c r="N43" s="14">
        <f t="shared" si="12"/>
        <v>9900</v>
      </c>
      <c r="O43" s="2" t="s">
        <v>20</v>
      </c>
      <c r="Q43" s="11" t="s">
        <v>58</v>
      </c>
      <c r="R43" s="14">
        <v>36499.99999999999</v>
      </c>
    </row>
    <row r="44" ht="25.5" customHeight="1">
      <c r="A44" s="11" t="s">
        <v>63</v>
      </c>
      <c r="B44" s="15">
        <f>'Career Fair '!B23+'Appsec Lisbon '!B23+'Appsec San Francisco '!B23+'Appsec Singapore'!B23+'Project Summit '!C23</f>
        <v>0</v>
      </c>
      <c r="C44" s="15">
        <f>'Career Fair '!C23+'Appsec Lisbon '!C23+'Appsec San Francisco '!C23+'Appsec Singapore'!C23+'Project Summit '!D23</f>
        <v>0</v>
      </c>
      <c r="D44" s="15">
        <f>'Career Fair '!D23+'Appsec Lisbon '!D23+'Appsec San Francisco '!D23+'Appsec Singapore'!D23+'Project Summit '!E23</f>
        <v>0</v>
      </c>
      <c r="E44" s="15">
        <f>'Career Fair '!E23+'Appsec Lisbon '!E23+'Appsec San Francisco '!E23+'Appsec Singapore'!E23+'Project Summit '!F23</f>
        <v>0</v>
      </c>
      <c r="F44" s="15">
        <f>'Career Fair '!F23+'Appsec Lisbon '!F23+'Appsec San Francisco '!F23+'Appsec Singapore'!F23+'Project Summit '!G23</f>
        <v>0</v>
      </c>
      <c r="G44" s="15">
        <f>'Career Fair '!G23+'Appsec Lisbon '!G23+'Appsec San Francisco '!G23+'Appsec Singapore'!G23+'Project Summit '!H23</f>
        <v>50</v>
      </c>
      <c r="H44" s="15">
        <f>'Career Fair '!H23+'Appsec Lisbon '!H23+'Appsec San Francisco '!H23+'Appsec Singapore'!H23+'Project Summit '!I23</f>
        <v>0</v>
      </c>
      <c r="I44" s="15">
        <f>'Career Fair '!I23+'Appsec Lisbon '!I23+'Appsec San Francisco '!I23+'Appsec Singapore'!I23+'Project Summit '!J23</f>
        <v>0</v>
      </c>
      <c r="J44" s="15">
        <f>'Career Fair '!J23+'Appsec Lisbon '!J23+'Appsec San Francisco '!J23+'Appsec Singapore'!J23+'Project Summit '!K23</f>
        <v>600</v>
      </c>
      <c r="K44" s="15">
        <f>'Career Fair '!K23+'Appsec Lisbon '!K23+'Appsec San Francisco '!K23+'Appsec Singapore'!K23+'Project Summit '!L23</f>
        <v>0</v>
      </c>
      <c r="L44" s="15">
        <f>'Career Fair '!L23+'Appsec Lisbon '!L23+'Appsec San Francisco '!L23+'Appsec Singapore'!L23+'Project Summit '!M23</f>
        <v>0</v>
      </c>
      <c r="M44" s="15">
        <f>'Career Fair '!M23+'Appsec Lisbon '!M23+'Appsec San Francisco '!M23+'Appsec Singapore'!M23+'Project Summit '!N23</f>
        <v>0</v>
      </c>
      <c r="N44" s="14">
        <f t="shared" si="12"/>
        <v>650</v>
      </c>
      <c r="O44" s="2" t="s">
        <v>20</v>
      </c>
      <c r="Q44" s="11" t="s">
        <v>59</v>
      </c>
      <c r="R44" s="14">
        <v>0.0</v>
      </c>
    </row>
    <row r="45" ht="15.75" customHeight="1">
      <c r="A45" s="11" t="s">
        <v>64</v>
      </c>
      <c r="B45" s="15">
        <f>'Career Fair '!B24+'Appsec Lisbon '!B24+'Appsec San Francisco '!B24+'Appsec Singapore'!B24+'Project Summit '!C24</f>
        <v>3500</v>
      </c>
      <c r="C45" s="15">
        <f>'Career Fair '!C24+'Appsec Lisbon '!C24+'Appsec San Francisco '!C24+'Appsec Singapore'!C24+'Project Summit '!D24</f>
        <v>0</v>
      </c>
      <c r="D45" s="15">
        <f>'Career Fair '!D24+'Appsec Lisbon '!D24+'Appsec San Francisco '!D24+'Appsec Singapore'!D24+'Project Summit '!E24</f>
        <v>0</v>
      </c>
      <c r="E45" s="15">
        <f>'Career Fair '!E24+'Appsec Lisbon '!E24+'Appsec San Francisco '!E24+'Appsec Singapore'!E24+'Project Summit '!F24</f>
        <v>0</v>
      </c>
      <c r="F45" s="15">
        <f>'Career Fair '!F24+'Appsec Lisbon '!F24+'Appsec San Francisco '!F24+'Appsec Singapore'!F24+'Project Summit '!G24</f>
        <v>0</v>
      </c>
      <c r="G45" s="15">
        <f>'Career Fair '!G24+'Appsec Lisbon '!G24+'Appsec San Francisco '!G24+'Appsec Singapore'!G24+'Project Summit '!H24</f>
        <v>0</v>
      </c>
      <c r="H45" s="15">
        <f>'Career Fair '!H24+'Appsec Lisbon '!H24+'Appsec San Francisco '!H24+'Appsec Singapore'!H24+'Project Summit '!I24</f>
        <v>0</v>
      </c>
      <c r="I45" s="15">
        <f>'Career Fair '!I24+'Appsec Lisbon '!I24+'Appsec San Francisco '!I24+'Appsec Singapore'!I24+'Project Summit '!J24</f>
        <v>0</v>
      </c>
      <c r="J45" s="15">
        <f>'Career Fair '!J24+'Appsec Lisbon '!J24+'Appsec San Francisco '!J24+'Appsec Singapore'!J24+'Project Summit '!K24</f>
        <v>0</v>
      </c>
      <c r="K45" s="15">
        <f>'Career Fair '!K24+'Appsec Lisbon '!K24+'Appsec San Francisco '!K24+'Appsec Singapore'!K24+'Project Summit '!L24</f>
        <v>0</v>
      </c>
      <c r="L45" s="15">
        <f>'Career Fair '!L24+'Appsec Lisbon '!L24+'Appsec San Francisco '!L24+'Appsec Singapore'!L24+'Project Summit '!M24</f>
        <v>0</v>
      </c>
      <c r="M45" s="15">
        <f>'Career Fair '!M24+'Appsec Lisbon '!M24+'Appsec San Francisco '!M24+'Appsec Singapore'!M24+'Project Summit '!N24</f>
        <v>0</v>
      </c>
      <c r="N45" s="14">
        <f t="shared" si="12"/>
        <v>3500</v>
      </c>
      <c r="O45" s="2" t="s">
        <v>20</v>
      </c>
      <c r="Q45" s="11" t="s">
        <v>60</v>
      </c>
      <c r="R45" s="14">
        <v>0.0</v>
      </c>
    </row>
    <row r="46" ht="15.75" customHeight="1">
      <c r="A46" s="11" t="s">
        <v>65</v>
      </c>
      <c r="B46" s="15">
        <f>'Career Fair '!B25+'Appsec Lisbon '!B25+'Appsec San Francisco '!B25+'Appsec Singapore'!B25+'Project Summit '!C25</f>
        <v>0</v>
      </c>
      <c r="C46" s="15">
        <f>'Career Fair '!C25+'Appsec Lisbon '!C25+'Appsec San Francisco '!C25+'Appsec Singapore'!C25+'Project Summit '!D25</f>
        <v>0</v>
      </c>
      <c r="D46" s="15">
        <f>'Career Fair '!D25+'Appsec Lisbon '!D25+'Appsec San Francisco '!D25+'Appsec Singapore'!D25+'Project Summit '!E25</f>
        <v>0</v>
      </c>
      <c r="E46" s="15">
        <f>'Career Fair '!E25+'Appsec Lisbon '!E25+'Appsec San Francisco '!E25+'Appsec Singapore'!E25+'Project Summit '!F25</f>
        <v>0</v>
      </c>
      <c r="F46" s="15">
        <f>'Career Fair '!F25+'Appsec Lisbon '!F25+'Appsec San Francisco '!F25+'Appsec Singapore'!F25+'Project Summit '!G25</f>
        <v>0</v>
      </c>
      <c r="G46" s="15">
        <f>'Career Fair '!G25+'Appsec Lisbon '!G25+'Appsec San Francisco '!G25+'Appsec Singapore'!G25+'Project Summit '!H25</f>
        <v>2246</v>
      </c>
      <c r="H46" s="15">
        <f>'Career Fair '!H25+'Appsec Lisbon '!H25+'Appsec San Francisco '!H25+'Appsec Singapore'!H25+'Project Summit '!I25</f>
        <v>0</v>
      </c>
      <c r="I46" s="15">
        <f>'Career Fair '!I25+'Appsec Lisbon '!I25+'Appsec San Francisco '!I25+'Appsec Singapore'!I25+'Project Summit '!J25</f>
        <v>0</v>
      </c>
      <c r="J46" s="15">
        <f>'Career Fair '!J25+'Appsec Lisbon '!J25+'Appsec San Francisco '!J25+'Appsec Singapore'!J25+'Project Summit '!K25</f>
        <v>1450</v>
      </c>
      <c r="K46" s="15">
        <f>'Career Fair '!K25+'Appsec Lisbon '!K25+'Appsec San Francisco '!K25+'Appsec Singapore'!K25+'Project Summit '!L25</f>
        <v>240</v>
      </c>
      <c r="L46" s="15">
        <f>'Career Fair '!L25+'Appsec Lisbon '!L25+'Appsec San Francisco '!L25+'Appsec Singapore'!L25+'Project Summit '!M25</f>
        <v>0</v>
      </c>
      <c r="M46" s="15">
        <f>'Career Fair '!M25+'Appsec Lisbon '!M25+'Appsec San Francisco '!M25+'Appsec Singapore'!M25+'Project Summit '!N25</f>
        <v>0</v>
      </c>
      <c r="N46" s="14">
        <f t="shared" si="12"/>
        <v>3936</v>
      </c>
      <c r="O46" s="2" t="s">
        <v>20</v>
      </c>
      <c r="Q46" s="11" t="s">
        <v>61</v>
      </c>
      <c r="R46" s="14">
        <v>0.0</v>
      </c>
    </row>
    <row r="47" ht="15.75" customHeight="1">
      <c r="A47" s="11" t="s">
        <v>66</v>
      </c>
      <c r="B47" s="15">
        <f>'Career Fair '!B26+'Appsec Lisbon '!B26+'Appsec San Francisco '!B26+'Appsec Singapore'!B26+'Project Summit '!C26</f>
        <v>0</v>
      </c>
      <c r="C47" s="15">
        <f>'Career Fair '!C26+'Appsec Lisbon '!C26+'Appsec San Francisco '!C26+'Appsec Singapore'!C26+'Project Summit '!D26</f>
        <v>0</v>
      </c>
      <c r="D47" s="15">
        <f>'Career Fair '!D26+'Appsec Lisbon '!D26+'Appsec San Francisco '!D26+'Appsec Singapore'!D26+'Project Summit '!E26</f>
        <v>0</v>
      </c>
      <c r="E47" s="15">
        <f>'Career Fair '!E26+'Appsec Lisbon '!E26+'Appsec San Francisco '!E26+'Appsec Singapore'!E26+'Project Summit '!F26</f>
        <v>0</v>
      </c>
      <c r="F47" s="15">
        <f>'Career Fair '!F26+'Appsec Lisbon '!F26+'Appsec San Francisco '!F26+'Appsec Singapore'!F26+'Project Summit '!G26</f>
        <v>0</v>
      </c>
      <c r="G47" s="15">
        <f>'Career Fair '!G26+'Appsec Lisbon '!G26+'Appsec San Francisco '!G26+'Appsec Singapore'!G26+'Project Summit '!H26</f>
        <v>500</v>
      </c>
      <c r="H47" s="15">
        <f>'Career Fair '!H26+'Appsec Lisbon '!H26+'Appsec San Francisco '!H26+'Appsec Singapore'!H26+'Project Summit '!I26</f>
        <v>0</v>
      </c>
      <c r="I47" s="15">
        <f>'Career Fair '!I26+'Appsec Lisbon '!I26+'Appsec San Francisco '!I26+'Appsec Singapore'!I26+'Project Summit '!J26</f>
        <v>0</v>
      </c>
      <c r="J47" s="15">
        <f>'Career Fair '!J26+'Appsec Lisbon '!J26+'Appsec San Francisco '!J26+'Appsec Singapore'!J26+'Project Summit '!K26</f>
        <v>500</v>
      </c>
      <c r="K47" s="15">
        <f>'Career Fair '!K26+'Appsec Lisbon '!K26+'Appsec San Francisco '!K26+'Appsec Singapore'!K26+'Project Summit '!L26</f>
        <v>0</v>
      </c>
      <c r="L47" s="15">
        <f>'Career Fair '!L26+'Appsec Lisbon '!L26+'Appsec San Francisco '!L26+'Appsec Singapore'!L26+'Project Summit '!M26</f>
        <v>0</v>
      </c>
      <c r="M47" s="15">
        <f>'Career Fair '!M26+'Appsec Lisbon '!M26+'Appsec San Francisco '!M26+'Appsec Singapore'!M26+'Project Summit '!N26</f>
        <v>0</v>
      </c>
      <c r="N47" s="14">
        <f t="shared" si="12"/>
        <v>1000</v>
      </c>
      <c r="O47" s="2" t="s">
        <v>20</v>
      </c>
      <c r="Q47" s="11" t="s">
        <v>62</v>
      </c>
      <c r="R47" s="14">
        <v>799.9999999999999</v>
      </c>
    </row>
    <row r="48" ht="15.75" customHeight="1">
      <c r="A48" s="11" t="s">
        <v>67</v>
      </c>
      <c r="B48" s="15">
        <f>'Career Fair '!B27+'Appsec Lisbon '!B27+'Appsec San Francisco '!B27+'Appsec Singapore'!B27+'Project Summit '!C27</f>
        <v>0</v>
      </c>
      <c r="C48" s="15">
        <f>'Career Fair '!C27+'Appsec Lisbon '!C27+'Appsec San Francisco '!C27+'Appsec Singapore'!C27+'Project Summit '!D27</f>
        <v>0</v>
      </c>
      <c r="D48" s="15">
        <f>'Career Fair '!D27+'Appsec Lisbon '!D27+'Appsec San Francisco '!D27+'Appsec Singapore'!D27+'Project Summit '!E27</f>
        <v>0</v>
      </c>
      <c r="E48" s="15">
        <f>'Career Fair '!E27+'Appsec Lisbon '!E27+'Appsec San Francisco '!E27+'Appsec Singapore'!E27+'Project Summit '!F27</f>
        <v>0</v>
      </c>
      <c r="F48" s="15">
        <f>'Career Fair '!F27+'Appsec Lisbon '!F27+'Appsec San Francisco '!F27+'Appsec Singapore'!F27+'Project Summit '!G27</f>
        <v>2798.4</v>
      </c>
      <c r="G48" s="15">
        <f>'Career Fair '!G27+'Appsec Lisbon '!G27+'Appsec San Francisco '!G27+'Appsec Singapore'!G27+'Project Summit '!H27</f>
        <v>0</v>
      </c>
      <c r="H48" s="15">
        <f>'Career Fair '!H27+'Appsec Lisbon '!H27+'Appsec San Francisco '!H27+'Appsec Singapore'!H27+'Project Summit '!I27</f>
        <v>4200</v>
      </c>
      <c r="I48" s="15">
        <f>'Career Fair '!I27+'Appsec Lisbon '!I27+'Appsec San Francisco '!I27+'Appsec Singapore'!I27+'Project Summit '!J27</f>
        <v>0</v>
      </c>
      <c r="J48" s="15">
        <f>'Career Fair '!J27+'Appsec Lisbon '!J27+'Appsec San Francisco '!J27+'Appsec Singapore'!J27+'Project Summit '!K27</f>
        <v>0</v>
      </c>
      <c r="K48" s="15">
        <f>'Career Fair '!K27+'Appsec Lisbon '!K27+'Appsec San Francisco '!K27+'Appsec Singapore'!K27+'Project Summit '!L27</f>
        <v>6246</v>
      </c>
      <c r="L48" s="15">
        <f>'Career Fair '!L27+'Appsec Lisbon '!L27+'Appsec San Francisco '!L27+'Appsec Singapore'!L27+'Project Summit '!M27</f>
        <v>0</v>
      </c>
      <c r="M48" s="15">
        <f>'Career Fair '!M27+'Appsec Lisbon '!M27+'Appsec San Francisco '!M27+'Appsec Singapore'!M27+'Project Summit '!N27</f>
        <v>0</v>
      </c>
      <c r="N48" s="14">
        <f t="shared" si="12"/>
        <v>13244.4</v>
      </c>
      <c r="O48" s="2" t="s">
        <v>20</v>
      </c>
      <c r="Q48" s="11" t="s">
        <v>63</v>
      </c>
      <c r="R48" s="14">
        <v>0.0</v>
      </c>
    </row>
    <row r="49" ht="15.75" customHeight="1">
      <c r="A49" s="11" t="s">
        <v>68</v>
      </c>
      <c r="B49" s="15">
        <f>'Career Fair '!B28+'Appsec Lisbon '!B28+'Appsec San Francisco '!B28+'Appsec Singapore'!B28+'Project Summit '!C28</f>
        <v>0</v>
      </c>
      <c r="C49" s="15">
        <f>'Career Fair '!C28+'Appsec Lisbon '!C28+'Appsec San Francisco '!C28+'Appsec Singapore'!C28+'Project Summit '!D28</f>
        <v>0</v>
      </c>
      <c r="D49" s="15">
        <f>'Career Fair '!D28+'Appsec Lisbon '!D28+'Appsec San Francisco '!D28+'Appsec Singapore'!D28+'Project Summit '!E28</f>
        <v>0</v>
      </c>
      <c r="E49" s="15">
        <f>'Career Fair '!E28+'Appsec Lisbon '!E28+'Appsec San Francisco '!E28+'Appsec Singapore'!E28+'Project Summit '!F28</f>
        <v>0</v>
      </c>
      <c r="F49" s="15">
        <f>'Career Fair '!F28+'Appsec Lisbon '!F28+'Appsec San Francisco '!F28+'Appsec Singapore'!F28+'Project Summit '!G28</f>
        <v>300</v>
      </c>
      <c r="G49" s="15">
        <f>'Career Fair '!G28+'Appsec Lisbon '!G28+'Appsec San Francisco '!G28+'Appsec Singapore'!G28+'Project Summit '!H28</f>
        <v>0</v>
      </c>
      <c r="H49" s="15">
        <f>'Career Fair '!H28+'Appsec Lisbon '!H28+'Appsec San Francisco '!H28+'Appsec Singapore'!H28+'Project Summit '!I28</f>
        <v>0</v>
      </c>
      <c r="I49" s="15">
        <f>'Career Fair '!I28+'Appsec Lisbon '!I28+'Appsec San Francisco '!I28+'Appsec Singapore'!I28+'Project Summit '!J28</f>
        <v>250</v>
      </c>
      <c r="J49" s="15">
        <f>'Career Fair '!J28+'Appsec Lisbon '!J28+'Appsec San Francisco '!J28+'Appsec Singapore'!J28+'Project Summit '!K28</f>
        <v>100</v>
      </c>
      <c r="K49" s="15">
        <f>'Career Fair '!K28+'Appsec Lisbon '!K28+'Appsec San Francisco '!K28+'Appsec Singapore'!K28+'Project Summit '!L28</f>
        <v>0</v>
      </c>
      <c r="L49" s="15">
        <f>'Career Fair '!L28+'Appsec Lisbon '!L28+'Appsec San Francisco '!L28+'Appsec Singapore'!L28+'Project Summit '!M28</f>
        <v>0</v>
      </c>
      <c r="M49" s="15">
        <f>'Career Fair '!M28+'Appsec Lisbon '!M28+'Appsec San Francisco '!M28+'Appsec Singapore'!M28+'Project Summit '!N28</f>
        <v>0</v>
      </c>
      <c r="N49" s="14">
        <f t="shared" si="12"/>
        <v>650</v>
      </c>
      <c r="O49" s="2" t="s">
        <v>20</v>
      </c>
      <c r="Q49" s="11" t="s">
        <v>64</v>
      </c>
      <c r="R49" s="14">
        <v>0.0</v>
      </c>
    </row>
    <row r="50" ht="15.75" customHeight="1">
      <c r="A50" s="11" t="s">
        <v>48</v>
      </c>
      <c r="B50" s="15">
        <f>'Career Fair '!B29+'Appsec Lisbon '!B29+'Appsec San Francisco '!B29+'Appsec Singapore'!B29+'Project Summit '!C29</f>
        <v>0</v>
      </c>
      <c r="C50" s="15">
        <f>'Career Fair '!C29+'Appsec Lisbon '!C29+'Appsec San Francisco '!C29+'Appsec Singapore'!C29+'Project Summit '!D29</f>
        <v>0</v>
      </c>
      <c r="D50" s="15">
        <f>'Career Fair '!D29+'Appsec Lisbon '!D29+'Appsec San Francisco '!D29+'Appsec Singapore'!D29+'Project Summit '!E29</f>
        <v>0</v>
      </c>
      <c r="E50" s="15">
        <f>'Career Fair '!E29+'Appsec Lisbon '!E29+'Appsec San Francisco '!E29+'Appsec Singapore'!E29+'Project Summit '!F29</f>
        <v>0</v>
      </c>
      <c r="F50" s="15">
        <f>'Career Fair '!F29+'Appsec Lisbon '!F29+'Appsec San Francisco '!F29+'Appsec Singapore'!F29+'Project Summit '!G29</f>
        <v>5904</v>
      </c>
      <c r="G50" s="15">
        <f>'Career Fair '!G29+'Appsec Lisbon '!G29+'Appsec San Francisco '!G29+'Appsec Singapore'!G29+'Project Summit '!H29</f>
        <v>0</v>
      </c>
      <c r="H50" s="15">
        <f>'Career Fair '!H29+'Appsec Lisbon '!H29+'Appsec San Francisco '!H29+'Appsec Singapore'!H29+'Project Summit '!I29</f>
        <v>0</v>
      </c>
      <c r="I50" s="15">
        <f>'Career Fair '!I29+'Appsec Lisbon '!I29+'Appsec San Francisco '!I29+'Appsec Singapore'!I29+'Project Summit '!J29</f>
        <v>7080</v>
      </c>
      <c r="J50" s="15">
        <f>'Career Fair '!J29+'Appsec Lisbon '!J29+'Appsec San Francisco '!J29+'Appsec Singapore'!J29+'Project Summit '!K29</f>
        <v>504</v>
      </c>
      <c r="K50" s="15">
        <f>'Career Fair '!K29+'Appsec Lisbon '!K29+'Appsec San Francisco '!K29+'Appsec Singapore'!K29+'Project Summit '!L29</f>
        <v>0</v>
      </c>
      <c r="L50" s="15">
        <f>'Career Fair '!L29+'Appsec Lisbon '!L29+'Appsec San Francisco '!L29+'Appsec Singapore'!L29+'Project Summit '!M29</f>
        <v>0</v>
      </c>
      <c r="M50" s="15">
        <f>'Career Fair '!M29+'Appsec Lisbon '!M29+'Appsec San Francisco '!M29+'Appsec Singapore'!M29+'Project Summit '!N29</f>
        <v>0</v>
      </c>
      <c r="N50" s="14">
        <f t="shared" si="12"/>
        <v>13488</v>
      </c>
      <c r="O50" s="2" t="s">
        <v>20</v>
      </c>
      <c r="Q50" s="11" t="s">
        <v>65</v>
      </c>
      <c r="R50" s="14">
        <v>1000.0000000000001</v>
      </c>
    </row>
    <row r="51" ht="15.75" customHeight="1">
      <c r="A51" s="11" t="s">
        <v>69</v>
      </c>
      <c r="B51" s="15">
        <f>'Career Fair '!B30+'Appsec Lisbon '!B30+'Appsec San Francisco '!B30+'Appsec Singapore'!B30+'Project Summit '!C30</f>
        <v>0</v>
      </c>
      <c r="C51" s="15">
        <f>'Career Fair '!C30+'Appsec Lisbon '!C30+'Appsec San Francisco '!C30+'Appsec Singapore'!C30+'Project Summit '!D30</f>
        <v>0</v>
      </c>
      <c r="D51" s="15">
        <f>'Career Fair '!D30+'Appsec Lisbon '!D30+'Appsec San Francisco '!D30+'Appsec Singapore'!D30+'Project Summit '!E30</f>
        <v>0</v>
      </c>
      <c r="E51" s="15">
        <f>'Career Fair '!E30+'Appsec Lisbon '!E30+'Appsec San Francisco '!E30+'Appsec Singapore'!E30+'Project Summit '!F30</f>
        <v>0</v>
      </c>
      <c r="F51" s="15">
        <f>'Career Fair '!F30+'Appsec Lisbon '!F30+'Appsec San Francisco '!F30+'Appsec Singapore'!F30+'Project Summit '!G30</f>
        <v>0</v>
      </c>
      <c r="G51" s="15">
        <f>'Career Fair '!G30+'Appsec Lisbon '!G30+'Appsec San Francisco '!G30+'Appsec Singapore'!G30+'Project Summit '!H30</f>
        <v>0</v>
      </c>
      <c r="H51" s="15">
        <f>'Career Fair '!H30+'Appsec Lisbon '!H30+'Appsec San Francisco '!H30+'Appsec Singapore'!H30+'Project Summit '!I30</f>
        <v>0</v>
      </c>
      <c r="I51" s="15">
        <f>'Career Fair '!I30+'Appsec Lisbon '!I30+'Appsec San Francisco '!I30+'Appsec Singapore'!I30+'Project Summit '!J30</f>
        <v>0</v>
      </c>
      <c r="J51" s="15">
        <f>'Career Fair '!J30+'Appsec Lisbon '!J30+'Appsec San Francisco '!J30+'Appsec Singapore'!J30+'Project Summit '!K30</f>
        <v>0</v>
      </c>
      <c r="K51" s="15">
        <f>'Career Fair '!K30+'Appsec Lisbon '!K30+'Appsec San Francisco '!K30+'Appsec Singapore'!K30+'Project Summit '!L30</f>
        <v>0</v>
      </c>
      <c r="L51" s="15">
        <f>'Career Fair '!L30+'Appsec Lisbon '!L30+'Appsec San Francisco '!L30+'Appsec Singapore'!L30+'Project Summit '!M30</f>
        <v>0</v>
      </c>
      <c r="M51" s="15">
        <f>'Career Fair '!M30+'Appsec Lisbon '!M30+'Appsec San Francisco '!M30+'Appsec Singapore'!M30+'Project Summit '!N30</f>
        <v>0</v>
      </c>
      <c r="N51" s="14">
        <f t="shared" si="12"/>
        <v>0</v>
      </c>
      <c r="O51" s="2" t="s">
        <v>20</v>
      </c>
      <c r="Q51" s="11" t="s">
        <v>66</v>
      </c>
      <c r="R51" s="14">
        <v>0.0</v>
      </c>
    </row>
    <row r="52" ht="15.75" customHeight="1">
      <c r="A52" s="11" t="s">
        <v>22</v>
      </c>
      <c r="B52" s="15">
        <f>'Career Fair '!B31+'Appsec Lisbon '!B31+'Appsec San Francisco '!B31+'Appsec Singapore'!B31+'Project Summit '!C31</f>
        <v>0</v>
      </c>
      <c r="C52" s="15">
        <f>'Career Fair '!C31+'Appsec Lisbon '!C31+'Appsec San Francisco '!C31+'Appsec Singapore'!C31+'Project Summit '!D31</f>
        <v>0</v>
      </c>
      <c r="D52" s="15">
        <f>'Career Fair '!D31+'Appsec Lisbon '!D31+'Appsec San Francisco '!D31+'Appsec Singapore'!D31+'Project Summit '!E31</f>
        <v>0</v>
      </c>
      <c r="E52" s="15">
        <f>'Career Fair '!E31+'Appsec Lisbon '!E31+'Appsec San Francisco '!E31+'Appsec Singapore'!E31+'Project Summit '!F31</f>
        <v>0</v>
      </c>
      <c r="F52" s="15">
        <f>'Career Fair '!F31+'Appsec Lisbon '!F31+'Appsec San Francisco '!F31+'Appsec Singapore'!F31+'Project Summit '!G31</f>
        <v>0</v>
      </c>
      <c r="G52" s="15">
        <f>'Career Fair '!G31+'Appsec Lisbon '!G31+'Appsec San Francisco '!G31+'Appsec Singapore'!G31+'Project Summit '!H31</f>
        <v>0</v>
      </c>
      <c r="H52" s="15">
        <f>'Career Fair '!H31+'Appsec Lisbon '!H31+'Appsec San Francisco '!H31+'Appsec Singapore'!H31+'Project Summit '!I31</f>
        <v>100000</v>
      </c>
      <c r="I52" s="15">
        <f>'Career Fair '!I31+'Appsec Lisbon '!I31+'Appsec San Francisco '!I31+'Appsec Singapore'!I31+'Project Summit '!J31</f>
        <v>0</v>
      </c>
      <c r="J52" s="15">
        <f>'Career Fair '!J31+'Appsec Lisbon '!J31+'Appsec San Francisco '!J31+'Appsec Singapore'!J31+'Project Summit '!K31</f>
        <v>0</v>
      </c>
      <c r="K52" s="15">
        <f>'Career Fair '!K31+'Appsec Lisbon '!K31+'Appsec San Francisco '!K31+'Appsec Singapore'!K31+'Project Summit '!L31</f>
        <v>100000</v>
      </c>
      <c r="L52" s="15">
        <f>'Career Fair '!L31+'Appsec Lisbon '!L31+'Appsec San Francisco '!L31+'Appsec Singapore'!L31+'Project Summit '!M31</f>
        <v>35000</v>
      </c>
      <c r="M52" s="15">
        <f>'Career Fair '!M31+'Appsec Lisbon '!M31+'Appsec San Francisco '!M31+'Appsec Singapore'!M31+'Project Summit '!N31</f>
        <v>0</v>
      </c>
      <c r="N52" s="14">
        <f t="shared" si="12"/>
        <v>235000</v>
      </c>
      <c r="O52" s="2" t="s">
        <v>20</v>
      </c>
      <c r="Q52" s="11" t="s">
        <v>67</v>
      </c>
      <c r="R52" s="14">
        <v>0.0</v>
      </c>
    </row>
    <row r="53" ht="15.75" customHeight="1">
      <c r="A53" s="11" t="s">
        <v>49</v>
      </c>
      <c r="B53" s="15">
        <f>'Career Fair '!B32+'Appsec Lisbon '!B32+'Appsec San Francisco '!B32+'Appsec Singapore'!B32+'Project Summit '!C32</f>
        <v>0</v>
      </c>
      <c r="C53" s="15">
        <f>'Career Fair '!C32+'Appsec Lisbon '!C32+'Appsec San Francisco '!C32+'Appsec Singapore'!C32+'Project Summit '!D32</f>
        <v>0</v>
      </c>
      <c r="D53" s="15">
        <f>'Career Fair '!D32+'Appsec Lisbon '!D32+'Appsec San Francisco '!D32+'Appsec Singapore'!D32+'Project Summit '!E32</f>
        <v>16000</v>
      </c>
      <c r="E53" s="15">
        <f>'Career Fair '!E32+'Appsec Lisbon '!E32+'Appsec San Francisco '!E32+'Appsec Singapore'!E32+'Project Summit '!F32</f>
        <v>9073</v>
      </c>
      <c r="F53" s="15">
        <f>'Career Fair '!F32+'Appsec Lisbon '!F32+'Appsec San Francisco '!F32+'Appsec Singapore'!F32+'Project Summit '!G32</f>
        <v>17490</v>
      </c>
      <c r="G53" s="15">
        <f>'Career Fair '!G32+'Appsec Lisbon '!G32+'Appsec San Francisco '!G32+'Appsec Singapore'!G32+'Project Summit '!H32</f>
        <v>4000</v>
      </c>
      <c r="H53" s="15">
        <f>'Career Fair '!H32+'Appsec Lisbon '!H32+'Appsec San Francisco '!H32+'Appsec Singapore'!H32+'Project Summit '!I32</f>
        <v>32200</v>
      </c>
      <c r="I53" s="15">
        <f>'Career Fair '!I32+'Appsec Lisbon '!I32+'Appsec San Francisco '!I32+'Appsec Singapore'!I32+'Project Summit '!J32</f>
        <v>27500</v>
      </c>
      <c r="J53" s="15">
        <f>'Career Fair '!J32+'Appsec Lisbon '!J32+'Appsec San Francisco '!J32+'Appsec Singapore'!J32+'Project Summit '!K32</f>
        <v>17500</v>
      </c>
      <c r="K53" s="15">
        <f>'Career Fair '!K32+'Appsec Lisbon '!K32+'Appsec San Francisco '!K32+'Appsec Singapore'!K32+'Project Summit '!L32</f>
        <v>49414.6</v>
      </c>
      <c r="L53" s="15">
        <f>'Career Fair '!L32+'Appsec Lisbon '!L32+'Appsec San Francisco '!L32+'Appsec Singapore'!L32+'Project Summit '!M32</f>
        <v>3400</v>
      </c>
      <c r="M53" s="15">
        <f>'Career Fair '!M32+'Appsec Lisbon '!M32+'Appsec San Francisco '!M32+'Appsec Singapore'!M32+'Project Summit '!N32</f>
        <v>0</v>
      </c>
      <c r="N53" s="14">
        <f t="shared" si="12"/>
        <v>176577.6</v>
      </c>
      <c r="O53" s="2" t="s">
        <v>20</v>
      </c>
      <c r="Q53" s="11" t="s">
        <v>68</v>
      </c>
      <c r="R53" s="14">
        <v>0.0</v>
      </c>
    </row>
    <row r="54" ht="15.75" customHeight="1">
      <c r="A54" s="11" t="s">
        <v>70</v>
      </c>
      <c r="B54" s="15">
        <f>'Career Fair '!B33+'Appsec Lisbon '!B33+'Appsec San Francisco '!B33+'Appsec Singapore'!B33+'Project Summit '!C33</f>
        <v>0</v>
      </c>
      <c r="C54" s="15">
        <f>'Career Fair '!C33+'Appsec Lisbon '!C33+'Appsec San Francisco '!C33+'Appsec Singapore'!C33+'Project Summit '!D33</f>
        <v>83556</v>
      </c>
      <c r="D54" s="15">
        <f>'Career Fair '!D33+'Appsec Lisbon '!D33+'Appsec San Francisco '!D33+'Appsec Singapore'!D33+'Project Summit '!E33</f>
        <v>49200</v>
      </c>
      <c r="E54" s="15">
        <f>'Career Fair '!E33+'Appsec Lisbon '!E33+'Appsec San Francisco '!E33+'Appsec Singapore'!E33+'Project Summit '!F33</f>
        <v>17500</v>
      </c>
      <c r="F54" s="15">
        <f>'Career Fair '!F33+'Appsec Lisbon '!F33+'Appsec San Francisco '!F33+'Appsec Singapore'!F33+'Project Summit '!G33</f>
        <v>0</v>
      </c>
      <c r="G54" s="15">
        <f>'Career Fair '!G33+'Appsec Lisbon '!G33+'Appsec San Francisco '!G33+'Appsec Singapore'!G33+'Project Summit '!H33</f>
        <v>0</v>
      </c>
      <c r="H54" s="15">
        <f>'Career Fair '!H33+'Appsec Lisbon '!H33+'Appsec San Francisco '!H33+'Appsec Singapore'!H33+'Project Summit '!I33</f>
        <v>2500</v>
      </c>
      <c r="I54" s="15">
        <f>'Career Fair '!I33+'Appsec Lisbon '!I33+'Appsec San Francisco '!I33+'Appsec Singapore'!I33+'Project Summit '!J33</f>
        <v>0</v>
      </c>
      <c r="J54" s="15">
        <f>'Career Fair '!J33+'Appsec Lisbon '!J33+'Appsec San Francisco '!J33+'Appsec Singapore'!J33+'Project Summit '!K33</f>
        <v>1000</v>
      </c>
      <c r="K54" s="15">
        <f>'Career Fair '!K33+'Appsec Lisbon '!K33+'Appsec San Francisco '!K33+'Appsec Singapore'!K33+'Project Summit '!L33</f>
        <v>44356</v>
      </c>
      <c r="L54" s="15">
        <f>'Career Fair '!L33+'Appsec Lisbon '!L33+'Appsec San Francisco '!L33+'Appsec Singapore'!L33+'Project Summit '!M33</f>
        <v>0</v>
      </c>
      <c r="M54" s="15">
        <f>'Career Fair '!M33+'Appsec Lisbon '!M33+'Appsec San Francisco '!M33+'Appsec Singapore'!M33+'Project Summit '!N33</f>
        <v>0</v>
      </c>
      <c r="N54" s="14">
        <f t="shared" si="12"/>
        <v>198112</v>
      </c>
      <c r="O54" s="2" t="s">
        <v>20</v>
      </c>
      <c r="Q54" s="11" t="s">
        <v>48</v>
      </c>
      <c r="R54" s="14">
        <v>0.0</v>
      </c>
    </row>
    <row r="55" ht="15.75" customHeight="1">
      <c r="A55" s="11" t="s">
        <v>71</v>
      </c>
      <c r="B55" s="16">
        <f t="shared" ref="B55:M55" si="13">((((((((((((((((((((((B32)+(B33))+(B34))+(B35))+(B36))+(B37))+(B38))+(B39))+(B40))+(B41))+(B42))+(B43))+(B44))+(B45))+(B46))+(B47))+(B48))+(B49))+(B50))+(B51))+(B52))+(B53))+(B54)</f>
        <v>3664.04</v>
      </c>
      <c r="C55" s="16">
        <f t="shared" si="13"/>
        <v>125392</v>
      </c>
      <c r="D55" s="16">
        <f t="shared" si="13"/>
        <v>69320</v>
      </c>
      <c r="E55" s="16">
        <f t="shared" si="13"/>
        <v>31532</v>
      </c>
      <c r="F55" s="16">
        <f t="shared" si="13"/>
        <v>176748.4</v>
      </c>
      <c r="G55" s="16">
        <f t="shared" si="13"/>
        <v>126806</v>
      </c>
      <c r="H55" s="16">
        <f t="shared" si="13"/>
        <v>211390</v>
      </c>
      <c r="I55" s="16">
        <f t="shared" si="13"/>
        <v>257807.9</v>
      </c>
      <c r="J55" s="16">
        <f t="shared" si="13"/>
        <v>55423.25</v>
      </c>
      <c r="K55" s="16">
        <f t="shared" si="13"/>
        <v>497446.6</v>
      </c>
      <c r="L55" s="16">
        <f t="shared" si="13"/>
        <v>49950</v>
      </c>
      <c r="M55" s="16">
        <f t="shared" si="13"/>
        <v>0</v>
      </c>
      <c r="N55" s="16">
        <f t="shared" si="12"/>
        <v>1605480.19</v>
      </c>
      <c r="O55" s="17"/>
      <c r="Q55" s="11" t="s">
        <v>69</v>
      </c>
      <c r="R55" s="14">
        <v>0.0</v>
      </c>
    </row>
    <row r="56" ht="15.75" customHeight="1">
      <c r="A56" s="11" t="s">
        <v>72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4"/>
      <c r="O56" s="13"/>
      <c r="Q56" s="11" t="s">
        <v>22</v>
      </c>
      <c r="R56" s="14">
        <v>0.0</v>
      </c>
    </row>
    <row r="57" ht="15.75" customHeight="1">
      <c r="A57" s="11" t="s">
        <v>73</v>
      </c>
      <c r="B57" s="20">
        <f>'FY23 Actuals &amp; Projections'!B57*1.05</f>
        <v>0</v>
      </c>
      <c r="C57" s="20">
        <f>'FY23 Actuals &amp; Projections'!C57*1.05</f>
        <v>6825</v>
      </c>
      <c r="D57" s="20">
        <f>'FY23 Actuals &amp; Projections'!D57*1.05</f>
        <v>0</v>
      </c>
      <c r="E57" s="20">
        <f>'FY23 Actuals &amp; Projections'!E57*1.05</f>
        <v>0</v>
      </c>
      <c r="F57" s="20">
        <f>'FY23 Actuals &amp; Projections'!F57*1.05</f>
        <v>0</v>
      </c>
      <c r="G57" s="20">
        <f>'FY23 Actuals &amp; Projections'!G57*1.05</f>
        <v>0</v>
      </c>
      <c r="H57" s="20">
        <f>'FY23 Actuals &amp; Projections'!H57*1.05</f>
        <v>0</v>
      </c>
      <c r="I57" s="20">
        <f>'FY23 Actuals &amp; Projections'!I57*1.05</f>
        <v>0</v>
      </c>
      <c r="J57" s="20">
        <f>'FY23 Actuals &amp; Projections'!J57*1.05</f>
        <v>267.603</v>
      </c>
      <c r="K57" s="20">
        <f>'FY23 Actuals &amp; Projections'!K57*1.05</f>
        <v>0</v>
      </c>
      <c r="L57" s="20">
        <f>'FY23 Actuals &amp; Projections'!L57*1.05</f>
        <v>709.2603</v>
      </c>
      <c r="M57" s="20">
        <f>'FY23 Actuals &amp; Projections'!M57*1.05</f>
        <v>709.2603</v>
      </c>
      <c r="N57" s="14">
        <f t="shared" ref="N57:N74" si="14">(((((((((B57)+(C57))+(D57))+(E57))+(F57))+(G57))+(H57))+(I57))+(J57))+(K57)+L57+M57</f>
        <v>8511.1236</v>
      </c>
      <c r="O57" s="2" t="s">
        <v>26</v>
      </c>
      <c r="Q57" s="11" t="s">
        <v>49</v>
      </c>
      <c r="R57" s="14">
        <v>15000.0</v>
      </c>
    </row>
    <row r="58" ht="15.75" customHeight="1">
      <c r="A58" s="11" t="s">
        <v>74</v>
      </c>
      <c r="B58" s="20">
        <f>'FY23 Actuals &amp; Projections'!B58*1.05</f>
        <v>382.683</v>
      </c>
      <c r="C58" s="20">
        <f>'FY23 Actuals &amp; Projections'!C58*1.05</f>
        <v>153.069</v>
      </c>
      <c r="D58" s="20">
        <f>'FY23 Actuals &amp; Projections'!D58*1.05</f>
        <v>284.697</v>
      </c>
      <c r="E58" s="20">
        <f>'FY23 Actuals &amp; Projections'!E58*1.05</f>
        <v>508.9035</v>
      </c>
      <c r="F58" s="20">
        <f>'FY23 Actuals &amp; Projections'!F58*1.05</f>
        <v>152.3025</v>
      </c>
      <c r="G58" s="20">
        <f>'FY23 Actuals &amp; Projections'!G58*1.05</f>
        <v>165.186</v>
      </c>
      <c r="H58" s="20">
        <f>'FY23 Actuals &amp; Projections'!H58*1.05</f>
        <v>388.941</v>
      </c>
      <c r="I58" s="20">
        <f>'FY23 Actuals &amp; Projections'!I58*1.05</f>
        <v>324.828</v>
      </c>
      <c r="J58" s="20">
        <f>'FY23 Actuals &amp; Projections'!J58*1.05</f>
        <v>215.502</v>
      </c>
      <c r="K58" s="20">
        <f>'FY23 Actuals &amp; Projections'!K58*1.05</f>
        <v>271.2885</v>
      </c>
      <c r="L58" s="20">
        <f>'FY23 Actuals &amp; Projections'!L58*1.05</f>
        <v>284.74005</v>
      </c>
      <c r="M58" s="20">
        <f>'FY23 Actuals &amp; Projections'!M58*1.05</f>
        <v>284.74005</v>
      </c>
      <c r="N58" s="14">
        <f t="shared" si="14"/>
        <v>3416.8806</v>
      </c>
      <c r="O58" s="19" t="s">
        <v>26</v>
      </c>
      <c r="Q58" s="11" t="s">
        <v>70</v>
      </c>
      <c r="R58" s="14">
        <v>0.0</v>
      </c>
    </row>
    <row r="59" ht="15.75" customHeight="1">
      <c r="A59" s="11" t="s">
        <v>75</v>
      </c>
      <c r="B59" s="20">
        <f>'FY23 Actuals &amp; Projections'!B59*1.05</f>
        <v>198.6075</v>
      </c>
      <c r="C59" s="20">
        <f>'FY23 Actuals &amp; Projections'!C59*1.05</f>
        <v>0</v>
      </c>
      <c r="D59" s="20">
        <f>'FY23 Actuals &amp; Projections'!D59*1.05</f>
        <v>0</v>
      </c>
      <c r="E59" s="20">
        <f>'FY23 Actuals &amp; Projections'!E59*1.05</f>
        <v>0</v>
      </c>
      <c r="F59" s="20">
        <f>'FY23 Actuals &amp; Projections'!F59*1.05</f>
        <v>0</v>
      </c>
      <c r="G59" s="20">
        <f>'FY23 Actuals &amp; Projections'!G59*1.05</f>
        <v>0</v>
      </c>
      <c r="H59" s="20">
        <f>'FY23 Actuals &amp; Projections'!H59*1.05</f>
        <v>0</v>
      </c>
      <c r="I59" s="20">
        <f>'FY23 Actuals &amp; Projections'!I59*1.05</f>
        <v>28.245</v>
      </c>
      <c r="J59" s="20">
        <f>'FY23 Actuals &amp; Projections'!J59*1.05</f>
        <v>0</v>
      </c>
      <c r="K59" s="20">
        <f>'FY23 Actuals &amp; Projections'!K59*1.05</f>
        <v>109.5675</v>
      </c>
      <c r="L59" s="20">
        <f>'FY23 Actuals &amp; Projections'!L59*1.05</f>
        <v>33.642</v>
      </c>
      <c r="M59" s="20">
        <f>'FY23 Actuals &amp; Projections'!M59*1.05</f>
        <v>33.642</v>
      </c>
      <c r="N59" s="14">
        <f t="shared" si="14"/>
        <v>403.704</v>
      </c>
      <c r="O59" s="2" t="s">
        <v>26</v>
      </c>
      <c r="Q59" s="11" t="s">
        <v>71</v>
      </c>
      <c r="R59" s="16">
        <v>1416269.0</v>
      </c>
    </row>
    <row r="60" ht="15.75" customHeight="1">
      <c r="A60" s="11" t="s">
        <v>76</v>
      </c>
      <c r="B60" s="21">
        <f t="shared" ref="B60:M60" si="15">25000/12</f>
        <v>2083.333333</v>
      </c>
      <c r="C60" s="21">
        <f t="shared" si="15"/>
        <v>2083.333333</v>
      </c>
      <c r="D60" s="21">
        <f t="shared" si="15"/>
        <v>2083.333333</v>
      </c>
      <c r="E60" s="21">
        <f t="shared" si="15"/>
        <v>2083.333333</v>
      </c>
      <c r="F60" s="21">
        <f t="shared" si="15"/>
        <v>2083.333333</v>
      </c>
      <c r="G60" s="21">
        <f t="shared" si="15"/>
        <v>2083.333333</v>
      </c>
      <c r="H60" s="21">
        <f t="shared" si="15"/>
        <v>2083.333333</v>
      </c>
      <c r="I60" s="21">
        <f t="shared" si="15"/>
        <v>2083.333333</v>
      </c>
      <c r="J60" s="21">
        <f t="shared" si="15"/>
        <v>2083.333333</v>
      </c>
      <c r="K60" s="21">
        <f t="shared" si="15"/>
        <v>2083.333333</v>
      </c>
      <c r="L60" s="21">
        <f t="shared" si="15"/>
        <v>2083.333333</v>
      </c>
      <c r="M60" s="21">
        <f t="shared" si="15"/>
        <v>2083.333333</v>
      </c>
      <c r="N60" s="14">
        <f t="shared" si="14"/>
        <v>25000</v>
      </c>
      <c r="O60" s="19" t="s">
        <v>33</v>
      </c>
      <c r="Q60" s="11" t="s">
        <v>72</v>
      </c>
      <c r="R60" s="14">
        <v>0.0</v>
      </c>
    </row>
    <row r="61" ht="15.75" customHeight="1">
      <c r="A61" s="11" t="s">
        <v>77</v>
      </c>
      <c r="B61" s="20">
        <f>'FY23 Actuals &amp; Projections'!B61*1.05</f>
        <v>9104.718</v>
      </c>
      <c r="C61" s="20">
        <f>'FY23 Actuals &amp; Projections'!C61*1.05</f>
        <v>8159.9595</v>
      </c>
      <c r="D61" s="20">
        <f>'FY23 Actuals &amp; Projections'!D61*1.05</f>
        <v>2829.7605</v>
      </c>
      <c r="E61" s="20">
        <f>'FY23 Actuals &amp; Projections'!E61*1.05</f>
        <v>2969.841</v>
      </c>
      <c r="F61" s="20">
        <f>'FY23 Actuals &amp; Projections'!F61*1.05</f>
        <v>2044.266</v>
      </c>
      <c r="G61" s="20">
        <f>'FY23 Actuals &amp; Projections'!G61*1.05</f>
        <v>2586.528</v>
      </c>
      <c r="H61" s="20">
        <f>'FY23 Actuals &amp; Projections'!H61*1.05</f>
        <v>1727.7225</v>
      </c>
      <c r="I61" s="20">
        <f>'FY23 Actuals &amp; Projections'!I61*1.05</f>
        <v>1897.266</v>
      </c>
      <c r="J61" s="20">
        <f>'FY23 Actuals &amp; Projections'!J61*1.05</f>
        <v>3227.028</v>
      </c>
      <c r="K61" s="20">
        <f>'FY23 Actuals &amp; Projections'!K61*1.05</f>
        <v>6847.974</v>
      </c>
      <c r="L61" s="20">
        <f>'FY23 Actuals &amp; Projections'!L61*1.05</f>
        <v>4139.50635</v>
      </c>
      <c r="M61" s="20">
        <f>'FY23 Actuals &amp; Projections'!M61*1.05</f>
        <v>4139.50635</v>
      </c>
      <c r="N61" s="14">
        <f t="shared" si="14"/>
        <v>49674.0762</v>
      </c>
      <c r="O61" s="2" t="s">
        <v>26</v>
      </c>
      <c r="Q61" s="11" t="s">
        <v>73</v>
      </c>
      <c r="R61" s="14">
        <v>0.0</v>
      </c>
    </row>
    <row r="62" ht="15.75" customHeight="1">
      <c r="A62" s="11" t="s">
        <v>78</v>
      </c>
      <c r="B62" s="20">
        <f>'FY23 Actuals &amp; Projections'!B62*1.05</f>
        <v>0</v>
      </c>
      <c r="C62" s="20">
        <f>'FY23 Actuals &amp; Projections'!C62*1.05</f>
        <v>0</v>
      </c>
      <c r="D62" s="20">
        <f>'FY23 Actuals &amp; Projections'!D62*1.05</f>
        <v>0</v>
      </c>
      <c r="E62" s="20">
        <f>'FY23 Actuals &amp; Projections'!E62*1.05</f>
        <v>0</v>
      </c>
      <c r="F62" s="20">
        <f>'FY23 Actuals &amp; Projections'!F62*1.05</f>
        <v>0</v>
      </c>
      <c r="G62" s="20">
        <f>'FY23 Actuals &amp; Projections'!G62*1.05</f>
        <v>0</v>
      </c>
      <c r="H62" s="21">
        <v>0.0</v>
      </c>
      <c r="I62" s="21">
        <v>0.0</v>
      </c>
      <c r="J62" s="20">
        <f>'FY23 Actuals &amp; Projections'!J62*1.05</f>
        <v>0</v>
      </c>
      <c r="K62" s="20">
        <f>'FY23 Actuals &amp; Projections'!K62*1.05</f>
        <v>0</v>
      </c>
      <c r="L62" s="21">
        <v>0.0</v>
      </c>
      <c r="M62" s="21">
        <v>0.0</v>
      </c>
      <c r="N62" s="14">
        <f t="shared" si="14"/>
        <v>0</v>
      </c>
      <c r="O62" s="19" t="s">
        <v>26</v>
      </c>
      <c r="Q62" s="11" t="s">
        <v>74</v>
      </c>
      <c r="R62" s="14">
        <v>34999.99999999999</v>
      </c>
    </row>
    <row r="63" ht="15.75" customHeight="1">
      <c r="A63" s="11" t="s">
        <v>63</v>
      </c>
      <c r="B63" s="20">
        <f>'FY23 Actuals &amp; Projections'!B63*1.05</f>
        <v>387.2715</v>
      </c>
      <c r="C63" s="20">
        <f>'FY23 Actuals &amp; Projections'!C63*1.05</f>
        <v>10.941</v>
      </c>
      <c r="D63" s="20">
        <f>'FY23 Actuals &amp; Projections'!D63*1.05</f>
        <v>70.2555</v>
      </c>
      <c r="E63" s="20">
        <f>'FY23 Actuals &amp; Projections'!E63*1.05</f>
        <v>13.419</v>
      </c>
      <c r="F63" s="20">
        <f>'FY23 Actuals &amp; Projections'!F63*1.05</f>
        <v>148.5645</v>
      </c>
      <c r="G63" s="20">
        <f>'FY23 Actuals &amp; Projections'!G63*1.05</f>
        <v>0</v>
      </c>
      <c r="H63" s="20">
        <f>'FY23 Actuals &amp; Projections'!H63*1.05</f>
        <v>43.7115</v>
      </c>
      <c r="I63" s="20">
        <f>'FY23 Actuals &amp; Projections'!I63*1.05</f>
        <v>0</v>
      </c>
      <c r="J63" s="20">
        <f>'FY23 Actuals &amp; Projections'!J63*1.05</f>
        <v>0</v>
      </c>
      <c r="K63" s="20">
        <f>'FY23 Actuals &amp; Projections'!K63*1.05</f>
        <v>96.5685</v>
      </c>
      <c r="L63" s="20">
        <f>'FY23 Actuals &amp; Projections'!L63*1.05</f>
        <v>77.07315</v>
      </c>
      <c r="M63" s="20">
        <f>'FY23 Actuals &amp; Projections'!M63*1.05</f>
        <v>77.07315</v>
      </c>
      <c r="N63" s="14">
        <f t="shared" si="14"/>
        <v>924.8778</v>
      </c>
      <c r="O63" s="2" t="s">
        <v>26</v>
      </c>
      <c r="Q63" s="11" t="s">
        <v>75</v>
      </c>
      <c r="R63" s="14">
        <v>0.0</v>
      </c>
    </row>
    <row r="64" ht="15.75" customHeight="1">
      <c r="A64" s="11" t="s">
        <v>79</v>
      </c>
      <c r="B64" s="20">
        <f>'FY23 Actuals &amp; Projections'!B64*1.05</f>
        <v>808.164</v>
      </c>
      <c r="C64" s="20">
        <f>'FY23 Actuals &amp; Projections'!C64*1.05</f>
        <v>808.143</v>
      </c>
      <c r="D64" s="20">
        <f>'FY23 Actuals &amp; Projections'!D64*1.05</f>
        <v>806.0535</v>
      </c>
      <c r="E64" s="20">
        <f>'FY23 Actuals &amp; Projections'!E64*1.05</f>
        <v>836.2305</v>
      </c>
      <c r="F64" s="20">
        <f>'FY23 Actuals &amp; Projections'!F64*1.05</f>
        <v>1077.7305</v>
      </c>
      <c r="G64" s="20">
        <f>'FY23 Actuals &amp; Projections'!G64*1.05</f>
        <v>836.2305</v>
      </c>
      <c r="H64" s="20">
        <f>'FY23 Actuals &amp; Projections'!H64*1.05</f>
        <v>836.2305</v>
      </c>
      <c r="I64" s="20">
        <f>'FY23 Actuals &amp; Projections'!I64*1.05</f>
        <v>835.9785</v>
      </c>
      <c r="J64" s="20">
        <f>'FY23 Actuals &amp; Projections'!J64*1.05</f>
        <v>835.9785</v>
      </c>
      <c r="K64" s="20">
        <f>'FY23 Actuals &amp; Projections'!K64*1.05</f>
        <v>835.9785</v>
      </c>
      <c r="L64" s="20">
        <f>'FY23 Actuals &amp; Projections'!L64*1.05</f>
        <v>851.6718</v>
      </c>
      <c r="M64" s="20">
        <f>'FY23 Actuals &amp; Projections'!M64*1.05</f>
        <v>851.6718</v>
      </c>
      <c r="N64" s="14">
        <f t="shared" si="14"/>
        <v>10220.0616</v>
      </c>
      <c r="O64" s="19" t="s">
        <v>26</v>
      </c>
      <c r="Q64" s="11" t="s">
        <v>76</v>
      </c>
      <c r="R64" s="14">
        <v>18000.0</v>
      </c>
    </row>
    <row r="65" ht="15.75" customHeight="1">
      <c r="A65" s="22" t="s">
        <v>80</v>
      </c>
      <c r="B65" s="20">
        <f>'FY23 Actuals &amp; Projections'!B65*1.05</f>
        <v>401.625</v>
      </c>
      <c r="C65" s="20">
        <f>'FY23 Actuals &amp; Projections'!C65*1.05</f>
        <v>401.625</v>
      </c>
      <c r="D65" s="20">
        <f>'FY23 Actuals &amp; Projections'!D65*1.05</f>
        <v>401.625</v>
      </c>
      <c r="E65" s="20">
        <f>'FY23 Actuals &amp; Projections'!E65*1.05</f>
        <v>401.625</v>
      </c>
      <c r="F65" s="20">
        <f>'FY23 Actuals &amp; Projections'!F65*1.05</f>
        <v>0</v>
      </c>
      <c r="G65" s="20">
        <f>'FY23 Actuals &amp; Projections'!G65*1.05</f>
        <v>803.25</v>
      </c>
      <c r="H65" s="20">
        <f>'FY23 Actuals &amp; Projections'!H65*1.05</f>
        <v>401.625</v>
      </c>
      <c r="I65" s="20">
        <f>'FY23 Actuals &amp; Projections'!I65*1.05</f>
        <v>1204.875</v>
      </c>
      <c r="J65" s="20">
        <f>'FY23 Actuals &amp; Projections'!J65*1.05</f>
        <v>0</v>
      </c>
      <c r="K65" s="20">
        <f>'FY23 Actuals &amp; Projections'!K65*1.05</f>
        <v>0</v>
      </c>
      <c r="L65" s="20">
        <f>'FY23 Actuals &amp; Projections'!L65*1.05</f>
        <v>401.625</v>
      </c>
      <c r="M65" s="20">
        <f>'FY23 Actuals &amp; Projections'!M65*1.05</f>
        <v>401.625</v>
      </c>
      <c r="N65" s="14">
        <f t="shared" si="14"/>
        <v>4819.5</v>
      </c>
      <c r="O65" s="2" t="s">
        <v>26</v>
      </c>
      <c r="Q65" s="11" t="s">
        <v>77</v>
      </c>
      <c r="R65" s="14">
        <v>9000.0</v>
      </c>
    </row>
    <row r="66" ht="15.75" customHeight="1">
      <c r="A66" s="11" t="s">
        <v>81</v>
      </c>
      <c r="B66" s="20">
        <f>'FY23 Actuals &amp; Projections'!B66*1.05</f>
        <v>0</v>
      </c>
      <c r="C66" s="20">
        <f>'FY23 Actuals &amp; Projections'!C66*1.05</f>
        <v>0</v>
      </c>
      <c r="D66" s="20">
        <f>'FY23 Actuals &amp; Projections'!D66*1.05</f>
        <v>0</v>
      </c>
      <c r="E66" s="20">
        <f>'FY23 Actuals &amp; Projections'!E66*1.05</f>
        <v>0</v>
      </c>
      <c r="F66" s="20">
        <f>'FY23 Actuals &amp; Projections'!F66*1.05</f>
        <v>0</v>
      </c>
      <c r="G66" s="20">
        <f>'FY23 Actuals &amp; Projections'!G66*1.05</f>
        <v>0</v>
      </c>
      <c r="H66" s="20">
        <f>'FY23 Actuals &amp; Projections'!H66*1.05</f>
        <v>0</v>
      </c>
      <c r="I66" s="20">
        <f>'FY23 Actuals &amp; Projections'!I66*1.05</f>
        <v>0</v>
      </c>
      <c r="J66" s="20">
        <f>'FY23 Actuals &amp; Projections'!J66*1.05</f>
        <v>478.8945</v>
      </c>
      <c r="K66" s="20">
        <f>'FY23 Actuals &amp; Projections'!K66*1.05</f>
        <v>0</v>
      </c>
      <c r="L66" s="20">
        <f>'FY23 Actuals &amp; Projections'!L66*1.05</f>
        <v>47.88945</v>
      </c>
      <c r="M66" s="20">
        <f>'FY23 Actuals &amp; Projections'!M66*1.05</f>
        <v>47.88945</v>
      </c>
      <c r="N66" s="14">
        <f t="shared" si="14"/>
        <v>574.6734</v>
      </c>
      <c r="O66" s="19" t="s">
        <v>26</v>
      </c>
      <c r="Q66" s="11" t="s">
        <v>78</v>
      </c>
      <c r="R66" s="14">
        <v>40000.000000000015</v>
      </c>
    </row>
    <row r="67" ht="15.75" customHeight="1">
      <c r="A67" s="22" t="s">
        <v>47</v>
      </c>
      <c r="B67" s="20">
        <f>'FY23 Actuals &amp; Projections'!B67*1.05</f>
        <v>0</v>
      </c>
      <c r="C67" s="20">
        <f>'FY23 Actuals &amp; Projections'!C67*1.05</f>
        <v>0</v>
      </c>
      <c r="D67" s="20">
        <f>'FY23 Actuals &amp; Projections'!D67*1.05</f>
        <v>284.109</v>
      </c>
      <c r="E67" s="20">
        <f>'FY23 Actuals &amp; Projections'!E67*1.05</f>
        <v>4.6725</v>
      </c>
      <c r="F67" s="20">
        <f>'FY23 Actuals &amp; Projections'!F67*1.05</f>
        <v>0</v>
      </c>
      <c r="G67" s="20">
        <f>'FY23 Actuals &amp; Projections'!G67*1.05</f>
        <v>119.595</v>
      </c>
      <c r="H67" s="20">
        <f>'FY23 Actuals &amp; Projections'!H67*1.05</f>
        <v>48.342</v>
      </c>
      <c r="I67" s="20">
        <f>'FY23 Actuals &amp; Projections'!I67*1.05</f>
        <v>0</v>
      </c>
      <c r="J67" s="20">
        <f>'FY23 Actuals &amp; Projections'!J67*1.05</f>
        <v>0</v>
      </c>
      <c r="K67" s="20">
        <f>'FY23 Actuals &amp; Projections'!K67*1.05</f>
        <v>0</v>
      </c>
      <c r="L67" s="20">
        <f>'FY23 Actuals &amp; Projections'!L67*1.05</f>
        <v>45.67185</v>
      </c>
      <c r="M67" s="20">
        <f>'FY23 Actuals &amp; Projections'!M67*1.05</f>
        <v>45.67185</v>
      </c>
      <c r="N67" s="14">
        <f t="shared" si="14"/>
        <v>548.0622</v>
      </c>
      <c r="O67" s="2" t="s">
        <v>26</v>
      </c>
      <c r="Q67" s="11" t="s">
        <v>63</v>
      </c>
      <c r="R67" s="14">
        <v>0.0</v>
      </c>
    </row>
    <row r="68" ht="15.75" customHeight="1">
      <c r="A68" s="11" t="s">
        <v>82</v>
      </c>
      <c r="B68" s="20">
        <f>'FY23 Actuals &amp; Projections'!B68*1.05</f>
        <v>3082.191</v>
      </c>
      <c r="C68" s="20">
        <f>'FY23 Actuals &amp; Projections'!C68*1.05</f>
        <v>6117.363</v>
      </c>
      <c r="D68" s="20">
        <f>'FY23 Actuals &amp; Projections'!D68*1.05</f>
        <v>5010.495</v>
      </c>
      <c r="E68" s="20">
        <f>'FY23 Actuals &amp; Projections'!E68*1.05</f>
        <v>8199.1035</v>
      </c>
      <c r="F68" s="20">
        <f>'FY23 Actuals &amp; Projections'!F68*1.05</f>
        <v>3183.9045</v>
      </c>
      <c r="G68" s="20">
        <f>'FY23 Actuals &amp; Projections'!G68*1.05</f>
        <v>4223.6565</v>
      </c>
      <c r="H68" s="20">
        <f>'FY23 Actuals &amp; Projections'!H68*1.05</f>
        <v>9511.4355</v>
      </c>
      <c r="I68" s="20">
        <f>'FY23 Actuals &amp; Projections'!I68*1.05</f>
        <v>2838.255</v>
      </c>
      <c r="J68" s="20">
        <f>'FY23 Actuals &amp; Projections'!J68*1.05</f>
        <v>2756.6805</v>
      </c>
      <c r="K68" s="20">
        <f>'FY23 Actuals &amp; Projections'!K68*1.05</f>
        <v>7601.8635</v>
      </c>
      <c r="L68" s="20">
        <f>'FY23 Actuals &amp; Projections'!L68*1.05</f>
        <v>5252.4948</v>
      </c>
      <c r="M68" s="20">
        <f>'FY23 Actuals &amp; Projections'!M68*1.05</f>
        <v>5252.4948</v>
      </c>
      <c r="N68" s="14">
        <f t="shared" si="14"/>
        <v>63029.9376</v>
      </c>
      <c r="O68" s="19" t="s">
        <v>26</v>
      </c>
      <c r="Q68" s="11" t="s">
        <v>79</v>
      </c>
      <c r="R68" s="14">
        <v>0.0</v>
      </c>
    </row>
    <row r="69" ht="15.75" customHeight="1">
      <c r="A69" s="11" t="s">
        <v>49</v>
      </c>
      <c r="B69" s="20">
        <f>'FY23 Actuals &amp; Projections'!B69*1.05</f>
        <v>0</v>
      </c>
      <c r="C69" s="20">
        <f>'FY23 Actuals &amp; Projections'!C69*1.05</f>
        <v>0</v>
      </c>
      <c r="D69" s="20">
        <f>'FY23 Actuals &amp; Projections'!D69*1.05</f>
        <v>0</v>
      </c>
      <c r="E69" s="20">
        <f>'FY23 Actuals &amp; Projections'!E69*1.05</f>
        <v>0</v>
      </c>
      <c r="F69" s="20">
        <f>'FY23 Actuals &amp; Projections'!F69*1.05</f>
        <v>0</v>
      </c>
      <c r="G69" s="20">
        <f>'FY23 Actuals &amp; Projections'!G69*1.05</f>
        <v>0</v>
      </c>
      <c r="H69" s="20">
        <f>'FY23 Actuals &amp; Projections'!H69*1.05</f>
        <v>0</v>
      </c>
      <c r="I69" s="20">
        <f>'FY23 Actuals &amp; Projections'!I69*1.05</f>
        <v>0</v>
      </c>
      <c r="J69" s="20">
        <f>'FY23 Actuals &amp; Projections'!J69*1.05</f>
        <v>0</v>
      </c>
      <c r="K69" s="20">
        <f>'FY23 Actuals &amp; Projections'!K69*1.05</f>
        <v>0</v>
      </c>
      <c r="L69" s="20">
        <f>'FY23 Actuals &amp; Projections'!L69*1.05</f>
        <v>0</v>
      </c>
      <c r="M69" s="20">
        <f>'FY23 Actuals &amp; Projections'!M69*1.05</f>
        <v>0</v>
      </c>
      <c r="N69" s="14">
        <f t="shared" si="14"/>
        <v>0</v>
      </c>
      <c r="O69" s="2" t="s">
        <v>26</v>
      </c>
      <c r="Q69" s="11" t="s">
        <v>80</v>
      </c>
      <c r="R69" s="14">
        <v>0.0</v>
      </c>
    </row>
    <row r="70" ht="15.75" customHeight="1">
      <c r="A70" s="11" t="s">
        <v>83</v>
      </c>
      <c r="B70" s="20">
        <f>'FY23 Actuals &amp; Projections'!B70*1.05</f>
        <v>0</v>
      </c>
      <c r="C70" s="20">
        <f>'FY23 Actuals &amp; Projections'!C70*1.05</f>
        <v>0</v>
      </c>
      <c r="D70" s="20">
        <f>'FY23 Actuals &amp; Projections'!D70*1.05</f>
        <v>0</v>
      </c>
      <c r="E70" s="20">
        <f>'FY23 Actuals &amp; Projections'!E70*1.05</f>
        <v>418.4985</v>
      </c>
      <c r="F70" s="20">
        <f>'FY23 Actuals &amp; Projections'!F70*1.05</f>
        <v>0</v>
      </c>
      <c r="G70" s="20">
        <f>'FY23 Actuals &amp; Projections'!G70*1.05</f>
        <v>0</v>
      </c>
      <c r="H70" s="20">
        <f>'FY23 Actuals &amp; Projections'!H70*1.05</f>
        <v>0</v>
      </c>
      <c r="I70" s="20">
        <f>'FY23 Actuals &amp; Projections'!I70*1.05</f>
        <v>0</v>
      </c>
      <c r="J70" s="20">
        <f>'FY23 Actuals &amp; Projections'!J70*1.05</f>
        <v>6404.7375</v>
      </c>
      <c r="K70" s="20">
        <f>'FY23 Actuals &amp; Projections'!K70*1.05</f>
        <v>40.824</v>
      </c>
      <c r="L70" s="20">
        <f>'FY23 Actuals &amp; Projections'!L70*1.05</f>
        <v>686.406</v>
      </c>
      <c r="M70" s="20">
        <f>'FY23 Actuals &amp; Projections'!M70*1.05</f>
        <v>686.406</v>
      </c>
      <c r="N70" s="14">
        <f t="shared" si="14"/>
        <v>8236.872</v>
      </c>
      <c r="O70" s="19" t="s">
        <v>26</v>
      </c>
      <c r="Q70" s="11" t="s">
        <v>81</v>
      </c>
      <c r="R70" s="14">
        <v>0.0</v>
      </c>
    </row>
    <row r="71" ht="15.75" customHeight="1">
      <c r="A71" s="11" t="s">
        <v>84</v>
      </c>
      <c r="B71" s="20">
        <f>'FY23 Actuals &amp; Projections'!B71*1.05</f>
        <v>0</v>
      </c>
      <c r="C71" s="20">
        <f>'FY23 Actuals &amp; Projections'!C71*1.05</f>
        <v>0</v>
      </c>
      <c r="D71" s="20">
        <f>'FY23 Actuals &amp; Projections'!D71*1.05</f>
        <v>2692.599</v>
      </c>
      <c r="E71" s="20">
        <f>'FY23 Actuals &amp; Projections'!E71*1.05</f>
        <v>205.8</v>
      </c>
      <c r="F71" s="20">
        <f>'FY23 Actuals &amp; Projections'!F71*1.05</f>
        <v>376.95</v>
      </c>
      <c r="G71" s="20">
        <f>'FY23 Actuals &amp; Projections'!G71*1.05</f>
        <v>10783.8255</v>
      </c>
      <c r="H71" s="20">
        <f>'FY23 Actuals &amp; Projections'!H71*1.05</f>
        <v>89.25</v>
      </c>
      <c r="I71" s="20">
        <f>'FY23 Actuals &amp; Projections'!I71*1.05</f>
        <v>193.557</v>
      </c>
      <c r="J71" s="20">
        <f>'FY23 Actuals &amp; Projections'!J71*1.05</f>
        <v>178.1115</v>
      </c>
      <c r="K71" s="20">
        <f>'FY23 Actuals &amp; Projections'!K71*1.05</f>
        <v>258.972</v>
      </c>
      <c r="L71" s="20">
        <f>'FY23 Actuals &amp; Projections'!L71*1.05</f>
        <v>1477.9065</v>
      </c>
      <c r="M71" s="20">
        <f>'FY23 Actuals &amp; Projections'!M71*1.05</f>
        <v>1477.9065</v>
      </c>
      <c r="N71" s="14">
        <f t="shared" si="14"/>
        <v>17734.878</v>
      </c>
      <c r="O71" s="2" t="s">
        <v>26</v>
      </c>
      <c r="Q71" s="11" t="s">
        <v>47</v>
      </c>
      <c r="R71" s="14">
        <v>1000.0000000000001</v>
      </c>
    </row>
    <row r="72" ht="15.75" customHeight="1">
      <c r="A72" s="11" t="s">
        <v>85</v>
      </c>
      <c r="B72" s="16">
        <f t="shared" ref="B72:M72" si="16">((B69)+(B70))+(B71)</f>
        <v>0</v>
      </c>
      <c r="C72" s="16">
        <f t="shared" si="16"/>
        <v>0</v>
      </c>
      <c r="D72" s="16">
        <f t="shared" si="16"/>
        <v>2692.599</v>
      </c>
      <c r="E72" s="16">
        <f t="shared" si="16"/>
        <v>624.2985</v>
      </c>
      <c r="F72" s="16">
        <f t="shared" si="16"/>
        <v>376.95</v>
      </c>
      <c r="G72" s="16">
        <f t="shared" si="16"/>
        <v>10783.8255</v>
      </c>
      <c r="H72" s="16">
        <f t="shared" si="16"/>
        <v>89.25</v>
      </c>
      <c r="I72" s="16">
        <f t="shared" si="16"/>
        <v>193.557</v>
      </c>
      <c r="J72" s="16">
        <f t="shared" si="16"/>
        <v>6582.849</v>
      </c>
      <c r="K72" s="16">
        <f t="shared" si="16"/>
        <v>299.796</v>
      </c>
      <c r="L72" s="16">
        <f t="shared" si="16"/>
        <v>2164.3125</v>
      </c>
      <c r="M72" s="16">
        <f t="shared" si="16"/>
        <v>2164.3125</v>
      </c>
      <c r="N72" s="16">
        <f t="shared" si="14"/>
        <v>25971.75</v>
      </c>
      <c r="O72" s="2"/>
      <c r="Q72" s="11" t="s">
        <v>82</v>
      </c>
      <c r="R72" s="14">
        <v>75000.0</v>
      </c>
    </row>
    <row r="73" ht="15.75" customHeight="1">
      <c r="A73" s="11" t="s">
        <v>86</v>
      </c>
      <c r="B73" s="20">
        <v>0.0</v>
      </c>
      <c r="C73" s="20">
        <v>0.0</v>
      </c>
      <c r="D73" s="20">
        <v>0.0</v>
      </c>
      <c r="E73" s="20">
        <v>0.0</v>
      </c>
      <c r="F73" s="20">
        <v>0.0</v>
      </c>
      <c r="G73" s="20">
        <v>0.0</v>
      </c>
      <c r="H73" s="20">
        <v>0.0</v>
      </c>
      <c r="I73" s="20">
        <v>0.0</v>
      </c>
      <c r="J73" s="20">
        <v>0.0</v>
      </c>
      <c r="K73" s="20">
        <v>0.0</v>
      </c>
      <c r="L73" s="20">
        <v>0.0</v>
      </c>
      <c r="M73" s="20">
        <v>0.0</v>
      </c>
      <c r="N73" s="14">
        <f t="shared" si="14"/>
        <v>0</v>
      </c>
      <c r="O73" s="2" t="s">
        <v>87</v>
      </c>
      <c r="Q73" s="11" t="s">
        <v>49</v>
      </c>
      <c r="R73" s="14">
        <v>0.0</v>
      </c>
    </row>
    <row r="74" ht="15.75" customHeight="1">
      <c r="A74" s="11" t="s">
        <v>88</v>
      </c>
      <c r="B74" s="16">
        <f t="shared" ref="B74:M74" si="17">((((((((((((((B56)+(B57))+(B58))+(B59))+(B60))+(B61))+(B62))+(B63))+(B64))+(B65))+(B66))+(B67))+(B68))+(B72))+(B73)</f>
        <v>16448.59333</v>
      </c>
      <c r="C74" s="16">
        <f t="shared" si="17"/>
        <v>24559.43383</v>
      </c>
      <c r="D74" s="16">
        <f t="shared" si="17"/>
        <v>14462.92783</v>
      </c>
      <c r="E74" s="16">
        <f t="shared" si="17"/>
        <v>15641.42683</v>
      </c>
      <c r="F74" s="16">
        <f t="shared" si="17"/>
        <v>9067.051333</v>
      </c>
      <c r="G74" s="16">
        <f t="shared" si="17"/>
        <v>21601.60483</v>
      </c>
      <c r="H74" s="16">
        <f t="shared" si="17"/>
        <v>15130.59133</v>
      </c>
      <c r="I74" s="16">
        <f t="shared" si="17"/>
        <v>9406.337833</v>
      </c>
      <c r="J74" s="16">
        <f t="shared" si="17"/>
        <v>16447.86883</v>
      </c>
      <c r="K74" s="16">
        <f t="shared" si="17"/>
        <v>18146.36983</v>
      </c>
      <c r="L74" s="16">
        <f t="shared" si="17"/>
        <v>16091.22058</v>
      </c>
      <c r="M74" s="16">
        <f t="shared" si="17"/>
        <v>16091.22058</v>
      </c>
      <c r="N74" s="16">
        <f t="shared" si="14"/>
        <v>193094.647</v>
      </c>
      <c r="O74" s="2"/>
      <c r="Q74" s="11" t="s">
        <v>83</v>
      </c>
      <c r="R74" s="14">
        <v>25000.0</v>
      </c>
    </row>
    <row r="75" ht="15.75" customHeight="1">
      <c r="A75" s="11" t="s">
        <v>89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4"/>
      <c r="O75" s="2"/>
      <c r="Q75" s="11" t="s">
        <v>84</v>
      </c>
      <c r="R75" s="14">
        <v>35000.0</v>
      </c>
    </row>
    <row r="76" ht="15.75" customHeight="1">
      <c r="A76" s="11" t="s">
        <v>90</v>
      </c>
      <c r="B76" s="18">
        <f>'FY23 Actuals &amp; Projections'!B76*1.05</f>
        <v>6588.0885</v>
      </c>
      <c r="C76" s="18">
        <f>'FY23 Actuals &amp; Projections'!C76*1.05</f>
        <v>9769.7565</v>
      </c>
      <c r="D76" s="18">
        <f>'FY23 Actuals &amp; Projections'!D76*1.05</f>
        <v>2898.6825</v>
      </c>
      <c r="E76" s="18">
        <f>'FY23 Actuals &amp; Projections'!E76*1.05</f>
        <v>4076.3625</v>
      </c>
      <c r="F76" s="18">
        <f>'FY23 Actuals &amp; Projections'!F76*1.05</f>
        <v>1663.809</v>
      </c>
      <c r="G76" s="18">
        <f>'FY23 Actuals &amp; Projections'!G76*1.05</f>
        <v>850.9725</v>
      </c>
      <c r="H76" s="18">
        <f>'FY23 Actuals &amp; Projections'!H76*1.05</f>
        <v>2954.3325</v>
      </c>
      <c r="I76" s="18">
        <f>'FY23 Actuals &amp; Projections'!I76*1.05</f>
        <v>945.819</v>
      </c>
      <c r="J76" s="18">
        <f>'FY23 Actuals &amp; Projections'!J76*1.05</f>
        <v>2046.114</v>
      </c>
      <c r="K76" s="18">
        <f>'FY23 Actuals &amp; Projections'!K76*1.05</f>
        <v>1412.8905</v>
      </c>
      <c r="L76" s="18">
        <f>'FY23 Actuals &amp; Projections'!L76*1.05</f>
        <v>3320.68275</v>
      </c>
      <c r="M76" s="18">
        <f>'FY23 Actuals &amp; Projections'!M76*1.05</f>
        <v>3320.68275</v>
      </c>
      <c r="N76" s="14">
        <f t="shared" ref="N76:N80" si="18">(((((((((B76)+(C76))+(D76))+(E76))+(F76))+(G76))+(H76))+(I76))+(J76))+(K76)+L76+M76</f>
        <v>39848.193</v>
      </c>
      <c r="O76" s="19" t="s">
        <v>26</v>
      </c>
      <c r="Q76" s="11" t="s">
        <v>85</v>
      </c>
      <c r="R76" s="16">
        <v>60000.0</v>
      </c>
    </row>
    <row r="77" ht="15.75" customHeight="1">
      <c r="A77" s="11" t="s">
        <v>91</v>
      </c>
      <c r="B77" s="18">
        <f>'FY23 Actuals &amp; Projections'!B77*1.05</f>
        <v>0</v>
      </c>
      <c r="C77" s="18">
        <f>'FY23 Actuals &amp; Projections'!C77*1.05</f>
        <v>138.873</v>
      </c>
      <c r="D77" s="18">
        <f>'FY23 Actuals &amp; Projections'!D77*1.05</f>
        <v>3040.674</v>
      </c>
      <c r="E77" s="18">
        <f>'FY23 Actuals &amp; Projections'!E77*1.05</f>
        <v>3065.223</v>
      </c>
      <c r="F77" s="18">
        <f>'FY23 Actuals &amp; Projections'!F77*1.05</f>
        <v>7171.9725</v>
      </c>
      <c r="G77" s="18">
        <f>'FY23 Actuals &amp; Projections'!G77*1.05</f>
        <v>4104.1035</v>
      </c>
      <c r="H77" s="18">
        <f>'FY23 Actuals &amp; Projections'!H77*1.05</f>
        <v>1395.198</v>
      </c>
      <c r="I77" s="18">
        <f>'FY23 Actuals &amp; Projections'!I77*1.05</f>
        <v>13825.8015</v>
      </c>
      <c r="J77" s="18">
        <f>'FY23 Actuals &amp; Projections'!J77*1.05</f>
        <v>3351.0645</v>
      </c>
      <c r="K77" s="18">
        <f>'FY23 Actuals &amp; Projections'!K77*1.05</f>
        <v>3351.0645</v>
      </c>
      <c r="L77" s="18">
        <f>'FY23 Actuals &amp; Projections'!L77*1.05</f>
        <v>3944.39745</v>
      </c>
      <c r="M77" s="18">
        <f>'FY23 Actuals &amp; Projections'!M77*1.05</f>
        <v>3944.39745</v>
      </c>
      <c r="N77" s="14">
        <f t="shared" si="18"/>
        <v>47332.7694</v>
      </c>
      <c r="O77" s="2" t="s">
        <v>26</v>
      </c>
      <c r="Q77" s="11" t="s">
        <v>86</v>
      </c>
      <c r="R77" s="14">
        <v>0.0</v>
      </c>
    </row>
    <row r="78" ht="15.75" customHeight="1">
      <c r="A78" s="11" t="s">
        <v>49</v>
      </c>
      <c r="B78" s="18">
        <f>'FY23 Actuals &amp; Projections'!B78*1.05</f>
        <v>0</v>
      </c>
      <c r="C78" s="18">
        <f>'FY23 Actuals &amp; Projections'!C78*1.05</f>
        <v>0</v>
      </c>
      <c r="D78" s="18">
        <f>'FY23 Actuals &amp; Projections'!D78*1.05</f>
        <v>0</v>
      </c>
      <c r="E78" s="18">
        <f>'FY23 Actuals &amp; Projections'!E78*1.05</f>
        <v>0</v>
      </c>
      <c r="F78" s="18">
        <f>'FY23 Actuals &amp; Projections'!F78*1.05</f>
        <v>0</v>
      </c>
      <c r="G78" s="18">
        <f>'FY23 Actuals &amp; Projections'!G78*1.05</f>
        <v>0</v>
      </c>
      <c r="H78" s="18">
        <f>'FY23 Actuals &amp; Projections'!H78*1.05</f>
        <v>0</v>
      </c>
      <c r="I78" s="18">
        <f>'FY23 Actuals &amp; Projections'!I78*1.05</f>
        <v>0</v>
      </c>
      <c r="J78" s="18">
        <f>'FY23 Actuals &amp; Projections'!J78*1.05</f>
        <v>147.84</v>
      </c>
      <c r="K78" s="18">
        <f>'FY23 Actuals &amp; Projections'!K78*1.05</f>
        <v>68.2815</v>
      </c>
      <c r="L78" s="18">
        <f>'FY23 Actuals &amp; Projections'!L78*1.05</f>
        <v>21.61215</v>
      </c>
      <c r="M78" s="18">
        <f>'FY23 Actuals &amp; Projections'!M78*1.05</f>
        <v>21.61215</v>
      </c>
      <c r="N78" s="14">
        <f t="shared" si="18"/>
        <v>259.3458</v>
      </c>
      <c r="O78" s="19" t="s">
        <v>26</v>
      </c>
      <c r="Q78" s="11" t="s">
        <v>88</v>
      </c>
      <c r="R78" s="16">
        <v>237999.99999999994</v>
      </c>
    </row>
    <row r="79" ht="15.75" customHeight="1">
      <c r="A79" s="23" t="s">
        <v>92</v>
      </c>
      <c r="B79" s="24">
        <v>0.0</v>
      </c>
      <c r="C79" s="24">
        <v>0.0</v>
      </c>
      <c r="D79" s="24">
        <v>0.0</v>
      </c>
      <c r="E79" s="24">
        <v>0.0</v>
      </c>
      <c r="F79" s="24">
        <v>0.0</v>
      </c>
      <c r="G79" s="24">
        <v>0.0</v>
      </c>
      <c r="H79" s="24">
        <v>0.0</v>
      </c>
      <c r="I79" s="24">
        <v>0.0</v>
      </c>
      <c r="J79" s="24">
        <v>0.0</v>
      </c>
      <c r="K79" s="24">
        <v>0.0</v>
      </c>
      <c r="L79" s="24">
        <v>0.0</v>
      </c>
      <c r="M79" s="24">
        <v>0.0</v>
      </c>
      <c r="N79" s="14">
        <f t="shared" si="18"/>
        <v>0</v>
      </c>
      <c r="O79" s="2"/>
      <c r="Q79" s="11" t="s">
        <v>89</v>
      </c>
      <c r="R79" s="14">
        <v>0.0</v>
      </c>
    </row>
    <row r="80" ht="15.75" customHeight="1">
      <c r="A80" s="11" t="s">
        <v>93</v>
      </c>
      <c r="B80" s="16">
        <f t="shared" ref="B80:M80" si="19">((((B75)+(B76))+(B77))+(B78))+(B79)</f>
        <v>6588.0885</v>
      </c>
      <c r="C80" s="16">
        <f t="shared" si="19"/>
        <v>9908.6295</v>
      </c>
      <c r="D80" s="16">
        <f t="shared" si="19"/>
        <v>5939.3565</v>
      </c>
      <c r="E80" s="16">
        <f t="shared" si="19"/>
        <v>7141.5855</v>
      </c>
      <c r="F80" s="16">
        <f t="shared" si="19"/>
        <v>8835.7815</v>
      </c>
      <c r="G80" s="16">
        <f t="shared" si="19"/>
        <v>4955.076</v>
      </c>
      <c r="H80" s="16">
        <f t="shared" si="19"/>
        <v>4349.5305</v>
      </c>
      <c r="I80" s="16">
        <f t="shared" si="19"/>
        <v>14771.6205</v>
      </c>
      <c r="J80" s="16">
        <f t="shared" si="19"/>
        <v>5545.0185</v>
      </c>
      <c r="K80" s="16">
        <f t="shared" si="19"/>
        <v>4832.2365</v>
      </c>
      <c r="L80" s="16">
        <f t="shared" si="19"/>
        <v>7286.69235</v>
      </c>
      <c r="M80" s="16">
        <f t="shared" si="19"/>
        <v>7286.69235</v>
      </c>
      <c r="N80" s="16">
        <f t="shared" si="18"/>
        <v>87440.3082</v>
      </c>
      <c r="O80" s="2"/>
      <c r="Q80" s="11" t="s">
        <v>56</v>
      </c>
      <c r="R80" s="14">
        <v>0.0</v>
      </c>
    </row>
    <row r="81" ht="15.75" customHeight="1">
      <c r="A81" s="11" t="s">
        <v>94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4"/>
      <c r="O81" s="2"/>
      <c r="Q81" s="11" t="s">
        <v>90</v>
      </c>
      <c r="R81" s="14">
        <v>60000.0</v>
      </c>
    </row>
    <row r="82" ht="15.75" customHeight="1">
      <c r="A82" s="11" t="s">
        <v>95</v>
      </c>
      <c r="B82" s="25">
        <f t="shared" ref="B82:M82" si="20">B83*0.21*1.05</f>
        <v>13259.52716</v>
      </c>
      <c r="C82" s="25">
        <f t="shared" si="20"/>
        <v>13259.52716</v>
      </c>
      <c r="D82" s="25">
        <f t="shared" si="20"/>
        <v>13259.52716</v>
      </c>
      <c r="E82" s="25">
        <f t="shared" si="20"/>
        <v>13259.52716</v>
      </c>
      <c r="F82" s="25">
        <f t="shared" si="20"/>
        <v>13259.52716</v>
      </c>
      <c r="G82" s="25">
        <f t="shared" si="20"/>
        <v>13259.52716</v>
      </c>
      <c r="H82" s="25">
        <f t="shared" si="20"/>
        <v>13259.52716</v>
      </c>
      <c r="I82" s="25">
        <f t="shared" si="20"/>
        <v>13259.52716</v>
      </c>
      <c r="J82" s="25">
        <f t="shared" si="20"/>
        <v>13259.52716</v>
      </c>
      <c r="K82" s="25">
        <f t="shared" si="20"/>
        <v>13259.52716</v>
      </c>
      <c r="L82" s="25">
        <f t="shared" si="20"/>
        <v>13259.52716</v>
      </c>
      <c r="M82" s="25">
        <f t="shared" si="20"/>
        <v>13259.52716</v>
      </c>
      <c r="N82" s="14">
        <f t="shared" ref="N82:N88" si="21">(((((((((B82)+(C82))+(D82))+(E82))+(F82))+(G82))+(H82))+(I82))+(J82))+(K82)+L82+M82</f>
        <v>159114.3259</v>
      </c>
      <c r="O82" s="2" t="s">
        <v>96</v>
      </c>
      <c r="Q82" s="11" t="s">
        <v>91</v>
      </c>
      <c r="R82" s="14">
        <v>49999.999999999985</v>
      </c>
    </row>
    <row r="83" ht="15.75" customHeight="1">
      <c r="A83" s="11" t="s">
        <v>97</v>
      </c>
      <c r="B83" s="26">
        <v>60133.91</v>
      </c>
      <c r="C83" s="26">
        <v>60133.91</v>
      </c>
      <c r="D83" s="26">
        <v>60133.91</v>
      </c>
      <c r="E83" s="26">
        <v>60133.91</v>
      </c>
      <c r="F83" s="26">
        <v>60133.91</v>
      </c>
      <c r="G83" s="26">
        <v>60133.91</v>
      </c>
      <c r="H83" s="26">
        <v>60133.91</v>
      </c>
      <c r="I83" s="26">
        <v>60133.91</v>
      </c>
      <c r="J83" s="26">
        <v>60133.91</v>
      </c>
      <c r="K83" s="26">
        <v>60133.91</v>
      </c>
      <c r="L83" s="26">
        <v>60133.91</v>
      </c>
      <c r="M83" s="26">
        <v>60133.91</v>
      </c>
      <c r="N83" s="14">
        <f t="shared" si="21"/>
        <v>721606.92</v>
      </c>
      <c r="O83" s="2" t="s">
        <v>98</v>
      </c>
      <c r="Q83" s="11" t="s">
        <v>48</v>
      </c>
      <c r="R83" s="14">
        <v>0.0</v>
      </c>
    </row>
    <row r="84" ht="15.75" customHeight="1">
      <c r="A84" s="11" t="s">
        <v>99</v>
      </c>
      <c r="B84" s="26">
        <v>353.29</v>
      </c>
      <c r="C84" s="26">
        <v>353.29</v>
      </c>
      <c r="D84" s="26">
        <v>359.29</v>
      </c>
      <c r="E84" s="18">
        <f>'FY23 Actuals &amp; Projections'!E84*1.05</f>
        <v>252.168</v>
      </c>
      <c r="F84" s="18">
        <f>'FY23 Actuals &amp; Projections'!F84*1.05</f>
        <v>244.0305</v>
      </c>
      <c r="G84" s="18">
        <f>'FY23 Actuals &amp; Projections'!G84*1.05</f>
        <v>237.993</v>
      </c>
      <c r="H84" s="18">
        <f>'FY23 Actuals &amp; Projections'!H84*1.05</f>
        <v>244.0305</v>
      </c>
      <c r="I84" s="18">
        <f>'FY23 Actuals &amp; Projections'!I84*1.05</f>
        <v>244.0305</v>
      </c>
      <c r="J84" s="18">
        <f>'FY23 Actuals &amp; Projections'!J84*1.05</f>
        <v>237.993</v>
      </c>
      <c r="K84" s="18">
        <f>'FY23 Actuals &amp; Projections'!K84*1.05</f>
        <v>244.0305</v>
      </c>
      <c r="L84" s="18">
        <f>'FY23 Actuals &amp; Projections'!L84*1.05</f>
        <v>737.6838</v>
      </c>
      <c r="M84" s="18">
        <f>'FY23 Actuals &amp; Projections'!M84*1.05</f>
        <v>737.6838</v>
      </c>
      <c r="N84" s="14">
        <f t="shared" si="21"/>
        <v>4245.5136</v>
      </c>
      <c r="O84" s="19" t="s">
        <v>100</v>
      </c>
      <c r="Q84" s="11" t="s">
        <v>49</v>
      </c>
      <c r="R84" s="14">
        <v>0.0</v>
      </c>
    </row>
    <row r="85" ht="15.75" customHeight="1">
      <c r="A85" s="11" t="s">
        <v>101</v>
      </c>
      <c r="B85" s="25">
        <f t="shared" ref="B85:M85" si="22">B83*0.08</f>
        <v>4810.7128</v>
      </c>
      <c r="C85" s="25">
        <f t="shared" si="22"/>
        <v>4810.7128</v>
      </c>
      <c r="D85" s="25">
        <f t="shared" si="22"/>
        <v>4810.7128</v>
      </c>
      <c r="E85" s="25">
        <f t="shared" si="22"/>
        <v>4810.7128</v>
      </c>
      <c r="F85" s="25">
        <f t="shared" si="22"/>
        <v>4810.7128</v>
      </c>
      <c r="G85" s="25">
        <f t="shared" si="22"/>
        <v>4810.7128</v>
      </c>
      <c r="H85" s="25">
        <f t="shared" si="22"/>
        <v>4810.7128</v>
      </c>
      <c r="I85" s="25">
        <f t="shared" si="22"/>
        <v>4810.7128</v>
      </c>
      <c r="J85" s="25">
        <f t="shared" si="22"/>
        <v>4810.7128</v>
      </c>
      <c r="K85" s="25">
        <f t="shared" si="22"/>
        <v>4810.7128</v>
      </c>
      <c r="L85" s="25">
        <f t="shared" si="22"/>
        <v>4810.7128</v>
      </c>
      <c r="M85" s="25">
        <f t="shared" si="22"/>
        <v>4810.7128</v>
      </c>
      <c r="N85" s="14">
        <f t="shared" si="21"/>
        <v>57728.5536</v>
      </c>
      <c r="O85" s="2" t="s">
        <v>102</v>
      </c>
      <c r="Q85" s="11" t="s">
        <v>92</v>
      </c>
      <c r="R85" s="14">
        <v>30000.0</v>
      </c>
    </row>
    <row r="86" ht="15.75" customHeight="1">
      <c r="A86" s="11" t="s">
        <v>103</v>
      </c>
      <c r="B86" s="26">
        <v>2616.56</v>
      </c>
      <c r="C86" s="26">
        <v>2616.56</v>
      </c>
      <c r="D86" s="26">
        <v>2616.56</v>
      </c>
      <c r="E86" s="18">
        <f>'FY23 Actuals &amp; Projections'!E86*1.05</f>
        <v>2783.0565</v>
      </c>
      <c r="F86" s="18">
        <f>'FY23 Actuals &amp; Projections'!F86*1.05</f>
        <v>4393.536</v>
      </c>
      <c r="G86" s="18">
        <f>'FY23 Actuals &amp; Projections'!G86*1.05</f>
        <v>2213.0115</v>
      </c>
      <c r="H86" s="18">
        <f>'FY23 Actuals &amp; Projections'!H86*1.05</f>
        <v>2248.869</v>
      </c>
      <c r="I86" s="18">
        <f>'FY23 Actuals &amp; Projections'!I86*1.05</f>
        <v>2248.869</v>
      </c>
      <c r="J86" s="18">
        <f>'FY23 Actuals &amp; Projections'!J86*1.05</f>
        <v>2777.418</v>
      </c>
      <c r="K86" s="18">
        <f>'FY23 Actuals &amp; Projections'!K86*1.05</f>
        <v>2831.178</v>
      </c>
      <c r="L86" s="18">
        <f>'FY23 Actuals &amp; Projections'!L86*1.05</f>
        <v>2026.626</v>
      </c>
      <c r="M86" s="18">
        <f>'FY23 Actuals &amp; Projections'!M86*1.05</f>
        <v>2026.626</v>
      </c>
      <c r="N86" s="14">
        <f t="shared" si="21"/>
        <v>31398.87</v>
      </c>
      <c r="O86" s="19" t="s">
        <v>100</v>
      </c>
      <c r="Q86" s="11" t="s">
        <v>93</v>
      </c>
      <c r="R86" s="16">
        <v>140000.0</v>
      </c>
    </row>
    <row r="87" ht="15.75" customHeight="1">
      <c r="A87" s="11" t="s">
        <v>104</v>
      </c>
      <c r="B87" s="18">
        <f>'FY23 Actuals &amp; Projections'!B87*1.05</f>
        <v>353.1675</v>
      </c>
      <c r="C87" s="18">
        <f>'FY23 Actuals &amp; Projections'!C87*1.05</f>
        <v>342.951</v>
      </c>
      <c r="D87" s="18">
        <f>'FY23 Actuals &amp; Projections'!D87*1.05</f>
        <v>340.2105</v>
      </c>
      <c r="E87" s="18">
        <f>'FY23 Actuals &amp; Projections'!E87*1.05</f>
        <v>325.0065</v>
      </c>
      <c r="F87" s="18">
        <f>'FY23 Actuals &amp; Projections'!F87*1.05</f>
        <v>320.2605</v>
      </c>
      <c r="G87" s="18">
        <f>'FY23 Actuals &amp; Projections'!G87*1.05</f>
        <v>317.3835</v>
      </c>
      <c r="H87" s="18">
        <f>'FY23 Actuals &amp; Projections'!H87*1.05</f>
        <v>320.2605</v>
      </c>
      <c r="I87" s="18">
        <f>'FY23 Actuals &amp; Projections'!I87*1.05</f>
        <v>320.2605</v>
      </c>
      <c r="J87" s="18">
        <f>'FY23 Actuals &amp; Projections'!J87*1.05</f>
        <v>317.3835</v>
      </c>
      <c r="K87" s="18">
        <f>'FY23 Actuals &amp; Projections'!K87*1.05</f>
        <v>320.2605</v>
      </c>
      <c r="L87" s="18">
        <f>'FY23 Actuals &amp; Projections'!L87*1.05</f>
        <v>327.71445</v>
      </c>
      <c r="M87" s="18">
        <f>'FY23 Actuals &amp; Projections'!M87*1.05</f>
        <v>327.71445</v>
      </c>
      <c r="N87" s="14">
        <f t="shared" si="21"/>
        <v>3932.5734</v>
      </c>
      <c r="O87" s="19" t="s">
        <v>26</v>
      </c>
      <c r="Q87" s="11" t="s">
        <v>94</v>
      </c>
      <c r="R87" s="14">
        <v>0.0</v>
      </c>
    </row>
    <row r="88" ht="15.75" customHeight="1">
      <c r="A88" s="11" t="s">
        <v>105</v>
      </c>
      <c r="B88" s="16">
        <f t="shared" ref="B88:M88" si="23">((((((B81)+(B82))+(B83))+(B84))+(B85))+(B86))+(B87)</f>
        <v>81527.16746</v>
      </c>
      <c r="C88" s="16">
        <f t="shared" si="23"/>
        <v>81516.95096</v>
      </c>
      <c r="D88" s="16">
        <f t="shared" si="23"/>
        <v>81520.21046</v>
      </c>
      <c r="E88" s="16">
        <f t="shared" si="23"/>
        <v>81564.38096</v>
      </c>
      <c r="F88" s="16">
        <f t="shared" si="23"/>
        <v>83161.97696</v>
      </c>
      <c r="G88" s="16">
        <f t="shared" si="23"/>
        <v>80972.53796</v>
      </c>
      <c r="H88" s="16">
        <f t="shared" si="23"/>
        <v>81017.30996</v>
      </c>
      <c r="I88" s="16">
        <f t="shared" si="23"/>
        <v>81017.30996</v>
      </c>
      <c r="J88" s="16">
        <f t="shared" si="23"/>
        <v>81536.94446</v>
      </c>
      <c r="K88" s="16">
        <f t="shared" si="23"/>
        <v>81599.61896</v>
      </c>
      <c r="L88" s="16">
        <f t="shared" si="23"/>
        <v>81296.17421</v>
      </c>
      <c r="M88" s="16">
        <f t="shared" si="23"/>
        <v>81296.17421</v>
      </c>
      <c r="N88" s="16">
        <f t="shared" si="21"/>
        <v>978026.7565</v>
      </c>
      <c r="O88" s="17"/>
      <c r="Q88" s="11" t="s">
        <v>95</v>
      </c>
      <c r="R88" s="14">
        <v>0.0</v>
      </c>
    </row>
    <row r="89" ht="15.75" customHeight="1">
      <c r="A89" s="11" t="s">
        <v>106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4"/>
      <c r="O89" s="13"/>
      <c r="Q89" s="11" t="s">
        <v>97</v>
      </c>
      <c r="R89" s="14">
        <v>856505.0000000001</v>
      </c>
    </row>
    <row r="90" ht="15.75" customHeight="1">
      <c r="A90" s="11" t="s">
        <v>107</v>
      </c>
      <c r="B90" s="18">
        <v>0.0</v>
      </c>
      <c r="C90" s="18">
        <v>0.0</v>
      </c>
      <c r="D90" s="18">
        <v>0.0</v>
      </c>
      <c r="E90" s="18">
        <v>0.0</v>
      </c>
      <c r="F90" s="18">
        <v>0.0</v>
      </c>
      <c r="G90" s="18">
        <v>0.0</v>
      </c>
      <c r="H90" s="18">
        <v>0.0</v>
      </c>
      <c r="I90" s="18">
        <v>0.0</v>
      </c>
      <c r="J90" s="18">
        <v>0.0</v>
      </c>
      <c r="K90" s="18">
        <v>0.0</v>
      </c>
      <c r="L90" s="18">
        <v>0.0</v>
      </c>
      <c r="M90" s="18">
        <v>0.0</v>
      </c>
      <c r="N90" s="14">
        <f t="shared" ref="N90:N98" si="24">(((((((((B90)+(C90))+(D90))+(E90))+(F90))+(G90))+(H90))+(I90))+(J90))+(K90)+L90+M90</f>
        <v>0</v>
      </c>
      <c r="O90" s="27"/>
      <c r="Q90" s="11" t="s">
        <v>99</v>
      </c>
      <c r="R90" s="14">
        <v>0.0</v>
      </c>
    </row>
    <row r="91" ht="15.75" customHeight="1">
      <c r="A91" s="11" t="s">
        <v>108</v>
      </c>
      <c r="B91" s="18">
        <v>5690.0</v>
      </c>
      <c r="C91" s="18">
        <v>5690.0</v>
      </c>
      <c r="D91" s="18">
        <v>5690.0</v>
      </c>
      <c r="E91" s="18">
        <v>5690.0</v>
      </c>
      <c r="F91" s="18">
        <v>13740.0</v>
      </c>
      <c r="G91" s="18">
        <v>13740.0</v>
      </c>
      <c r="H91" s="18">
        <v>13740.0</v>
      </c>
      <c r="I91" s="18">
        <v>5690.0</v>
      </c>
      <c r="J91" s="18">
        <v>5690.0</v>
      </c>
      <c r="K91" s="18">
        <v>5690.0</v>
      </c>
      <c r="L91" s="18">
        <v>5690.0</v>
      </c>
      <c r="M91" s="18">
        <v>5690.0</v>
      </c>
      <c r="N91" s="14">
        <f t="shared" si="24"/>
        <v>92430</v>
      </c>
      <c r="O91" s="2" t="s">
        <v>109</v>
      </c>
      <c r="Q91" s="11" t="s">
        <v>101</v>
      </c>
      <c r="R91" s="14">
        <v>73000.0</v>
      </c>
    </row>
    <row r="92" ht="15.75" customHeight="1">
      <c r="A92" s="11" t="s">
        <v>110</v>
      </c>
      <c r="B92" s="18">
        <f>'FY23 Actuals &amp; Projections'!B92*1.05</f>
        <v>1455.3735</v>
      </c>
      <c r="C92" s="18">
        <f>'FY23 Actuals &amp; Projections'!C92*1.05</f>
        <v>24475.0695</v>
      </c>
      <c r="D92" s="18">
        <f>'FY23 Actuals &amp; Projections'!D92*1.05</f>
        <v>5118.9495</v>
      </c>
      <c r="E92" s="18">
        <f>'FY23 Actuals &amp; Projections'!E92*1.05</f>
        <v>610.68</v>
      </c>
      <c r="F92" s="18">
        <f>'FY23 Actuals &amp; Projections'!F92*1.05</f>
        <v>404.3235</v>
      </c>
      <c r="G92" s="18">
        <f>'FY23 Actuals &amp; Projections'!G92*1.05</f>
        <v>631.05</v>
      </c>
      <c r="H92" s="18">
        <f>'FY23 Actuals &amp; Projections'!H92*1.05</f>
        <v>202.65</v>
      </c>
      <c r="I92" s="18">
        <f>'FY23 Actuals &amp; Projections'!I92*1.05</f>
        <v>3444.987</v>
      </c>
      <c r="J92" s="18">
        <f>'FY23 Actuals &amp; Projections'!J92*1.05</f>
        <v>7793.4885</v>
      </c>
      <c r="K92" s="18">
        <f>'FY23 Actuals &amp; Projections'!K92*1.05</f>
        <v>4116.105</v>
      </c>
      <c r="L92" s="18">
        <f>'FY23 Actuals &amp; Projections'!L92*1.05</f>
        <v>4825.26765</v>
      </c>
      <c r="M92" s="18">
        <f>'FY23 Actuals &amp; Projections'!M92*1.05</f>
        <v>4825.26765</v>
      </c>
      <c r="N92" s="14">
        <f t="shared" si="24"/>
        <v>57903.2118</v>
      </c>
      <c r="O92" s="13"/>
      <c r="Q92" s="11" t="s">
        <v>103</v>
      </c>
      <c r="R92" s="14">
        <v>0.0</v>
      </c>
    </row>
    <row r="93" ht="15.75" customHeight="1">
      <c r="A93" s="11" t="s">
        <v>111</v>
      </c>
      <c r="B93" s="16">
        <f t="shared" ref="B93:M93" si="25">(((B89)+(B90))+(B91))+(B92)</f>
        <v>7145.3735</v>
      </c>
      <c r="C93" s="16">
        <f t="shared" si="25"/>
        <v>30165.0695</v>
      </c>
      <c r="D93" s="16">
        <f t="shared" si="25"/>
        <v>10808.9495</v>
      </c>
      <c r="E93" s="16">
        <f t="shared" si="25"/>
        <v>6300.68</v>
      </c>
      <c r="F93" s="16">
        <f t="shared" si="25"/>
        <v>14144.3235</v>
      </c>
      <c r="G93" s="16">
        <f t="shared" si="25"/>
        <v>14371.05</v>
      </c>
      <c r="H93" s="16">
        <f t="shared" si="25"/>
        <v>13942.65</v>
      </c>
      <c r="I93" s="16">
        <f t="shared" si="25"/>
        <v>9134.987</v>
      </c>
      <c r="J93" s="16">
        <f t="shared" si="25"/>
        <v>13483.4885</v>
      </c>
      <c r="K93" s="16">
        <f t="shared" si="25"/>
        <v>9806.105</v>
      </c>
      <c r="L93" s="16">
        <f t="shared" si="25"/>
        <v>10515.26765</v>
      </c>
      <c r="M93" s="16">
        <f t="shared" si="25"/>
        <v>10515.26765</v>
      </c>
      <c r="N93" s="16">
        <f t="shared" si="24"/>
        <v>150333.2118</v>
      </c>
      <c r="O93" s="17"/>
      <c r="Q93" s="11" t="s">
        <v>104</v>
      </c>
      <c r="R93" s="14">
        <v>0.0</v>
      </c>
    </row>
    <row r="94" ht="15.75" customHeight="1">
      <c r="A94" s="11" t="s">
        <v>112</v>
      </c>
      <c r="B94" s="20">
        <f>'FY23 Actuals &amp; Projections'!B94*1.05</f>
        <v>0</v>
      </c>
      <c r="C94" s="20">
        <f>'FY23 Actuals &amp; Projections'!C94*1.05</f>
        <v>31430.5425</v>
      </c>
      <c r="D94" s="20">
        <f>'FY23 Actuals &amp; Projections'!D94*1.05</f>
        <v>301.854</v>
      </c>
      <c r="E94" s="20">
        <f>'FY23 Actuals &amp; Projections'!E94*1.05</f>
        <v>542.934</v>
      </c>
      <c r="F94" s="20">
        <f>'FY23 Actuals &amp; Projections'!F94*1.05</f>
        <v>12819.5655</v>
      </c>
      <c r="G94" s="20">
        <f>'FY23 Actuals &amp; Projections'!G94*1.05</f>
        <v>0</v>
      </c>
      <c r="H94" s="20">
        <f>'FY23 Actuals &amp; Projections'!H94*1.05</f>
        <v>3525.5955</v>
      </c>
      <c r="I94" s="20">
        <f>'FY23 Actuals &amp; Projections'!I94*1.05</f>
        <v>17511.018</v>
      </c>
      <c r="J94" s="20">
        <f>'FY23 Actuals &amp; Projections'!J94*1.05</f>
        <v>218.8305</v>
      </c>
      <c r="K94" s="20">
        <f>'FY23 Actuals &amp; Projections'!K94*1.05</f>
        <v>1546.7445</v>
      </c>
      <c r="L94" s="20">
        <f>'FY23 Actuals &amp; Projections'!L94*1.05</f>
        <v>6789.70845</v>
      </c>
      <c r="M94" s="20">
        <f>'FY23 Actuals &amp; Projections'!M94*1.05</f>
        <v>6789.70845</v>
      </c>
      <c r="N94" s="14">
        <f t="shared" si="24"/>
        <v>81476.5014</v>
      </c>
      <c r="O94" s="2" t="s">
        <v>26</v>
      </c>
      <c r="Q94" s="11" t="s">
        <v>105</v>
      </c>
      <c r="R94" s="16">
        <v>929505.0</v>
      </c>
    </row>
    <row r="95" ht="15.75" customHeight="1">
      <c r="A95" s="11" t="s">
        <v>49</v>
      </c>
      <c r="B95" s="20">
        <f>'FY23 Actuals &amp; Projections'!B95*1.05</f>
        <v>0</v>
      </c>
      <c r="C95" s="20">
        <f>'FY23 Actuals &amp; Projections'!C95*1.05</f>
        <v>0</v>
      </c>
      <c r="D95" s="20">
        <f>'FY23 Actuals &amp; Projections'!D95*1.05</f>
        <v>0</v>
      </c>
      <c r="E95" s="20">
        <f>'FY23 Actuals &amp; Projections'!E95*1.05</f>
        <v>0</v>
      </c>
      <c r="F95" s="20">
        <f>'FY23 Actuals &amp; Projections'!F95*1.05</f>
        <v>0</v>
      </c>
      <c r="G95" s="20">
        <f>'FY23 Actuals &amp; Projections'!G95*1.05</f>
        <v>0</v>
      </c>
      <c r="H95" s="20">
        <f>'FY23 Actuals &amp; Projections'!H95*1.05</f>
        <v>0</v>
      </c>
      <c r="I95" s="20">
        <f>'FY23 Actuals &amp; Projections'!I95*1.05</f>
        <v>0</v>
      </c>
      <c r="J95" s="20">
        <f>'FY23 Actuals &amp; Projections'!J95*1.05</f>
        <v>7184.373</v>
      </c>
      <c r="K95" s="20">
        <f>'FY23 Actuals &amp; Projections'!K95*1.05</f>
        <v>0</v>
      </c>
      <c r="L95" s="20">
        <f>'FY23 Actuals &amp; Projections'!L95*1.05</f>
        <v>718.4373</v>
      </c>
      <c r="M95" s="20">
        <f>'FY23 Actuals &amp; Projections'!M95*1.05</f>
        <v>718.4373</v>
      </c>
      <c r="N95" s="14">
        <f t="shared" si="24"/>
        <v>8621.2476</v>
      </c>
      <c r="O95" s="19" t="s">
        <v>26</v>
      </c>
      <c r="Q95" s="11" t="s">
        <v>106</v>
      </c>
      <c r="R95" s="14">
        <v>0.0</v>
      </c>
    </row>
    <row r="96" ht="15.75" customHeight="1">
      <c r="A96" s="11" t="s">
        <v>113</v>
      </c>
      <c r="B96" s="16">
        <f t="shared" ref="B96:M96" si="26">(B94)+(B95)</f>
        <v>0</v>
      </c>
      <c r="C96" s="16">
        <f t="shared" si="26"/>
        <v>31430.5425</v>
      </c>
      <c r="D96" s="16">
        <f t="shared" si="26"/>
        <v>301.854</v>
      </c>
      <c r="E96" s="16">
        <f t="shared" si="26"/>
        <v>542.934</v>
      </c>
      <c r="F96" s="16">
        <f t="shared" si="26"/>
        <v>12819.5655</v>
      </c>
      <c r="G96" s="16">
        <f t="shared" si="26"/>
        <v>0</v>
      </c>
      <c r="H96" s="16">
        <f t="shared" si="26"/>
        <v>3525.5955</v>
      </c>
      <c r="I96" s="16">
        <f t="shared" si="26"/>
        <v>17511.018</v>
      </c>
      <c r="J96" s="16">
        <f t="shared" si="26"/>
        <v>7403.2035</v>
      </c>
      <c r="K96" s="16">
        <f t="shared" si="26"/>
        <v>1546.7445</v>
      </c>
      <c r="L96" s="16">
        <f t="shared" si="26"/>
        <v>7508.14575</v>
      </c>
      <c r="M96" s="16">
        <f t="shared" si="26"/>
        <v>7508.14575</v>
      </c>
      <c r="N96" s="16">
        <f t="shared" si="24"/>
        <v>90097.749</v>
      </c>
      <c r="O96" s="17"/>
      <c r="Q96" s="11" t="s">
        <v>107</v>
      </c>
      <c r="R96" s="14">
        <v>15000.0</v>
      </c>
    </row>
    <row r="97" ht="15.75" customHeight="1">
      <c r="A97" s="11" t="s">
        <v>114</v>
      </c>
      <c r="B97" s="16">
        <f t="shared" ref="B97:M97" si="27">((((((B31)+(B55))+(B74))+(B80))+(B88))+(B93))+(B96)</f>
        <v>115373.2628</v>
      </c>
      <c r="C97" s="16">
        <f t="shared" si="27"/>
        <v>304148.9833</v>
      </c>
      <c r="D97" s="16">
        <f t="shared" si="27"/>
        <v>192047.3078</v>
      </c>
      <c r="E97" s="16">
        <f t="shared" si="27"/>
        <v>144155.5538</v>
      </c>
      <c r="F97" s="16">
        <f t="shared" si="27"/>
        <v>311224.7183</v>
      </c>
      <c r="G97" s="16">
        <f t="shared" si="27"/>
        <v>249555.7923</v>
      </c>
      <c r="H97" s="16">
        <f t="shared" si="27"/>
        <v>330580.5233</v>
      </c>
      <c r="I97" s="16">
        <f t="shared" si="27"/>
        <v>397290.1388</v>
      </c>
      <c r="J97" s="16">
        <f t="shared" si="27"/>
        <v>180238.7738</v>
      </c>
      <c r="K97" s="16">
        <f t="shared" si="27"/>
        <v>613977.3823</v>
      </c>
      <c r="L97" s="16">
        <f t="shared" si="27"/>
        <v>175593.958</v>
      </c>
      <c r="M97" s="16">
        <f t="shared" si="27"/>
        <v>125643.958</v>
      </c>
      <c r="N97" s="16">
        <f t="shared" si="24"/>
        <v>3139830.352</v>
      </c>
      <c r="O97" s="17"/>
      <c r="Q97" s="11" t="s">
        <v>108</v>
      </c>
      <c r="R97" s="14">
        <v>111000.0</v>
      </c>
    </row>
    <row r="98" ht="15.75" customHeight="1">
      <c r="A98" s="11" t="s">
        <v>115</v>
      </c>
      <c r="B98" s="16">
        <f t="shared" ref="B98:M98" si="28">(B24)-(B97)</f>
        <v>-48829.18862</v>
      </c>
      <c r="C98" s="16">
        <f t="shared" si="28"/>
        <v>-173896.4641</v>
      </c>
      <c r="D98" s="16">
        <f t="shared" si="28"/>
        <v>-49438.83462</v>
      </c>
      <c r="E98" s="16">
        <f t="shared" si="28"/>
        <v>172.3788783</v>
      </c>
      <c r="F98" s="16">
        <f t="shared" si="28"/>
        <v>-116213.4776</v>
      </c>
      <c r="G98" s="16">
        <f t="shared" si="28"/>
        <v>27830.03688</v>
      </c>
      <c r="H98" s="16">
        <f t="shared" si="28"/>
        <v>441937.9609</v>
      </c>
      <c r="I98" s="16">
        <f t="shared" si="28"/>
        <v>46224.14388</v>
      </c>
      <c r="J98" s="16">
        <f t="shared" si="28"/>
        <v>62787.71038</v>
      </c>
      <c r="K98" s="16">
        <f t="shared" si="28"/>
        <v>181035.3514</v>
      </c>
      <c r="L98" s="16">
        <f t="shared" si="28"/>
        <v>-30685.25267</v>
      </c>
      <c r="M98" s="16">
        <f t="shared" si="28"/>
        <v>-50495.25267</v>
      </c>
      <c r="N98" s="16">
        <f t="shared" si="24"/>
        <v>290429.1119</v>
      </c>
      <c r="O98" s="17"/>
      <c r="Q98" s="11" t="s">
        <v>110</v>
      </c>
      <c r="R98" s="14">
        <v>36499.99999999999</v>
      </c>
    </row>
    <row r="99" ht="15.75" customHeight="1">
      <c r="A99" s="11" t="s">
        <v>116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3"/>
      <c r="Q99" s="11" t="s">
        <v>117</v>
      </c>
      <c r="R99" s="14">
        <v>0.0</v>
      </c>
    </row>
    <row r="100" ht="15.75" customHeight="1">
      <c r="A100" s="11" t="s">
        <v>118</v>
      </c>
      <c r="B100" s="18">
        <v>0.0</v>
      </c>
      <c r="C100" s="18">
        <v>0.0</v>
      </c>
      <c r="D100" s="18">
        <v>0.0</v>
      </c>
      <c r="E100" s="18">
        <v>0.0</v>
      </c>
      <c r="F100" s="18">
        <v>0.0</v>
      </c>
      <c r="G100" s="18">
        <v>0.0</v>
      </c>
      <c r="H100" s="18">
        <v>0.0</v>
      </c>
      <c r="I100" s="18">
        <v>0.0</v>
      </c>
      <c r="J100" s="18">
        <v>0.0</v>
      </c>
      <c r="K100" s="18">
        <v>0.0</v>
      </c>
      <c r="L100" s="18">
        <v>0.0</v>
      </c>
      <c r="M100" s="18">
        <v>0.0</v>
      </c>
      <c r="N100" s="14">
        <f t="shared" ref="N100:N102" si="29">(((((((((B100)+(C100))+(D100))+(E100))+(F100))+(G100))+(H100))+(I100))+(J100))+(K100)+L100+M100</f>
        <v>0</v>
      </c>
      <c r="O100" s="13"/>
      <c r="Q100" s="11" t="s">
        <v>111</v>
      </c>
      <c r="R100" s="16">
        <v>162500.00000000003</v>
      </c>
    </row>
    <row r="101" ht="15.75" customHeight="1">
      <c r="A101" s="11" t="s">
        <v>119</v>
      </c>
      <c r="B101" s="18">
        <v>0.0</v>
      </c>
      <c r="C101" s="18">
        <v>0.0</v>
      </c>
      <c r="D101" s="18">
        <v>0.0</v>
      </c>
      <c r="E101" s="18">
        <v>0.0</v>
      </c>
      <c r="F101" s="18">
        <v>0.0</v>
      </c>
      <c r="G101" s="18">
        <v>0.0</v>
      </c>
      <c r="H101" s="18">
        <v>0.0</v>
      </c>
      <c r="I101" s="18">
        <v>0.0</v>
      </c>
      <c r="J101" s="18">
        <v>0.0</v>
      </c>
      <c r="K101" s="18">
        <v>0.0</v>
      </c>
      <c r="L101" s="18">
        <v>0.0</v>
      </c>
      <c r="M101" s="18">
        <v>0.0</v>
      </c>
      <c r="N101" s="14">
        <f t="shared" si="29"/>
        <v>0</v>
      </c>
      <c r="O101" s="13"/>
      <c r="Q101" s="11" t="s">
        <v>112</v>
      </c>
      <c r="R101" s="14">
        <v>78000.0</v>
      </c>
    </row>
    <row r="102" ht="15.75" customHeight="1">
      <c r="A102" s="11" t="s">
        <v>120</v>
      </c>
      <c r="B102" s="16">
        <f t="shared" ref="B102:M102" si="30">(B100)+(B101)</f>
        <v>0</v>
      </c>
      <c r="C102" s="16">
        <f t="shared" si="30"/>
        <v>0</v>
      </c>
      <c r="D102" s="16">
        <f t="shared" si="30"/>
        <v>0</v>
      </c>
      <c r="E102" s="16">
        <f t="shared" si="30"/>
        <v>0</v>
      </c>
      <c r="F102" s="16">
        <f t="shared" si="30"/>
        <v>0</v>
      </c>
      <c r="G102" s="16">
        <f t="shared" si="30"/>
        <v>0</v>
      </c>
      <c r="H102" s="16">
        <f t="shared" si="30"/>
        <v>0</v>
      </c>
      <c r="I102" s="16">
        <f t="shared" si="30"/>
        <v>0</v>
      </c>
      <c r="J102" s="16">
        <f t="shared" si="30"/>
        <v>0</v>
      </c>
      <c r="K102" s="16">
        <f t="shared" si="30"/>
        <v>0</v>
      </c>
      <c r="L102" s="16">
        <f t="shared" si="30"/>
        <v>0</v>
      </c>
      <c r="M102" s="16">
        <f t="shared" si="30"/>
        <v>0</v>
      </c>
      <c r="N102" s="16">
        <f t="shared" si="29"/>
        <v>0</v>
      </c>
      <c r="O102" s="17"/>
      <c r="Q102" s="11" t="s">
        <v>121</v>
      </c>
      <c r="R102" s="14">
        <v>0.0</v>
      </c>
    </row>
    <row r="103" ht="15.75" customHeight="1">
      <c r="A103" s="11" t="s">
        <v>122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Q103" s="11" t="s">
        <v>49</v>
      </c>
      <c r="R103" s="14">
        <v>15000.0</v>
      </c>
    </row>
    <row r="104" ht="15.75" customHeight="1">
      <c r="A104" s="11" t="s">
        <v>123</v>
      </c>
      <c r="B104" s="20">
        <v>0.0</v>
      </c>
      <c r="C104" s="20">
        <v>0.0</v>
      </c>
      <c r="D104" s="20">
        <v>0.0</v>
      </c>
      <c r="E104" s="20">
        <v>0.0</v>
      </c>
      <c r="F104" s="20">
        <v>0.0</v>
      </c>
      <c r="G104" s="20">
        <v>0.0</v>
      </c>
      <c r="H104" s="20">
        <v>0.0</v>
      </c>
      <c r="I104" s="20">
        <v>0.0</v>
      </c>
      <c r="J104" s="20">
        <v>0.0</v>
      </c>
      <c r="K104" s="20">
        <v>0.0</v>
      </c>
      <c r="L104" s="20">
        <v>0.0</v>
      </c>
      <c r="M104" s="20">
        <v>0.0</v>
      </c>
      <c r="N104" s="14">
        <f t="shared" ref="N104:N108" si="31">(((((((((B104)+(C104))+(D104))+(E104))+(F104))+(G104))+(H104))+(I104))+(J104))+(K104)+L104+M104</f>
        <v>0</v>
      </c>
      <c r="O104" s="13"/>
      <c r="Q104" s="11" t="s">
        <v>113</v>
      </c>
      <c r="R104" s="16">
        <v>93000.0</v>
      </c>
    </row>
    <row r="105" ht="15.75" customHeight="1">
      <c r="A105" s="11" t="s">
        <v>124</v>
      </c>
      <c r="B105" s="18">
        <v>0.0</v>
      </c>
      <c r="C105" s="18">
        <v>0.0</v>
      </c>
      <c r="D105" s="18">
        <v>0.0</v>
      </c>
      <c r="E105" s="18">
        <v>0.0</v>
      </c>
      <c r="F105" s="18">
        <v>0.0</v>
      </c>
      <c r="G105" s="18">
        <v>0.0</v>
      </c>
      <c r="H105" s="18">
        <v>0.0</v>
      </c>
      <c r="I105" s="18">
        <v>0.0</v>
      </c>
      <c r="J105" s="18">
        <v>0.0</v>
      </c>
      <c r="K105" s="18">
        <v>0.0</v>
      </c>
      <c r="L105" s="18">
        <v>0.0</v>
      </c>
      <c r="M105" s="18">
        <v>0.0</v>
      </c>
      <c r="N105" s="14">
        <f t="shared" si="31"/>
        <v>0</v>
      </c>
      <c r="O105" s="13"/>
      <c r="Q105" s="11" t="s">
        <v>114</v>
      </c>
      <c r="R105" s="16">
        <v>2981274.0000000005</v>
      </c>
    </row>
    <row r="106" ht="15.75" customHeight="1">
      <c r="A106" s="11" t="s">
        <v>125</v>
      </c>
      <c r="B106" s="16">
        <f t="shared" ref="B106:M106" si="32">(B104)+(B105)</f>
        <v>0</v>
      </c>
      <c r="C106" s="16">
        <f t="shared" si="32"/>
        <v>0</v>
      </c>
      <c r="D106" s="16">
        <f t="shared" si="32"/>
        <v>0</v>
      </c>
      <c r="E106" s="16">
        <f t="shared" si="32"/>
        <v>0</v>
      </c>
      <c r="F106" s="16">
        <f t="shared" si="32"/>
        <v>0</v>
      </c>
      <c r="G106" s="16">
        <f t="shared" si="32"/>
        <v>0</v>
      </c>
      <c r="H106" s="16">
        <f t="shared" si="32"/>
        <v>0</v>
      </c>
      <c r="I106" s="16">
        <f t="shared" si="32"/>
        <v>0</v>
      </c>
      <c r="J106" s="16">
        <f t="shared" si="32"/>
        <v>0</v>
      </c>
      <c r="K106" s="16">
        <f t="shared" si="32"/>
        <v>0</v>
      </c>
      <c r="L106" s="16">
        <f t="shared" si="32"/>
        <v>0</v>
      </c>
      <c r="M106" s="16">
        <f t="shared" si="32"/>
        <v>0</v>
      </c>
      <c r="N106" s="16">
        <f t="shared" si="31"/>
        <v>0</v>
      </c>
      <c r="O106" s="17"/>
      <c r="Q106" s="11" t="s">
        <v>115</v>
      </c>
      <c r="R106" s="16">
        <v>-127101.00000000041</v>
      </c>
    </row>
    <row r="107" ht="15.75" customHeight="1">
      <c r="A107" s="11" t="s">
        <v>126</v>
      </c>
      <c r="B107" s="16">
        <f t="shared" ref="B107:M107" si="33">(B102)-(B106)</f>
        <v>0</v>
      </c>
      <c r="C107" s="16">
        <f t="shared" si="33"/>
        <v>0</v>
      </c>
      <c r="D107" s="16">
        <f t="shared" si="33"/>
        <v>0</v>
      </c>
      <c r="E107" s="16">
        <f t="shared" si="33"/>
        <v>0</v>
      </c>
      <c r="F107" s="16">
        <f t="shared" si="33"/>
        <v>0</v>
      </c>
      <c r="G107" s="16">
        <f t="shared" si="33"/>
        <v>0</v>
      </c>
      <c r="H107" s="16">
        <f t="shared" si="33"/>
        <v>0</v>
      </c>
      <c r="I107" s="16">
        <f t="shared" si="33"/>
        <v>0</v>
      </c>
      <c r="J107" s="16">
        <f t="shared" si="33"/>
        <v>0</v>
      </c>
      <c r="K107" s="16">
        <f t="shared" si="33"/>
        <v>0</v>
      </c>
      <c r="L107" s="16">
        <f t="shared" si="33"/>
        <v>0</v>
      </c>
      <c r="M107" s="16">
        <f t="shared" si="33"/>
        <v>0</v>
      </c>
      <c r="N107" s="16">
        <f t="shared" si="31"/>
        <v>0</v>
      </c>
      <c r="O107" s="17"/>
      <c r="Q107" s="11" t="s">
        <v>116</v>
      </c>
      <c r="R107" s="12"/>
    </row>
    <row r="108" ht="15.75" customHeight="1">
      <c r="A108" s="11" t="s">
        <v>127</v>
      </c>
      <c r="B108" s="16">
        <f t="shared" ref="B108:M108" si="34">(B98)+(B107)</f>
        <v>-48829.18862</v>
      </c>
      <c r="C108" s="16">
        <f t="shared" si="34"/>
        <v>-173896.4641</v>
      </c>
      <c r="D108" s="16">
        <f t="shared" si="34"/>
        <v>-49438.83462</v>
      </c>
      <c r="E108" s="16">
        <f t="shared" si="34"/>
        <v>172.3788783</v>
      </c>
      <c r="F108" s="16">
        <f t="shared" si="34"/>
        <v>-116213.4776</v>
      </c>
      <c r="G108" s="16">
        <f t="shared" si="34"/>
        <v>27830.03688</v>
      </c>
      <c r="H108" s="16">
        <f t="shared" si="34"/>
        <v>441937.9609</v>
      </c>
      <c r="I108" s="16">
        <f t="shared" si="34"/>
        <v>46224.14388</v>
      </c>
      <c r="J108" s="16">
        <f t="shared" si="34"/>
        <v>62787.71038</v>
      </c>
      <c r="K108" s="16">
        <f t="shared" si="34"/>
        <v>181035.3514</v>
      </c>
      <c r="L108" s="16">
        <f t="shared" si="34"/>
        <v>-30685.25267</v>
      </c>
      <c r="M108" s="16">
        <f t="shared" si="34"/>
        <v>-50495.25267</v>
      </c>
      <c r="N108" s="16">
        <f t="shared" si="31"/>
        <v>290429.1119</v>
      </c>
      <c r="O108" s="17"/>
      <c r="Q108" s="11" t="s">
        <v>118</v>
      </c>
      <c r="R108" s="14">
        <v>5.0</v>
      </c>
    </row>
    <row r="109" ht="15.75" customHeight="1">
      <c r="A109" s="11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3"/>
      <c r="Q109" s="11" t="s">
        <v>119</v>
      </c>
      <c r="R109" s="14">
        <v>0.0</v>
      </c>
    </row>
    <row r="110" ht="15.75" customHeight="1">
      <c r="O110" s="2"/>
      <c r="Q110" s="11" t="s">
        <v>120</v>
      </c>
      <c r="R110" s="16">
        <v>5.0</v>
      </c>
    </row>
    <row r="111" ht="15.75" customHeight="1">
      <c r="O111" s="2"/>
      <c r="Q111" s="11" t="s">
        <v>122</v>
      </c>
      <c r="R111" s="12"/>
    </row>
    <row r="112" ht="15.75" customHeight="1">
      <c r="A112" s="28" t="s">
        <v>128</v>
      </c>
      <c r="O112" s="2"/>
      <c r="Q112" s="11" t="s">
        <v>123</v>
      </c>
      <c r="R112" s="14">
        <v>0.0</v>
      </c>
    </row>
    <row r="113" ht="15.75" customHeight="1">
      <c r="O113" s="2"/>
      <c r="Q113" s="11" t="s">
        <v>124</v>
      </c>
      <c r="R113" s="14">
        <v>0.0</v>
      </c>
    </row>
    <row r="114" ht="15.75" customHeight="1">
      <c r="O114" s="2"/>
      <c r="Q114" s="11" t="s">
        <v>125</v>
      </c>
      <c r="R114" s="16">
        <v>0.0</v>
      </c>
    </row>
    <row r="115" ht="15.75" customHeight="1">
      <c r="L115" s="29"/>
      <c r="O115" s="2"/>
      <c r="Q115" s="11" t="s">
        <v>126</v>
      </c>
      <c r="R115" s="16">
        <v>5.0</v>
      </c>
    </row>
    <row r="116" ht="15.75" customHeight="1">
      <c r="O116" s="2"/>
      <c r="Q116" s="11" t="s">
        <v>127</v>
      </c>
      <c r="R116" s="16">
        <v>-127096.00000000041</v>
      </c>
    </row>
    <row r="117" ht="15.75" customHeight="1">
      <c r="O117" s="2"/>
    </row>
    <row r="118" ht="15.75" customHeight="1">
      <c r="O118" s="2"/>
    </row>
    <row r="119" ht="15.75" customHeight="1">
      <c r="O119" s="2"/>
    </row>
    <row r="120" ht="15.75" customHeight="1">
      <c r="O120" s="2"/>
    </row>
    <row r="121" ht="15.75" customHeight="1">
      <c r="O121" s="2"/>
    </row>
    <row r="122" ht="15.75" customHeight="1">
      <c r="O122" s="2"/>
    </row>
    <row r="123" ht="15.75" customHeight="1">
      <c r="O123" s="2"/>
    </row>
    <row r="124" ht="15.75" customHeight="1">
      <c r="O124" s="2"/>
    </row>
    <row r="125" ht="15.75" customHeight="1">
      <c r="O125" s="2"/>
    </row>
    <row r="126" ht="15.75" customHeight="1">
      <c r="O126" s="2"/>
    </row>
    <row r="127" ht="15.75" customHeight="1">
      <c r="O127" s="2"/>
    </row>
    <row r="128" ht="15.75" customHeight="1">
      <c r="O128" s="2"/>
    </row>
    <row r="129" ht="15.75" customHeight="1">
      <c r="O129" s="2"/>
    </row>
    <row r="130" ht="15.75" customHeight="1">
      <c r="O130" s="2"/>
    </row>
    <row r="131" ht="15.75" customHeight="1">
      <c r="O131" s="2"/>
    </row>
    <row r="132" ht="15.75" customHeight="1">
      <c r="O132" s="2"/>
    </row>
    <row r="133" ht="15.75" customHeight="1">
      <c r="O133" s="2"/>
    </row>
    <row r="134" ht="15.75" customHeight="1">
      <c r="O134" s="2"/>
    </row>
    <row r="135" ht="15.75" customHeight="1">
      <c r="O135" s="2"/>
    </row>
    <row r="136" ht="15.75" customHeight="1">
      <c r="O136" s="2"/>
    </row>
    <row r="137" ht="15.75" customHeight="1">
      <c r="O137" s="2"/>
    </row>
    <row r="138" ht="15.75" customHeight="1">
      <c r="O138" s="2"/>
    </row>
    <row r="139" ht="15.75" customHeight="1">
      <c r="O139" s="2"/>
    </row>
    <row r="140" ht="15.75" customHeight="1">
      <c r="O140" s="2"/>
    </row>
    <row r="141" ht="15.75" customHeight="1">
      <c r="O141" s="2"/>
    </row>
    <row r="142" ht="15.75" customHeight="1">
      <c r="O142" s="2"/>
    </row>
    <row r="143" ht="15.75" customHeight="1">
      <c r="O143" s="2"/>
    </row>
    <row r="144" ht="15.75" customHeight="1">
      <c r="O144" s="2"/>
    </row>
    <row r="145" ht="15.75" customHeight="1">
      <c r="O145" s="2"/>
    </row>
    <row r="146" ht="15.75" customHeight="1">
      <c r="O146" s="2"/>
    </row>
    <row r="147" ht="15.75" customHeight="1">
      <c r="O147" s="2"/>
    </row>
    <row r="148" ht="15.75" customHeight="1">
      <c r="O148" s="2"/>
    </row>
    <row r="149" ht="15.75" customHeight="1">
      <c r="O149" s="2"/>
    </row>
    <row r="150" ht="15.75" customHeight="1">
      <c r="O150" s="2"/>
    </row>
    <row r="151" ht="15.75" customHeight="1">
      <c r="O151" s="2"/>
    </row>
    <row r="152" ht="15.75" customHeight="1">
      <c r="O152" s="2"/>
    </row>
    <row r="153" ht="15.75" customHeight="1">
      <c r="O153" s="2"/>
    </row>
    <row r="154" ht="15.75" customHeight="1">
      <c r="O154" s="2"/>
    </row>
    <row r="155" ht="15.75" customHeight="1">
      <c r="O155" s="2"/>
    </row>
    <row r="156" ht="15.75" customHeight="1">
      <c r="O156" s="2"/>
    </row>
    <row r="157" ht="15.75" customHeight="1">
      <c r="O157" s="2"/>
    </row>
    <row r="158" ht="15.75" customHeight="1">
      <c r="O158" s="2"/>
    </row>
    <row r="159" ht="15.75" customHeight="1">
      <c r="O159" s="2"/>
    </row>
    <row r="160" ht="15.75" customHeight="1">
      <c r="O160" s="2"/>
    </row>
    <row r="161" ht="15.75" customHeight="1">
      <c r="O161" s="2"/>
    </row>
    <row r="162" ht="15.75" customHeight="1">
      <c r="O162" s="2"/>
    </row>
    <row r="163" ht="15.75" customHeight="1">
      <c r="O163" s="2"/>
    </row>
    <row r="164" ht="15.75" customHeight="1">
      <c r="O164" s="2"/>
    </row>
    <row r="165" ht="15.75" customHeight="1">
      <c r="O165" s="2"/>
    </row>
    <row r="166" ht="15.75" customHeight="1">
      <c r="O166" s="2"/>
    </row>
    <row r="167" ht="15.75" customHeight="1">
      <c r="O167" s="2"/>
    </row>
    <row r="168" ht="15.75" customHeight="1">
      <c r="O168" s="2"/>
    </row>
    <row r="169" ht="15.75" customHeight="1">
      <c r="O169" s="2"/>
    </row>
    <row r="170" ht="15.75" customHeight="1">
      <c r="O170" s="2"/>
    </row>
    <row r="171" ht="15.75" customHeight="1">
      <c r="O171" s="2"/>
    </row>
    <row r="172" ht="15.75" customHeight="1">
      <c r="O172" s="2"/>
    </row>
    <row r="173" ht="15.75" customHeight="1">
      <c r="O173" s="2"/>
    </row>
    <row r="174" ht="15.75" customHeight="1">
      <c r="O174" s="2"/>
    </row>
    <row r="175" ht="15.75" customHeight="1">
      <c r="O175" s="2"/>
    </row>
    <row r="176" ht="15.75" customHeight="1">
      <c r="O176" s="2"/>
    </row>
    <row r="177" ht="15.75" customHeight="1">
      <c r="O177" s="2"/>
    </row>
    <row r="178" ht="15.75" customHeight="1">
      <c r="O178" s="2"/>
    </row>
    <row r="179" ht="15.75" customHeight="1">
      <c r="O179" s="2"/>
    </row>
    <row r="180" ht="15.75" customHeight="1">
      <c r="O180" s="2"/>
    </row>
    <row r="181" ht="15.75" customHeight="1">
      <c r="O181" s="2"/>
    </row>
    <row r="182" ht="15.75" customHeight="1">
      <c r="O182" s="2"/>
    </row>
    <row r="183" ht="15.75" customHeight="1">
      <c r="O183" s="2"/>
    </row>
    <row r="184" ht="15.75" customHeight="1">
      <c r="O184" s="2"/>
    </row>
    <row r="185" ht="15.75" customHeight="1">
      <c r="O185" s="2"/>
    </row>
    <row r="186" ht="15.75" customHeight="1">
      <c r="O186" s="2"/>
    </row>
    <row r="187" ht="15.75" customHeight="1">
      <c r="O187" s="2"/>
    </row>
    <row r="188" ht="15.75" customHeight="1">
      <c r="O188" s="2"/>
    </row>
    <row r="189" ht="15.75" customHeight="1">
      <c r="O189" s="2"/>
    </row>
    <row r="190" ht="15.75" customHeight="1">
      <c r="O190" s="2"/>
    </row>
    <row r="191" ht="15.75" customHeight="1">
      <c r="O191" s="2"/>
    </row>
    <row r="192" ht="15.75" customHeight="1">
      <c r="O192" s="2"/>
    </row>
    <row r="193" ht="15.75" customHeight="1">
      <c r="O193" s="2"/>
    </row>
    <row r="194" ht="15.75" customHeight="1">
      <c r="O194" s="2"/>
    </row>
    <row r="195" ht="15.75" customHeight="1">
      <c r="O195" s="2"/>
    </row>
    <row r="196" ht="15.75" customHeight="1">
      <c r="O196" s="2"/>
    </row>
    <row r="197" ht="15.75" customHeight="1">
      <c r="O197" s="2"/>
    </row>
    <row r="198" ht="15.75" customHeight="1">
      <c r="O198" s="2"/>
    </row>
    <row r="199" ht="15.75" customHeight="1">
      <c r="O199" s="2"/>
    </row>
    <row r="200" ht="15.75" customHeight="1">
      <c r="O200" s="2"/>
    </row>
    <row r="201" ht="15.75" customHeight="1">
      <c r="O201" s="2"/>
    </row>
    <row r="202" ht="15.75" customHeight="1">
      <c r="O202" s="2"/>
    </row>
    <row r="203" ht="15.75" customHeight="1">
      <c r="O203" s="2"/>
    </row>
    <row r="204" ht="15.75" customHeight="1">
      <c r="O204" s="2"/>
    </row>
    <row r="205" ht="15.75" customHeight="1">
      <c r="O205" s="2"/>
    </row>
    <row r="206" ht="15.75" customHeight="1">
      <c r="O206" s="2"/>
    </row>
    <row r="207" ht="15.75" customHeight="1">
      <c r="O207" s="2"/>
    </row>
    <row r="208" ht="15.75" customHeight="1">
      <c r="O208" s="2"/>
    </row>
    <row r="209" ht="15.75" customHeight="1">
      <c r="O209" s="2"/>
    </row>
    <row r="210" ht="15.75" customHeight="1">
      <c r="O210" s="2"/>
    </row>
    <row r="211" ht="15.75" customHeight="1">
      <c r="O211" s="2"/>
    </row>
    <row r="212" ht="15.75" customHeight="1">
      <c r="O212" s="2"/>
    </row>
    <row r="213" ht="15.75" customHeight="1">
      <c r="O213" s="2"/>
    </row>
    <row r="214" ht="15.75" customHeight="1">
      <c r="O214" s="2"/>
    </row>
    <row r="215" ht="15.75" customHeight="1">
      <c r="O215" s="2"/>
    </row>
    <row r="216" ht="15.75" customHeight="1">
      <c r="O216" s="2"/>
    </row>
    <row r="217" ht="15.75" customHeight="1">
      <c r="O217" s="2"/>
    </row>
    <row r="218" ht="15.75" customHeight="1">
      <c r="O218" s="2"/>
    </row>
    <row r="219" ht="15.75" customHeight="1">
      <c r="O219" s="2"/>
    </row>
    <row r="220" ht="15.75" customHeight="1">
      <c r="O220" s="2"/>
    </row>
    <row r="221" ht="15.75" customHeight="1">
      <c r="O221" s="2"/>
    </row>
    <row r="222" ht="15.75" customHeight="1">
      <c r="O222" s="2"/>
    </row>
    <row r="223" ht="15.75" customHeight="1">
      <c r="O223" s="2"/>
    </row>
    <row r="224" ht="15.75" customHeight="1">
      <c r="O224" s="2"/>
    </row>
    <row r="225" ht="15.75" customHeight="1">
      <c r="O225" s="2"/>
    </row>
    <row r="226" ht="15.75" customHeight="1">
      <c r="O226" s="2"/>
    </row>
    <row r="227" ht="15.75" customHeight="1">
      <c r="O227" s="2"/>
    </row>
    <row r="228" ht="15.75" customHeight="1">
      <c r="O228" s="2"/>
    </row>
    <row r="229" ht="15.75" customHeight="1">
      <c r="O229" s="2"/>
    </row>
    <row r="230" ht="15.75" customHeight="1">
      <c r="O230" s="2"/>
    </row>
    <row r="231" ht="15.75" customHeight="1">
      <c r="O231" s="2"/>
    </row>
    <row r="232" ht="15.75" customHeight="1">
      <c r="O232" s="2"/>
    </row>
    <row r="233" ht="15.75" customHeight="1">
      <c r="O233" s="2"/>
    </row>
    <row r="234" ht="15.75" customHeight="1">
      <c r="O234" s="2"/>
    </row>
    <row r="235" ht="15.75" customHeight="1">
      <c r="O235" s="2"/>
    </row>
    <row r="236" ht="15.75" customHeight="1">
      <c r="O236" s="2"/>
    </row>
    <row r="237" ht="15.75" customHeight="1">
      <c r="O237" s="2"/>
    </row>
    <row r="238" ht="15.75" customHeight="1">
      <c r="O238" s="2"/>
    </row>
    <row r="239" ht="15.75" customHeight="1">
      <c r="O239" s="2"/>
    </row>
    <row r="240" ht="15.75" customHeight="1">
      <c r="O240" s="2"/>
    </row>
    <row r="241" ht="15.75" customHeight="1">
      <c r="O241" s="2"/>
    </row>
    <row r="242" ht="15.75" customHeight="1">
      <c r="O242" s="2"/>
    </row>
    <row r="243" ht="15.75" customHeight="1">
      <c r="O243" s="2"/>
    </row>
    <row r="244" ht="15.75" customHeight="1">
      <c r="O244" s="2"/>
    </row>
    <row r="245" ht="15.75" customHeight="1">
      <c r="O245" s="2"/>
    </row>
    <row r="246" ht="15.75" customHeight="1">
      <c r="O246" s="2"/>
    </row>
    <row r="247" ht="15.75" customHeight="1">
      <c r="O247" s="2"/>
    </row>
    <row r="248" ht="15.75" customHeight="1">
      <c r="O248" s="2"/>
    </row>
    <row r="249" ht="15.75" customHeight="1">
      <c r="O249" s="2"/>
    </row>
    <row r="250" ht="15.75" customHeight="1">
      <c r="O250" s="2"/>
    </row>
    <row r="251" ht="15.75" customHeight="1">
      <c r="O251" s="2"/>
    </row>
    <row r="252" ht="15.75" customHeight="1">
      <c r="O252" s="2"/>
    </row>
    <row r="253" ht="15.75" customHeight="1">
      <c r="O253" s="2"/>
    </row>
    <row r="254" ht="15.75" customHeight="1">
      <c r="O254" s="2"/>
    </row>
    <row r="255" ht="15.75" customHeight="1">
      <c r="O255" s="2"/>
    </row>
    <row r="256" ht="15.75" customHeight="1">
      <c r="O256" s="2"/>
    </row>
    <row r="257" ht="15.75" customHeight="1">
      <c r="O257" s="2"/>
    </row>
    <row r="258" ht="15.75" customHeight="1">
      <c r="O258" s="2"/>
    </row>
    <row r="259" ht="15.75" customHeight="1">
      <c r="O259" s="2"/>
    </row>
    <row r="260" ht="15.75" customHeight="1">
      <c r="O260" s="2"/>
    </row>
    <row r="261" ht="15.75" customHeight="1">
      <c r="O261" s="2"/>
    </row>
    <row r="262" ht="15.75" customHeight="1">
      <c r="O262" s="2"/>
    </row>
    <row r="263" ht="15.75" customHeight="1">
      <c r="O263" s="2"/>
    </row>
    <row r="264" ht="15.75" customHeight="1">
      <c r="O264" s="2"/>
    </row>
    <row r="265" ht="15.75" customHeight="1">
      <c r="O265" s="2"/>
    </row>
    <row r="266" ht="15.75" customHeight="1">
      <c r="O266" s="2"/>
    </row>
    <row r="267" ht="15.75" customHeight="1">
      <c r="O267" s="2"/>
    </row>
    <row r="268" ht="15.75" customHeight="1">
      <c r="O268" s="2"/>
    </row>
    <row r="269" ht="15.75" customHeight="1">
      <c r="O269" s="2"/>
    </row>
    <row r="270" ht="15.75" customHeight="1">
      <c r="O270" s="2"/>
    </row>
    <row r="271" ht="15.75" customHeight="1">
      <c r="O271" s="2"/>
    </row>
    <row r="272" ht="15.75" customHeight="1">
      <c r="O272" s="2"/>
    </row>
    <row r="273" ht="15.75" customHeight="1">
      <c r="O273" s="2"/>
    </row>
    <row r="274" ht="15.75" customHeight="1">
      <c r="O274" s="2"/>
    </row>
    <row r="275" ht="15.75" customHeight="1">
      <c r="O275" s="2"/>
    </row>
    <row r="276" ht="15.75" customHeight="1">
      <c r="O276" s="2"/>
    </row>
    <row r="277" ht="15.75" customHeight="1">
      <c r="O277" s="2"/>
    </row>
    <row r="278" ht="15.75" customHeight="1">
      <c r="O278" s="2"/>
    </row>
    <row r="279" ht="15.75" customHeight="1">
      <c r="O279" s="2"/>
    </row>
    <row r="280" ht="15.75" customHeight="1">
      <c r="O280" s="2"/>
    </row>
    <row r="281" ht="15.75" customHeight="1">
      <c r="O281" s="2"/>
    </row>
    <row r="282" ht="15.75" customHeight="1">
      <c r="O282" s="2"/>
    </row>
    <row r="283" ht="15.75" customHeight="1">
      <c r="O283" s="2"/>
    </row>
    <row r="284" ht="15.75" customHeight="1">
      <c r="O284" s="2"/>
    </row>
    <row r="285" ht="15.75" customHeight="1">
      <c r="O285" s="2"/>
    </row>
    <row r="286" ht="15.75" customHeight="1">
      <c r="O286" s="2"/>
    </row>
    <row r="287" ht="15.75" customHeight="1">
      <c r="O287" s="2"/>
    </row>
    <row r="288" ht="15.75" customHeight="1">
      <c r="O288" s="2"/>
    </row>
    <row r="289" ht="15.75" customHeight="1">
      <c r="O289" s="2"/>
    </row>
    <row r="290" ht="15.75" customHeight="1">
      <c r="O290" s="2"/>
    </row>
    <row r="291" ht="15.75" customHeight="1">
      <c r="O291" s="2"/>
    </row>
    <row r="292" ht="15.75" customHeight="1">
      <c r="O292" s="2"/>
    </row>
    <row r="293" ht="15.75" customHeight="1">
      <c r="O293" s="2"/>
    </row>
    <row r="294" ht="15.75" customHeight="1">
      <c r="O294" s="2"/>
    </row>
    <row r="295" ht="15.75" customHeight="1">
      <c r="O295" s="2"/>
    </row>
    <row r="296" ht="15.75" customHeight="1">
      <c r="O296" s="2"/>
    </row>
    <row r="297" ht="15.75" customHeight="1">
      <c r="O297" s="2"/>
    </row>
    <row r="298" ht="15.75" customHeight="1">
      <c r="O298" s="2"/>
    </row>
    <row r="299" ht="15.75" customHeight="1">
      <c r="O299" s="2"/>
    </row>
    <row r="300" ht="15.75" customHeight="1">
      <c r="O300" s="2"/>
    </row>
    <row r="301" ht="15.75" customHeight="1">
      <c r="O301" s="2"/>
    </row>
    <row r="302" ht="15.75" customHeight="1">
      <c r="O302" s="2"/>
    </row>
    <row r="303" ht="15.75" customHeight="1">
      <c r="O303" s="2"/>
    </row>
    <row r="304" ht="15.75" customHeight="1">
      <c r="O304" s="2"/>
    </row>
    <row r="305" ht="15.75" customHeight="1">
      <c r="O305" s="2"/>
    </row>
    <row r="306" ht="15.75" customHeight="1">
      <c r="O306" s="2"/>
    </row>
    <row r="307" ht="15.75" customHeight="1">
      <c r="O307" s="2"/>
    </row>
    <row r="308" ht="15.75" customHeight="1">
      <c r="O308" s="2"/>
    </row>
    <row r="309" ht="15.75" customHeight="1">
      <c r="O309" s="2"/>
    </row>
    <row r="310" ht="15.75" customHeight="1">
      <c r="O310" s="2"/>
    </row>
    <row r="311" ht="15.75" customHeight="1">
      <c r="O311" s="2"/>
    </row>
    <row r="312" ht="15.75" customHeight="1">
      <c r="O312" s="2"/>
    </row>
    <row r="313" ht="15.75" customHeight="1">
      <c r="O313" s="2"/>
    </row>
    <row r="314" ht="15.75" customHeight="1">
      <c r="O314" s="2"/>
    </row>
    <row r="315" ht="15.75" customHeight="1">
      <c r="O315" s="2"/>
    </row>
    <row r="316" ht="15.75" customHeight="1">
      <c r="O316" s="2"/>
    </row>
    <row r="317" ht="15.75" customHeight="1">
      <c r="O317" s="2"/>
    </row>
    <row r="318" ht="15.75" customHeight="1">
      <c r="O318" s="2"/>
    </row>
    <row r="319" ht="15.75" customHeight="1">
      <c r="O319" s="2"/>
    </row>
    <row r="320" ht="15.75" customHeight="1">
      <c r="O320" s="2"/>
    </row>
    <row r="321" ht="15.75" customHeight="1">
      <c r="O321" s="2"/>
    </row>
    <row r="322" ht="15.75" customHeight="1">
      <c r="O322" s="2"/>
    </row>
    <row r="323" ht="15.75" customHeight="1">
      <c r="O323" s="2"/>
    </row>
    <row r="324" ht="15.75" customHeight="1">
      <c r="O324" s="2"/>
    </row>
    <row r="325" ht="15.75" customHeight="1">
      <c r="O325" s="2"/>
    </row>
    <row r="326" ht="15.75" customHeight="1">
      <c r="O326" s="2"/>
    </row>
    <row r="327" ht="15.75" customHeight="1">
      <c r="O327" s="2"/>
    </row>
    <row r="328" ht="15.75" customHeight="1">
      <c r="O328" s="2"/>
    </row>
    <row r="329" ht="15.75" customHeight="1">
      <c r="O329" s="2"/>
    </row>
    <row r="330" ht="15.75" customHeight="1">
      <c r="O330" s="2"/>
    </row>
    <row r="331" ht="15.75" customHeight="1">
      <c r="O331" s="2"/>
    </row>
    <row r="332" ht="15.75" customHeight="1">
      <c r="O332" s="2"/>
    </row>
    <row r="333" ht="15.75" customHeight="1">
      <c r="O333" s="2"/>
    </row>
    <row r="334" ht="15.75" customHeight="1">
      <c r="O334" s="2"/>
    </row>
    <row r="335" ht="15.75" customHeight="1">
      <c r="O335" s="2"/>
    </row>
    <row r="336" ht="15.75" customHeight="1">
      <c r="O336" s="2"/>
    </row>
    <row r="337" ht="15.75" customHeight="1">
      <c r="O337" s="2"/>
    </row>
    <row r="338" ht="15.75" customHeight="1">
      <c r="O338" s="2"/>
    </row>
    <row r="339" ht="15.75" customHeight="1">
      <c r="O339" s="2"/>
    </row>
    <row r="340" ht="15.75" customHeight="1">
      <c r="O340" s="2"/>
    </row>
    <row r="341" ht="15.75" customHeight="1">
      <c r="O341" s="2"/>
    </row>
    <row r="342" ht="15.75" customHeight="1">
      <c r="O342" s="2"/>
    </row>
    <row r="343" ht="15.75" customHeight="1">
      <c r="O343" s="2"/>
    </row>
    <row r="344" ht="15.75" customHeight="1">
      <c r="O344" s="2"/>
    </row>
    <row r="345" ht="15.75" customHeight="1">
      <c r="O345" s="2"/>
    </row>
    <row r="346" ht="15.75" customHeight="1">
      <c r="O346" s="2"/>
    </row>
    <row r="347" ht="15.75" customHeight="1">
      <c r="O347" s="2"/>
    </row>
    <row r="348" ht="15.75" customHeight="1">
      <c r="O348" s="2"/>
    </row>
    <row r="349" ht="15.75" customHeight="1">
      <c r="O349" s="2"/>
    </row>
    <row r="350" ht="15.75" customHeight="1">
      <c r="O350" s="2"/>
    </row>
    <row r="351" ht="15.75" customHeight="1">
      <c r="O351" s="2"/>
    </row>
    <row r="352" ht="15.75" customHeight="1">
      <c r="O352" s="2"/>
    </row>
    <row r="353" ht="15.75" customHeight="1">
      <c r="O353" s="2"/>
    </row>
    <row r="354" ht="15.75" customHeight="1">
      <c r="O354" s="2"/>
    </row>
    <row r="355" ht="15.75" customHeight="1">
      <c r="O355" s="2"/>
    </row>
    <row r="356" ht="15.75" customHeight="1">
      <c r="O356" s="2"/>
    </row>
    <row r="357" ht="15.75" customHeight="1">
      <c r="O357" s="2"/>
    </row>
    <row r="358" ht="15.75" customHeight="1">
      <c r="O358" s="2"/>
    </row>
    <row r="359" ht="15.75" customHeight="1">
      <c r="O359" s="2"/>
    </row>
    <row r="360" ht="15.75" customHeight="1">
      <c r="O360" s="2"/>
    </row>
    <row r="361" ht="15.75" customHeight="1">
      <c r="O361" s="2"/>
    </row>
    <row r="362" ht="15.75" customHeight="1">
      <c r="O362" s="2"/>
    </row>
    <row r="363" ht="15.75" customHeight="1">
      <c r="O363" s="2"/>
    </row>
    <row r="364" ht="15.75" customHeight="1">
      <c r="O364" s="2"/>
    </row>
    <row r="365" ht="15.75" customHeight="1">
      <c r="O365" s="2"/>
    </row>
    <row r="366" ht="15.75" customHeight="1">
      <c r="O366" s="2"/>
    </row>
    <row r="367" ht="15.75" customHeight="1">
      <c r="O367" s="2"/>
    </row>
    <row r="368" ht="15.75" customHeight="1">
      <c r="O368" s="2"/>
    </row>
    <row r="369" ht="15.75" customHeight="1">
      <c r="O369" s="2"/>
    </row>
    <row r="370" ht="15.75" customHeight="1">
      <c r="O370" s="2"/>
    </row>
    <row r="371" ht="15.75" customHeight="1">
      <c r="O371" s="2"/>
    </row>
    <row r="372" ht="15.75" customHeight="1">
      <c r="O372" s="2"/>
    </row>
    <row r="373" ht="15.75" customHeight="1">
      <c r="O373" s="2"/>
    </row>
    <row r="374" ht="15.75" customHeight="1">
      <c r="O374" s="2"/>
    </row>
    <row r="375" ht="15.75" customHeight="1">
      <c r="O375" s="2"/>
    </row>
    <row r="376" ht="15.75" customHeight="1">
      <c r="O376" s="2"/>
    </row>
    <row r="377" ht="15.75" customHeight="1">
      <c r="O377" s="2"/>
    </row>
    <row r="378" ht="15.75" customHeight="1">
      <c r="O378" s="2"/>
    </row>
    <row r="379" ht="15.75" customHeight="1">
      <c r="O379" s="2"/>
    </row>
    <row r="380" ht="15.75" customHeight="1">
      <c r="O380" s="2"/>
    </row>
    <row r="381" ht="15.75" customHeight="1">
      <c r="O381" s="2"/>
    </row>
    <row r="382" ht="15.75" customHeight="1">
      <c r="O382" s="2"/>
    </row>
    <row r="383" ht="15.75" customHeight="1">
      <c r="O383" s="2"/>
    </row>
    <row r="384" ht="15.75" customHeight="1">
      <c r="O384" s="2"/>
    </row>
    <row r="385" ht="15.75" customHeight="1">
      <c r="O385" s="2"/>
    </row>
    <row r="386" ht="15.75" customHeight="1">
      <c r="O386" s="2"/>
    </row>
    <row r="387" ht="15.75" customHeight="1">
      <c r="O387" s="2"/>
    </row>
    <row r="388" ht="15.75" customHeight="1">
      <c r="O388" s="2"/>
    </row>
    <row r="389" ht="15.75" customHeight="1">
      <c r="O389" s="2"/>
    </row>
    <row r="390" ht="15.75" customHeight="1">
      <c r="O390" s="2"/>
    </row>
    <row r="391" ht="15.75" customHeight="1">
      <c r="O391" s="2"/>
    </row>
    <row r="392" ht="15.75" customHeight="1">
      <c r="O392" s="2"/>
    </row>
    <row r="393" ht="15.75" customHeight="1">
      <c r="O393" s="2"/>
    </row>
    <row r="394" ht="15.75" customHeight="1">
      <c r="O394" s="2"/>
    </row>
    <row r="395" ht="15.75" customHeight="1">
      <c r="O395" s="2"/>
    </row>
    <row r="396" ht="15.75" customHeight="1">
      <c r="O396" s="2"/>
    </row>
    <row r="397" ht="15.75" customHeight="1">
      <c r="O397" s="2"/>
    </row>
    <row r="398" ht="15.75" customHeight="1">
      <c r="O398" s="2"/>
    </row>
    <row r="399" ht="15.75" customHeight="1">
      <c r="O399" s="2"/>
    </row>
    <row r="400" ht="15.75" customHeight="1">
      <c r="O400" s="2"/>
    </row>
    <row r="401" ht="15.75" customHeight="1">
      <c r="O401" s="2"/>
    </row>
    <row r="402" ht="15.75" customHeight="1">
      <c r="O402" s="2"/>
    </row>
    <row r="403" ht="15.75" customHeight="1">
      <c r="O403" s="2"/>
    </row>
    <row r="404" ht="15.75" customHeight="1">
      <c r="O404" s="2"/>
    </row>
    <row r="405" ht="15.75" customHeight="1">
      <c r="O405" s="2"/>
    </row>
    <row r="406" ht="15.75" customHeight="1">
      <c r="O406" s="2"/>
    </row>
    <row r="407" ht="15.75" customHeight="1">
      <c r="O407" s="2"/>
    </row>
    <row r="408" ht="15.75" customHeight="1">
      <c r="O408" s="2"/>
    </row>
    <row r="409" ht="15.75" customHeight="1">
      <c r="O409" s="2"/>
    </row>
    <row r="410" ht="15.75" customHeight="1">
      <c r="O410" s="2"/>
    </row>
    <row r="411" ht="15.75" customHeight="1">
      <c r="O411" s="2"/>
    </row>
    <row r="412" ht="15.75" customHeight="1">
      <c r="O412" s="2"/>
    </row>
    <row r="413" ht="15.75" customHeight="1">
      <c r="O413" s="2"/>
    </row>
    <row r="414" ht="15.75" customHeight="1">
      <c r="O414" s="2"/>
    </row>
    <row r="415" ht="15.75" customHeight="1">
      <c r="O415" s="2"/>
    </row>
    <row r="416" ht="15.75" customHeight="1">
      <c r="O416" s="2"/>
    </row>
    <row r="417" ht="15.75" customHeight="1">
      <c r="O417" s="2"/>
    </row>
    <row r="418" ht="15.75" customHeight="1">
      <c r="O418" s="2"/>
    </row>
    <row r="419" ht="15.75" customHeight="1">
      <c r="O419" s="2"/>
    </row>
    <row r="420" ht="15.75" customHeight="1">
      <c r="O420" s="2"/>
    </row>
    <row r="421" ht="15.75" customHeight="1">
      <c r="O421" s="2"/>
    </row>
    <row r="422" ht="15.75" customHeight="1">
      <c r="O422" s="2"/>
    </row>
    <row r="423" ht="15.75" customHeight="1">
      <c r="O423" s="2"/>
    </row>
    <row r="424" ht="15.75" customHeight="1">
      <c r="O424" s="2"/>
    </row>
    <row r="425" ht="15.75" customHeight="1">
      <c r="O425" s="2"/>
    </row>
    <row r="426" ht="15.75" customHeight="1">
      <c r="O426" s="2"/>
    </row>
    <row r="427" ht="15.75" customHeight="1">
      <c r="O427" s="2"/>
    </row>
    <row r="428" ht="15.75" customHeight="1">
      <c r="O428" s="2"/>
    </row>
    <row r="429" ht="15.75" customHeight="1">
      <c r="O429" s="2"/>
    </row>
    <row r="430" ht="15.75" customHeight="1">
      <c r="O430" s="2"/>
    </row>
    <row r="431" ht="15.75" customHeight="1">
      <c r="O431" s="2"/>
    </row>
    <row r="432" ht="15.75" customHeight="1">
      <c r="O432" s="2"/>
    </row>
    <row r="433" ht="15.75" customHeight="1">
      <c r="O433" s="2"/>
    </row>
    <row r="434" ht="15.75" customHeight="1">
      <c r="O434" s="2"/>
    </row>
    <row r="435" ht="15.75" customHeight="1">
      <c r="O435" s="2"/>
    </row>
    <row r="436" ht="15.75" customHeight="1">
      <c r="O436" s="2"/>
    </row>
    <row r="437" ht="15.75" customHeight="1">
      <c r="O437" s="2"/>
    </row>
    <row r="438" ht="15.75" customHeight="1">
      <c r="O438" s="2"/>
    </row>
    <row r="439" ht="15.75" customHeight="1">
      <c r="O439" s="2"/>
    </row>
    <row r="440" ht="15.75" customHeight="1">
      <c r="O440" s="2"/>
    </row>
    <row r="441" ht="15.75" customHeight="1">
      <c r="O441" s="2"/>
    </row>
    <row r="442" ht="15.75" customHeight="1">
      <c r="O442" s="2"/>
    </row>
    <row r="443" ht="15.75" customHeight="1">
      <c r="O443" s="2"/>
    </row>
    <row r="444" ht="15.75" customHeight="1">
      <c r="O444" s="2"/>
    </row>
    <row r="445" ht="15.75" customHeight="1">
      <c r="O445" s="2"/>
    </row>
    <row r="446" ht="15.75" customHeight="1">
      <c r="O446" s="2"/>
    </row>
    <row r="447" ht="15.75" customHeight="1">
      <c r="O447" s="2"/>
    </row>
    <row r="448" ht="15.75" customHeight="1">
      <c r="O448" s="2"/>
    </row>
    <row r="449" ht="15.75" customHeight="1">
      <c r="O449" s="2"/>
    </row>
    <row r="450" ht="15.75" customHeight="1">
      <c r="O450" s="2"/>
    </row>
    <row r="451" ht="15.75" customHeight="1">
      <c r="O451" s="2"/>
    </row>
    <row r="452" ht="15.75" customHeight="1">
      <c r="O452" s="2"/>
    </row>
    <row r="453" ht="15.75" customHeight="1">
      <c r="O453" s="2"/>
    </row>
    <row r="454" ht="15.75" customHeight="1">
      <c r="O454" s="2"/>
    </row>
    <row r="455" ht="15.75" customHeight="1">
      <c r="O455" s="2"/>
    </row>
    <row r="456" ht="15.75" customHeight="1">
      <c r="O456" s="2"/>
    </row>
    <row r="457" ht="15.75" customHeight="1">
      <c r="O457" s="2"/>
    </row>
    <row r="458" ht="15.75" customHeight="1">
      <c r="O458" s="2"/>
    </row>
    <row r="459" ht="15.75" customHeight="1">
      <c r="O459" s="2"/>
    </row>
    <row r="460" ht="15.75" customHeight="1">
      <c r="O460" s="2"/>
    </row>
    <row r="461" ht="15.75" customHeight="1">
      <c r="O461" s="2"/>
    </row>
    <row r="462" ht="15.75" customHeight="1">
      <c r="O462" s="2"/>
    </row>
    <row r="463" ht="15.75" customHeight="1">
      <c r="O463" s="2"/>
    </row>
    <row r="464" ht="15.75" customHeight="1">
      <c r="O464" s="2"/>
    </row>
    <row r="465" ht="15.75" customHeight="1">
      <c r="O465" s="2"/>
    </row>
    <row r="466" ht="15.75" customHeight="1">
      <c r="O466" s="2"/>
    </row>
    <row r="467" ht="15.75" customHeight="1">
      <c r="O467" s="2"/>
    </row>
    <row r="468" ht="15.75" customHeight="1">
      <c r="O468" s="2"/>
    </row>
    <row r="469" ht="15.75" customHeight="1">
      <c r="O469" s="2"/>
    </row>
    <row r="470" ht="15.75" customHeight="1">
      <c r="O470" s="2"/>
    </row>
    <row r="471" ht="15.75" customHeight="1">
      <c r="O471" s="2"/>
    </row>
    <row r="472" ht="15.75" customHeight="1">
      <c r="O472" s="2"/>
    </row>
    <row r="473" ht="15.75" customHeight="1">
      <c r="O473" s="2"/>
    </row>
    <row r="474" ht="15.75" customHeight="1">
      <c r="O474" s="2"/>
    </row>
    <row r="475" ht="15.75" customHeight="1">
      <c r="O475" s="2"/>
    </row>
    <row r="476" ht="15.75" customHeight="1">
      <c r="O476" s="2"/>
    </row>
    <row r="477" ht="15.75" customHeight="1">
      <c r="O477" s="2"/>
    </row>
    <row r="478" ht="15.75" customHeight="1">
      <c r="O478" s="2"/>
    </row>
    <row r="479" ht="15.75" customHeight="1">
      <c r="O479" s="2"/>
    </row>
    <row r="480" ht="15.75" customHeight="1">
      <c r="O480" s="2"/>
    </row>
    <row r="481" ht="15.75" customHeight="1">
      <c r="O481" s="2"/>
    </row>
    <row r="482" ht="15.75" customHeight="1">
      <c r="O482" s="2"/>
    </row>
    <row r="483" ht="15.75" customHeight="1">
      <c r="O483" s="2"/>
    </row>
    <row r="484" ht="15.75" customHeight="1">
      <c r="O484" s="2"/>
    </row>
    <row r="485" ht="15.75" customHeight="1">
      <c r="O485" s="2"/>
    </row>
    <row r="486" ht="15.75" customHeight="1">
      <c r="O486" s="2"/>
    </row>
    <row r="487" ht="15.75" customHeight="1">
      <c r="O487" s="2"/>
    </row>
    <row r="488" ht="15.75" customHeight="1">
      <c r="O488" s="2"/>
    </row>
    <row r="489" ht="15.75" customHeight="1">
      <c r="O489" s="2"/>
    </row>
    <row r="490" ht="15.75" customHeight="1">
      <c r="O490" s="2"/>
    </row>
    <row r="491" ht="15.75" customHeight="1">
      <c r="O491" s="2"/>
    </row>
    <row r="492" ht="15.75" customHeight="1">
      <c r="O492" s="2"/>
    </row>
    <row r="493" ht="15.75" customHeight="1">
      <c r="O493" s="2"/>
    </row>
    <row r="494" ht="15.75" customHeight="1">
      <c r="O494" s="2"/>
    </row>
    <row r="495" ht="15.75" customHeight="1">
      <c r="O495" s="2"/>
    </row>
    <row r="496" ht="15.75" customHeight="1">
      <c r="O496" s="2"/>
    </row>
    <row r="497" ht="15.75" customHeight="1">
      <c r="O497" s="2"/>
    </row>
    <row r="498" ht="15.75" customHeight="1">
      <c r="O498" s="2"/>
    </row>
    <row r="499" ht="15.75" customHeight="1">
      <c r="O499" s="2"/>
    </row>
    <row r="500" ht="15.75" customHeight="1">
      <c r="O500" s="2"/>
    </row>
    <row r="501" ht="15.75" customHeight="1">
      <c r="O501" s="2"/>
    </row>
    <row r="502" ht="15.75" customHeight="1">
      <c r="O502" s="2"/>
    </row>
    <row r="503" ht="15.75" customHeight="1">
      <c r="O503" s="2"/>
    </row>
    <row r="504" ht="15.75" customHeight="1">
      <c r="O504" s="2"/>
    </row>
    <row r="505" ht="15.75" customHeight="1">
      <c r="O505" s="2"/>
    </row>
    <row r="506" ht="15.75" customHeight="1">
      <c r="O506" s="2"/>
    </row>
    <row r="507" ht="15.75" customHeight="1">
      <c r="O507" s="2"/>
    </row>
    <row r="508" ht="15.75" customHeight="1">
      <c r="O508" s="2"/>
    </row>
    <row r="509" ht="15.75" customHeight="1">
      <c r="O509" s="2"/>
    </row>
    <row r="510" ht="15.75" customHeight="1">
      <c r="O510" s="2"/>
    </row>
    <row r="511" ht="15.75" customHeight="1">
      <c r="O511" s="2"/>
    </row>
    <row r="512" ht="15.75" customHeight="1">
      <c r="O512" s="2"/>
    </row>
    <row r="513" ht="15.75" customHeight="1">
      <c r="O513" s="2"/>
    </row>
    <row r="514" ht="15.75" customHeight="1">
      <c r="O514" s="2"/>
    </row>
    <row r="515" ht="15.75" customHeight="1">
      <c r="O515" s="2"/>
    </row>
    <row r="516" ht="15.75" customHeight="1">
      <c r="O516" s="2"/>
    </row>
    <row r="517" ht="15.75" customHeight="1">
      <c r="O517" s="2"/>
    </row>
    <row r="518" ht="15.75" customHeight="1">
      <c r="O518" s="2"/>
    </row>
    <row r="519" ht="15.75" customHeight="1">
      <c r="O519" s="2"/>
    </row>
    <row r="520" ht="15.75" customHeight="1">
      <c r="O520" s="2"/>
    </row>
    <row r="521" ht="15.75" customHeight="1">
      <c r="O521" s="2"/>
    </row>
    <row r="522" ht="15.75" customHeight="1">
      <c r="O522" s="2"/>
    </row>
    <row r="523" ht="15.75" customHeight="1">
      <c r="O523" s="2"/>
    </row>
    <row r="524" ht="15.75" customHeight="1">
      <c r="O524" s="2"/>
    </row>
    <row r="525" ht="15.75" customHeight="1">
      <c r="O525" s="2"/>
    </row>
    <row r="526" ht="15.75" customHeight="1">
      <c r="O526" s="2"/>
    </row>
    <row r="527" ht="15.75" customHeight="1">
      <c r="O527" s="2"/>
    </row>
    <row r="528" ht="15.75" customHeight="1">
      <c r="O528" s="2"/>
    </row>
    <row r="529" ht="15.75" customHeight="1">
      <c r="O529" s="2"/>
    </row>
    <row r="530" ht="15.75" customHeight="1">
      <c r="O530" s="2"/>
    </row>
    <row r="531" ht="15.75" customHeight="1">
      <c r="O531" s="2"/>
    </row>
    <row r="532" ht="15.75" customHeight="1">
      <c r="O532" s="2"/>
    </row>
    <row r="533" ht="15.75" customHeight="1">
      <c r="O533" s="2"/>
    </row>
    <row r="534" ht="15.75" customHeight="1">
      <c r="O534" s="2"/>
    </row>
    <row r="535" ht="15.75" customHeight="1">
      <c r="O535" s="2"/>
    </row>
    <row r="536" ht="15.75" customHeight="1">
      <c r="O536" s="2"/>
    </row>
    <row r="537" ht="15.75" customHeight="1">
      <c r="O537" s="2"/>
    </row>
    <row r="538" ht="15.75" customHeight="1">
      <c r="O538" s="2"/>
    </row>
    <row r="539" ht="15.75" customHeight="1">
      <c r="O539" s="2"/>
    </row>
    <row r="540" ht="15.75" customHeight="1">
      <c r="O540" s="2"/>
    </row>
    <row r="541" ht="15.75" customHeight="1">
      <c r="O541" s="2"/>
    </row>
    <row r="542" ht="15.75" customHeight="1">
      <c r="O542" s="2"/>
    </row>
    <row r="543" ht="15.75" customHeight="1">
      <c r="O543" s="2"/>
    </row>
    <row r="544" ht="15.75" customHeight="1">
      <c r="O544" s="2"/>
    </row>
    <row r="545" ht="15.75" customHeight="1">
      <c r="O545" s="2"/>
    </row>
    <row r="546" ht="15.75" customHeight="1">
      <c r="O546" s="2"/>
    </row>
    <row r="547" ht="15.75" customHeight="1">
      <c r="O547" s="2"/>
    </row>
    <row r="548" ht="15.75" customHeight="1">
      <c r="O548" s="2"/>
    </row>
    <row r="549" ht="15.75" customHeight="1">
      <c r="O549" s="2"/>
    </row>
    <row r="550" ht="15.75" customHeight="1">
      <c r="O550" s="2"/>
    </row>
    <row r="551" ht="15.75" customHeight="1">
      <c r="O551" s="2"/>
    </row>
    <row r="552" ht="15.75" customHeight="1">
      <c r="O552" s="2"/>
    </row>
    <row r="553" ht="15.75" customHeight="1">
      <c r="O553" s="2"/>
    </row>
    <row r="554" ht="15.75" customHeight="1">
      <c r="O554" s="2"/>
    </row>
    <row r="555" ht="15.75" customHeight="1">
      <c r="O555" s="2"/>
    </row>
    <row r="556" ht="15.75" customHeight="1">
      <c r="O556" s="2"/>
    </row>
    <row r="557" ht="15.75" customHeight="1">
      <c r="O557" s="2"/>
    </row>
    <row r="558" ht="15.75" customHeight="1">
      <c r="O558" s="2"/>
    </row>
    <row r="559" ht="15.75" customHeight="1">
      <c r="O559" s="2"/>
    </row>
    <row r="560" ht="15.75" customHeight="1">
      <c r="O560" s="2"/>
    </row>
    <row r="561" ht="15.75" customHeight="1">
      <c r="O561" s="2"/>
    </row>
    <row r="562" ht="15.75" customHeight="1">
      <c r="O562" s="2"/>
    </row>
    <row r="563" ht="15.75" customHeight="1">
      <c r="O563" s="2"/>
    </row>
    <row r="564" ht="15.75" customHeight="1">
      <c r="O564" s="2"/>
    </row>
    <row r="565" ht="15.75" customHeight="1">
      <c r="O565" s="2"/>
    </row>
    <row r="566" ht="15.75" customHeight="1">
      <c r="O566" s="2"/>
    </row>
    <row r="567" ht="15.75" customHeight="1">
      <c r="O567" s="2"/>
    </row>
    <row r="568" ht="15.75" customHeight="1">
      <c r="O568" s="2"/>
    </row>
    <row r="569" ht="15.75" customHeight="1">
      <c r="O569" s="2"/>
    </row>
    <row r="570" ht="15.75" customHeight="1">
      <c r="O570" s="2"/>
    </row>
    <row r="571" ht="15.75" customHeight="1">
      <c r="O571" s="2"/>
    </row>
    <row r="572" ht="15.75" customHeight="1">
      <c r="O572" s="2"/>
    </row>
    <row r="573" ht="15.75" customHeight="1">
      <c r="O573" s="2"/>
    </row>
    <row r="574" ht="15.75" customHeight="1">
      <c r="O574" s="2"/>
    </row>
    <row r="575" ht="15.75" customHeight="1">
      <c r="O575" s="2"/>
    </row>
    <row r="576" ht="15.75" customHeight="1">
      <c r="O576" s="2"/>
    </row>
    <row r="577" ht="15.75" customHeight="1">
      <c r="O577" s="2"/>
    </row>
    <row r="578" ht="15.75" customHeight="1">
      <c r="O578" s="2"/>
    </row>
    <row r="579" ht="15.75" customHeight="1">
      <c r="O579" s="2"/>
    </row>
    <row r="580" ht="15.75" customHeight="1">
      <c r="O580" s="2"/>
    </row>
    <row r="581" ht="15.75" customHeight="1">
      <c r="O581" s="2"/>
    </row>
    <row r="582" ht="15.75" customHeight="1">
      <c r="O582" s="2"/>
    </row>
    <row r="583" ht="15.75" customHeight="1">
      <c r="O583" s="2"/>
    </row>
    <row r="584" ht="15.75" customHeight="1">
      <c r="O584" s="2"/>
    </row>
    <row r="585" ht="15.75" customHeight="1">
      <c r="O585" s="2"/>
    </row>
    <row r="586" ht="15.75" customHeight="1">
      <c r="O586" s="2"/>
    </row>
    <row r="587" ht="15.75" customHeight="1">
      <c r="O587" s="2"/>
    </row>
    <row r="588" ht="15.75" customHeight="1">
      <c r="O588" s="2"/>
    </row>
    <row r="589" ht="15.75" customHeight="1">
      <c r="O589" s="2"/>
    </row>
    <row r="590" ht="15.75" customHeight="1">
      <c r="O590" s="2"/>
    </row>
    <row r="591" ht="15.75" customHeight="1">
      <c r="O591" s="2"/>
    </row>
    <row r="592" ht="15.75" customHeight="1">
      <c r="O592" s="2"/>
    </row>
    <row r="593" ht="15.75" customHeight="1">
      <c r="O593" s="2"/>
    </row>
    <row r="594" ht="15.75" customHeight="1">
      <c r="O594" s="2"/>
    </row>
    <row r="595" ht="15.75" customHeight="1">
      <c r="O595" s="2"/>
    </row>
    <row r="596" ht="15.75" customHeight="1">
      <c r="O596" s="2"/>
    </row>
    <row r="597" ht="15.75" customHeight="1">
      <c r="O597" s="2"/>
    </row>
    <row r="598" ht="15.75" customHeight="1">
      <c r="O598" s="2"/>
    </row>
    <row r="599" ht="15.75" customHeight="1">
      <c r="O599" s="2"/>
    </row>
    <row r="600" ht="15.75" customHeight="1">
      <c r="O600" s="2"/>
    </row>
    <row r="601" ht="15.75" customHeight="1">
      <c r="O601" s="2"/>
    </row>
    <row r="602" ht="15.75" customHeight="1">
      <c r="O602" s="2"/>
    </row>
    <row r="603" ht="15.75" customHeight="1">
      <c r="O603" s="2"/>
    </row>
    <row r="604" ht="15.75" customHeight="1">
      <c r="O604" s="2"/>
    </row>
    <row r="605" ht="15.75" customHeight="1">
      <c r="O605" s="2"/>
    </row>
    <row r="606" ht="15.75" customHeight="1">
      <c r="O606" s="2"/>
    </row>
    <row r="607" ht="15.75" customHeight="1">
      <c r="O607" s="2"/>
    </row>
    <row r="608" ht="15.75" customHeight="1">
      <c r="O608" s="2"/>
    </row>
    <row r="609" ht="15.75" customHeight="1">
      <c r="O609" s="2"/>
    </row>
    <row r="610" ht="15.75" customHeight="1">
      <c r="O610" s="2"/>
    </row>
    <row r="611" ht="15.75" customHeight="1">
      <c r="O611" s="2"/>
    </row>
    <row r="612" ht="15.75" customHeight="1">
      <c r="O612" s="2"/>
    </row>
    <row r="613" ht="15.75" customHeight="1">
      <c r="O613" s="2"/>
    </row>
    <row r="614" ht="15.75" customHeight="1">
      <c r="O614" s="2"/>
    </row>
    <row r="615" ht="15.75" customHeight="1">
      <c r="O615" s="2"/>
    </row>
    <row r="616" ht="15.75" customHeight="1">
      <c r="O616" s="2"/>
    </row>
    <row r="617" ht="15.75" customHeight="1">
      <c r="O617" s="2"/>
    </row>
    <row r="618" ht="15.75" customHeight="1">
      <c r="O618" s="2"/>
    </row>
    <row r="619" ht="15.75" customHeight="1">
      <c r="O619" s="2"/>
    </row>
    <row r="620" ht="15.75" customHeight="1">
      <c r="O620" s="2"/>
    </row>
    <row r="621" ht="15.75" customHeight="1">
      <c r="O621" s="2"/>
    </row>
    <row r="622" ht="15.75" customHeight="1">
      <c r="O622" s="2"/>
    </row>
    <row r="623" ht="15.75" customHeight="1">
      <c r="O623" s="2"/>
    </row>
    <row r="624" ht="15.75" customHeight="1">
      <c r="O624" s="2"/>
    </row>
    <row r="625" ht="15.75" customHeight="1">
      <c r="O625" s="2"/>
    </row>
    <row r="626" ht="15.75" customHeight="1">
      <c r="O626" s="2"/>
    </row>
    <row r="627" ht="15.75" customHeight="1">
      <c r="O627" s="2"/>
    </row>
    <row r="628" ht="15.75" customHeight="1">
      <c r="O628" s="2"/>
    </row>
    <row r="629" ht="15.75" customHeight="1">
      <c r="O629" s="2"/>
    </row>
    <row r="630" ht="15.75" customHeight="1">
      <c r="O630" s="2"/>
    </row>
    <row r="631" ht="15.75" customHeight="1">
      <c r="O631" s="2"/>
    </row>
    <row r="632" ht="15.75" customHeight="1">
      <c r="O632" s="2"/>
    </row>
    <row r="633" ht="15.75" customHeight="1">
      <c r="O633" s="2"/>
    </row>
    <row r="634" ht="15.75" customHeight="1">
      <c r="O634" s="2"/>
    </row>
    <row r="635" ht="15.75" customHeight="1">
      <c r="O635" s="2"/>
    </row>
    <row r="636" ht="15.75" customHeight="1">
      <c r="O636" s="2"/>
    </row>
    <row r="637" ht="15.75" customHeight="1">
      <c r="O637" s="2"/>
    </row>
    <row r="638" ht="15.75" customHeight="1">
      <c r="O638" s="2"/>
    </row>
    <row r="639" ht="15.75" customHeight="1">
      <c r="O639" s="2"/>
    </row>
    <row r="640" ht="15.75" customHeight="1">
      <c r="O640" s="2"/>
    </row>
    <row r="641" ht="15.75" customHeight="1">
      <c r="O641" s="2"/>
    </row>
    <row r="642" ht="15.75" customHeight="1">
      <c r="O642" s="2"/>
    </row>
    <row r="643" ht="15.75" customHeight="1">
      <c r="O643" s="2"/>
    </row>
    <row r="644" ht="15.75" customHeight="1">
      <c r="O644" s="2"/>
    </row>
    <row r="645" ht="15.75" customHeight="1">
      <c r="O645" s="2"/>
    </row>
    <row r="646" ht="15.75" customHeight="1">
      <c r="O646" s="2"/>
    </row>
    <row r="647" ht="15.75" customHeight="1">
      <c r="O647" s="2"/>
    </row>
    <row r="648" ht="15.75" customHeight="1">
      <c r="O648" s="2"/>
    </row>
    <row r="649" ht="15.75" customHeight="1">
      <c r="O649" s="2"/>
    </row>
    <row r="650" ht="15.75" customHeight="1">
      <c r="O650" s="2"/>
    </row>
    <row r="651" ht="15.75" customHeight="1">
      <c r="O651" s="2"/>
    </row>
    <row r="652" ht="15.75" customHeight="1">
      <c r="O652" s="2"/>
    </row>
    <row r="653" ht="15.75" customHeight="1">
      <c r="O653" s="2"/>
    </row>
    <row r="654" ht="15.75" customHeight="1">
      <c r="O654" s="2"/>
    </row>
    <row r="655" ht="15.75" customHeight="1">
      <c r="O655" s="2"/>
    </row>
    <row r="656" ht="15.75" customHeight="1">
      <c r="O656" s="2"/>
    </row>
    <row r="657" ht="15.75" customHeight="1">
      <c r="O657" s="2"/>
    </row>
    <row r="658" ht="15.75" customHeight="1">
      <c r="O658" s="2"/>
    </row>
    <row r="659" ht="15.75" customHeight="1">
      <c r="O659" s="2"/>
    </row>
    <row r="660" ht="15.75" customHeight="1">
      <c r="O660" s="2"/>
    </row>
    <row r="661" ht="15.75" customHeight="1">
      <c r="O661" s="2"/>
    </row>
    <row r="662" ht="15.75" customHeight="1">
      <c r="O662" s="2"/>
    </row>
    <row r="663" ht="15.75" customHeight="1">
      <c r="O663" s="2"/>
    </row>
    <row r="664" ht="15.75" customHeight="1">
      <c r="O664" s="2"/>
    </row>
    <row r="665" ht="15.75" customHeight="1">
      <c r="O665" s="2"/>
    </row>
    <row r="666" ht="15.75" customHeight="1">
      <c r="O666" s="2"/>
    </row>
    <row r="667" ht="15.75" customHeight="1">
      <c r="O667" s="2"/>
    </row>
    <row r="668" ht="15.75" customHeight="1">
      <c r="O668" s="2"/>
    </row>
    <row r="669" ht="15.75" customHeight="1">
      <c r="O669" s="2"/>
    </row>
    <row r="670" ht="15.75" customHeight="1">
      <c r="O670" s="2"/>
    </row>
    <row r="671" ht="15.75" customHeight="1">
      <c r="O671" s="2"/>
    </row>
    <row r="672" ht="15.75" customHeight="1">
      <c r="O672" s="2"/>
    </row>
    <row r="673" ht="15.75" customHeight="1">
      <c r="O673" s="2"/>
    </row>
    <row r="674" ht="15.75" customHeight="1">
      <c r="O674" s="2"/>
    </row>
    <row r="675" ht="15.75" customHeight="1">
      <c r="O675" s="2"/>
    </row>
    <row r="676" ht="15.75" customHeight="1">
      <c r="O676" s="2"/>
    </row>
    <row r="677" ht="15.75" customHeight="1">
      <c r="O677" s="2"/>
    </row>
    <row r="678" ht="15.75" customHeight="1">
      <c r="O678" s="2"/>
    </row>
    <row r="679" ht="15.75" customHeight="1">
      <c r="O679" s="2"/>
    </row>
    <row r="680" ht="15.75" customHeight="1">
      <c r="O680" s="2"/>
    </row>
    <row r="681" ht="15.75" customHeight="1">
      <c r="O681" s="2"/>
    </row>
    <row r="682" ht="15.75" customHeight="1">
      <c r="O682" s="2"/>
    </row>
    <row r="683" ht="15.75" customHeight="1">
      <c r="O683" s="2"/>
    </row>
    <row r="684" ht="15.75" customHeight="1">
      <c r="O684" s="2"/>
    </row>
    <row r="685" ht="15.75" customHeight="1">
      <c r="O685" s="2"/>
    </row>
    <row r="686" ht="15.75" customHeight="1">
      <c r="O686" s="2"/>
    </row>
    <row r="687" ht="15.75" customHeight="1">
      <c r="O687" s="2"/>
    </row>
    <row r="688" ht="15.75" customHeight="1">
      <c r="O688" s="2"/>
    </row>
    <row r="689" ht="15.75" customHeight="1">
      <c r="O689" s="2"/>
    </row>
    <row r="690" ht="15.75" customHeight="1">
      <c r="O690" s="2"/>
    </row>
    <row r="691" ht="15.75" customHeight="1">
      <c r="O691" s="2"/>
    </row>
    <row r="692" ht="15.75" customHeight="1">
      <c r="O692" s="2"/>
    </row>
    <row r="693" ht="15.75" customHeight="1">
      <c r="O693" s="2"/>
    </row>
    <row r="694" ht="15.75" customHeight="1">
      <c r="O694" s="2"/>
    </row>
    <row r="695" ht="15.75" customHeight="1">
      <c r="O695" s="2"/>
    </row>
    <row r="696" ht="15.75" customHeight="1">
      <c r="O696" s="2"/>
    </row>
    <row r="697" ht="15.75" customHeight="1">
      <c r="O697" s="2"/>
    </row>
    <row r="698" ht="15.75" customHeight="1">
      <c r="O698" s="2"/>
    </row>
    <row r="699" ht="15.75" customHeight="1">
      <c r="O699" s="2"/>
    </row>
    <row r="700" ht="15.75" customHeight="1">
      <c r="O700" s="2"/>
    </row>
    <row r="701" ht="15.75" customHeight="1">
      <c r="O701" s="2"/>
    </row>
    <row r="702" ht="15.75" customHeight="1">
      <c r="O702" s="2"/>
    </row>
    <row r="703" ht="15.75" customHeight="1">
      <c r="O703" s="2"/>
    </row>
    <row r="704" ht="15.75" customHeight="1">
      <c r="O704" s="2"/>
    </row>
    <row r="705" ht="15.75" customHeight="1">
      <c r="O705" s="2"/>
    </row>
    <row r="706" ht="15.75" customHeight="1">
      <c r="O706" s="2"/>
    </row>
    <row r="707" ht="15.75" customHeight="1">
      <c r="O707" s="2"/>
    </row>
    <row r="708" ht="15.75" customHeight="1">
      <c r="O708" s="2"/>
    </row>
    <row r="709" ht="15.75" customHeight="1">
      <c r="O709" s="2"/>
    </row>
    <row r="710" ht="15.75" customHeight="1">
      <c r="O710" s="2"/>
    </row>
    <row r="711" ht="15.75" customHeight="1">
      <c r="O711" s="2"/>
    </row>
    <row r="712" ht="15.75" customHeight="1">
      <c r="O712" s="2"/>
    </row>
    <row r="713" ht="15.75" customHeight="1">
      <c r="O713" s="2"/>
    </row>
    <row r="714" ht="15.75" customHeight="1">
      <c r="O714" s="2"/>
    </row>
    <row r="715" ht="15.75" customHeight="1">
      <c r="O715" s="2"/>
    </row>
    <row r="716" ht="15.75" customHeight="1">
      <c r="O716" s="2"/>
    </row>
    <row r="717" ht="15.75" customHeight="1">
      <c r="O717" s="2"/>
    </row>
    <row r="718" ht="15.75" customHeight="1">
      <c r="O718" s="2"/>
    </row>
    <row r="719" ht="15.75" customHeight="1">
      <c r="O719" s="2"/>
    </row>
    <row r="720" ht="15.75" customHeight="1">
      <c r="O720" s="2"/>
    </row>
    <row r="721" ht="15.75" customHeight="1">
      <c r="O721" s="2"/>
    </row>
    <row r="722" ht="15.75" customHeight="1">
      <c r="O722" s="2"/>
    </row>
    <row r="723" ht="15.75" customHeight="1">
      <c r="O723" s="2"/>
    </row>
    <row r="724" ht="15.75" customHeight="1">
      <c r="O724" s="2"/>
    </row>
    <row r="725" ht="15.75" customHeight="1">
      <c r="O725" s="2"/>
    </row>
    <row r="726" ht="15.75" customHeight="1">
      <c r="O726" s="2"/>
    </row>
    <row r="727" ht="15.75" customHeight="1">
      <c r="O727" s="2"/>
    </row>
    <row r="728" ht="15.75" customHeight="1">
      <c r="O728" s="2"/>
    </row>
    <row r="729" ht="15.75" customHeight="1">
      <c r="O729" s="2"/>
    </row>
    <row r="730" ht="15.75" customHeight="1">
      <c r="O730" s="2"/>
    </row>
    <row r="731" ht="15.75" customHeight="1">
      <c r="O731" s="2"/>
    </row>
    <row r="732" ht="15.75" customHeight="1">
      <c r="O732" s="2"/>
    </row>
    <row r="733" ht="15.75" customHeight="1">
      <c r="O733" s="2"/>
    </row>
    <row r="734" ht="15.75" customHeight="1">
      <c r="O734" s="2"/>
    </row>
    <row r="735" ht="15.75" customHeight="1">
      <c r="O735" s="2"/>
    </row>
    <row r="736" ht="15.75" customHeight="1">
      <c r="O736" s="2"/>
    </row>
    <row r="737" ht="15.75" customHeight="1">
      <c r="O737" s="2"/>
    </row>
    <row r="738" ht="15.75" customHeight="1">
      <c r="O738" s="2"/>
    </row>
    <row r="739" ht="15.75" customHeight="1">
      <c r="O739" s="2"/>
    </row>
    <row r="740" ht="15.75" customHeight="1">
      <c r="O740" s="2"/>
    </row>
    <row r="741" ht="15.75" customHeight="1">
      <c r="O741" s="2"/>
    </row>
    <row r="742" ht="15.75" customHeight="1">
      <c r="O742" s="2"/>
    </row>
    <row r="743" ht="15.75" customHeight="1">
      <c r="O743" s="2"/>
    </row>
    <row r="744" ht="15.75" customHeight="1">
      <c r="O744" s="2"/>
    </row>
    <row r="745" ht="15.75" customHeight="1">
      <c r="O745" s="2"/>
    </row>
    <row r="746" ht="15.75" customHeight="1">
      <c r="O746" s="2"/>
    </row>
    <row r="747" ht="15.75" customHeight="1">
      <c r="O747" s="2"/>
    </row>
    <row r="748" ht="15.75" customHeight="1">
      <c r="O748" s="2"/>
    </row>
    <row r="749" ht="15.75" customHeight="1">
      <c r="O749" s="2"/>
    </row>
    <row r="750" ht="15.75" customHeight="1">
      <c r="O750" s="2"/>
    </row>
    <row r="751" ht="15.75" customHeight="1">
      <c r="O751" s="2"/>
    </row>
    <row r="752" ht="15.75" customHeight="1">
      <c r="O752" s="2"/>
    </row>
    <row r="753" ht="15.75" customHeight="1">
      <c r="O753" s="2"/>
    </row>
    <row r="754" ht="15.75" customHeight="1">
      <c r="O754" s="2"/>
    </row>
    <row r="755" ht="15.75" customHeight="1">
      <c r="O755" s="2"/>
    </row>
    <row r="756" ht="15.75" customHeight="1">
      <c r="O756" s="2"/>
    </row>
    <row r="757" ht="15.75" customHeight="1">
      <c r="O757" s="2"/>
    </row>
    <row r="758" ht="15.75" customHeight="1">
      <c r="O758" s="2"/>
    </row>
    <row r="759" ht="15.75" customHeight="1">
      <c r="O759" s="2"/>
    </row>
    <row r="760" ht="15.75" customHeight="1">
      <c r="O760" s="2"/>
    </row>
    <row r="761" ht="15.75" customHeight="1">
      <c r="O761" s="2"/>
    </row>
    <row r="762" ht="15.75" customHeight="1">
      <c r="O762" s="2"/>
    </row>
    <row r="763" ht="15.75" customHeight="1">
      <c r="O763" s="2"/>
    </row>
    <row r="764" ht="15.75" customHeight="1">
      <c r="O764" s="2"/>
    </row>
    <row r="765" ht="15.75" customHeight="1">
      <c r="O765" s="2"/>
    </row>
    <row r="766" ht="15.75" customHeight="1">
      <c r="O766" s="2"/>
    </row>
    <row r="767" ht="15.75" customHeight="1">
      <c r="O767" s="2"/>
    </row>
    <row r="768" ht="15.75" customHeight="1">
      <c r="O768" s="2"/>
    </row>
    <row r="769" ht="15.75" customHeight="1">
      <c r="O769" s="2"/>
    </row>
    <row r="770" ht="15.75" customHeight="1">
      <c r="O770" s="2"/>
    </row>
    <row r="771" ht="15.75" customHeight="1">
      <c r="O771" s="2"/>
    </row>
    <row r="772" ht="15.75" customHeight="1">
      <c r="O772" s="2"/>
    </row>
    <row r="773" ht="15.75" customHeight="1">
      <c r="O773" s="2"/>
    </row>
    <row r="774" ht="15.75" customHeight="1">
      <c r="O774" s="2"/>
    </row>
    <row r="775" ht="15.75" customHeight="1">
      <c r="O775" s="2"/>
    </row>
    <row r="776" ht="15.75" customHeight="1">
      <c r="O776" s="2"/>
    </row>
    <row r="777" ht="15.75" customHeight="1">
      <c r="O777" s="2"/>
    </row>
    <row r="778" ht="15.75" customHeight="1">
      <c r="O778" s="2"/>
    </row>
    <row r="779" ht="15.75" customHeight="1">
      <c r="O779" s="2"/>
    </row>
    <row r="780" ht="15.75" customHeight="1">
      <c r="O780" s="2"/>
    </row>
    <row r="781" ht="15.75" customHeight="1">
      <c r="O781" s="2"/>
    </row>
    <row r="782" ht="15.75" customHeight="1">
      <c r="O782" s="2"/>
    </row>
    <row r="783" ht="15.75" customHeight="1">
      <c r="O783" s="2"/>
    </row>
    <row r="784" ht="15.75" customHeight="1">
      <c r="O784" s="2"/>
    </row>
    <row r="785" ht="15.75" customHeight="1">
      <c r="O785" s="2"/>
    </row>
    <row r="786" ht="15.75" customHeight="1">
      <c r="O786" s="2"/>
    </row>
    <row r="787" ht="15.75" customHeight="1">
      <c r="O787" s="2"/>
    </row>
    <row r="788" ht="15.75" customHeight="1">
      <c r="O788" s="2"/>
    </row>
    <row r="789" ht="15.75" customHeight="1">
      <c r="O789" s="2"/>
    </row>
    <row r="790" ht="15.75" customHeight="1">
      <c r="O790" s="2"/>
    </row>
    <row r="791" ht="15.75" customHeight="1">
      <c r="O791" s="2"/>
    </row>
    <row r="792" ht="15.75" customHeight="1">
      <c r="O792" s="2"/>
    </row>
    <row r="793" ht="15.75" customHeight="1">
      <c r="O793" s="2"/>
    </row>
    <row r="794" ht="15.75" customHeight="1">
      <c r="O794" s="2"/>
    </row>
    <row r="795" ht="15.75" customHeight="1">
      <c r="O795" s="2"/>
    </row>
    <row r="796" ht="15.75" customHeight="1">
      <c r="O796" s="2"/>
    </row>
    <row r="797" ht="15.75" customHeight="1">
      <c r="O797" s="2"/>
    </row>
    <row r="798" ht="15.75" customHeight="1">
      <c r="O798" s="2"/>
    </row>
    <row r="799" ht="15.75" customHeight="1">
      <c r="O799" s="2"/>
    </row>
    <row r="800" ht="15.75" customHeight="1">
      <c r="O800" s="2"/>
    </row>
    <row r="801" ht="15.75" customHeight="1">
      <c r="O801" s="2"/>
    </row>
    <row r="802" ht="15.75" customHeight="1">
      <c r="O802" s="2"/>
    </row>
    <row r="803" ht="15.75" customHeight="1">
      <c r="O803" s="2"/>
    </row>
    <row r="804" ht="15.75" customHeight="1">
      <c r="O804" s="2"/>
    </row>
    <row r="805" ht="15.75" customHeight="1">
      <c r="O805" s="2"/>
    </row>
    <row r="806" ht="15.75" customHeight="1">
      <c r="O806" s="2"/>
    </row>
    <row r="807" ht="15.75" customHeight="1">
      <c r="O807" s="2"/>
    </row>
    <row r="808" ht="15.75" customHeight="1">
      <c r="O808" s="2"/>
    </row>
    <row r="809" ht="15.75" customHeight="1">
      <c r="O809" s="2"/>
    </row>
    <row r="810" ht="15.75" customHeight="1">
      <c r="O810" s="2"/>
    </row>
    <row r="811" ht="15.75" customHeight="1">
      <c r="O811" s="2"/>
    </row>
    <row r="812" ht="15.75" customHeight="1">
      <c r="O812" s="2"/>
    </row>
    <row r="813" ht="15.75" customHeight="1">
      <c r="O813" s="2"/>
    </row>
    <row r="814" ht="15.75" customHeight="1">
      <c r="O814" s="2"/>
    </row>
    <row r="815" ht="15.75" customHeight="1">
      <c r="O815" s="2"/>
    </row>
    <row r="816" ht="15.75" customHeight="1">
      <c r="O816" s="2"/>
    </row>
    <row r="817" ht="15.75" customHeight="1">
      <c r="O817" s="2"/>
    </row>
    <row r="818" ht="15.75" customHeight="1">
      <c r="O818" s="2"/>
    </row>
    <row r="819" ht="15.75" customHeight="1">
      <c r="O819" s="2"/>
    </row>
    <row r="820" ht="15.75" customHeight="1">
      <c r="O820" s="2"/>
    </row>
    <row r="821" ht="15.75" customHeight="1">
      <c r="O821" s="2"/>
    </row>
    <row r="822" ht="15.75" customHeight="1">
      <c r="O822" s="2"/>
    </row>
    <row r="823" ht="15.75" customHeight="1">
      <c r="O823" s="2"/>
    </row>
    <row r="824" ht="15.75" customHeight="1">
      <c r="O824" s="2"/>
    </row>
    <row r="825" ht="15.75" customHeight="1">
      <c r="O825" s="2"/>
    </row>
    <row r="826" ht="15.75" customHeight="1">
      <c r="O826" s="2"/>
    </row>
    <row r="827" ht="15.75" customHeight="1">
      <c r="O827" s="2"/>
    </row>
    <row r="828" ht="15.75" customHeight="1">
      <c r="O828" s="2"/>
    </row>
    <row r="829" ht="15.75" customHeight="1">
      <c r="O829" s="2"/>
    </row>
    <row r="830" ht="15.75" customHeight="1">
      <c r="O830" s="2"/>
    </row>
    <row r="831" ht="15.75" customHeight="1">
      <c r="O831" s="2"/>
    </row>
    <row r="832" ht="15.75" customHeight="1">
      <c r="O832" s="2"/>
    </row>
    <row r="833" ht="15.75" customHeight="1">
      <c r="O833" s="2"/>
    </row>
    <row r="834" ht="15.75" customHeight="1">
      <c r="O834" s="2"/>
    </row>
    <row r="835" ht="15.75" customHeight="1">
      <c r="O835" s="2"/>
    </row>
    <row r="836" ht="15.75" customHeight="1">
      <c r="O836" s="2"/>
    </row>
    <row r="837" ht="15.75" customHeight="1">
      <c r="O837" s="2"/>
    </row>
    <row r="838" ht="15.75" customHeight="1">
      <c r="O838" s="2"/>
    </row>
    <row r="839" ht="15.75" customHeight="1">
      <c r="O839" s="2"/>
    </row>
    <row r="840" ht="15.75" customHeight="1">
      <c r="O840" s="2"/>
    </row>
    <row r="841" ht="15.75" customHeight="1">
      <c r="O841" s="2"/>
    </row>
    <row r="842" ht="15.75" customHeight="1">
      <c r="O842" s="2"/>
    </row>
    <row r="843" ht="15.75" customHeight="1">
      <c r="O843" s="2"/>
    </row>
    <row r="844" ht="15.75" customHeight="1">
      <c r="O844" s="2"/>
    </row>
    <row r="845" ht="15.75" customHeight="1">
      <c r="O845" s="2"/>
    </row>
    <row r="846" ht="15.75" customHeight="1">
      <c r="O846" s="2"/>
    </row>
    <row r="847" ht="15.75" customHeight="1">
      <c r="O847" s="2"/>
    </row>
    <row r="848" ht="15.75" customHeight="1">
      <c r="O848" s="2"/>
    </row>
    <row r="849" ht="15.75" customHeight="1">
      <c r="O849" s="2"/>
    </row>
    <row r="850" ht="15.75" customHeight="1">
      <c r="O850" s="2"/>
    </row>
    <row r="851" ht="15.75" customHeight="1">
      <c r="O851" s="2"/>
    </row>
    <row r="852" ht="15.75" customHeight="1">
      <c r="O852" s="2"/>
    </row>
    <row r="853" ht="15.75" customHeight="1">
      <c r="O853" s="2"/>
    </row>
    <row r="854" ht="15.75" customHeight="1">
      <c r="O854" s="2"/>
    </row>
    <row r="855" ht="15.75" customHeight="1">
      <c r="O855" s="2"/>
    </row>
    <row r="856" ht="15.75" customHeight="1">
      <c r="O856" s="2"/>
    </row>
    <row r="857" ht="15.75" customHeight="1">
      <c r="O857" s="2"/>
    </row>
    <row r="858" ht="15.75" customHeight="1">
      <c r="O858" s="2"/>
    </row>
    <row r="859" ht="15.75" customHeight="1">
      <c r="O859" s="2"/>
    </row>
    <row r="860" ht="15.75" customHeight="1">
      <c r="O860" s="2"/>
    </row>
    <row r="861" ht="15.75" customHeight="1">
      <c r="O861" s="2"/>
    </row>
    <row r="862" ht="15.75" customHeight="1">
      <c r="O862" s="2"/>
    </row>
    <row r="863" ht="15.75" customHeight="1">
      <c r="O863" s="2"/>
    </row>
    <row r="864" ht="15.75" customHeight="1">
      <c r="O864" s="2"/>
    </row>
    <row r="865" ht="15.75" customHeight="1">
      <c r="O865" s="2"/>
    </row>
    <row r="866" ht="15.75" customHeight="1">
      <c r="O866" s="2"/>
    </row>
    <row r="867" ht="15.75" customHeight="1">
      <c r="O867" s="2"/>
    </row>
    <row r="868" ht="15.75" customHeight="1">
      <c r="O868" s="2"/>
    </row>
    <row r="869" ht="15.75" customHeight="1">
      <c r="O869" s="2"/>
    </row>
    <row r="870" ht="15.75" customHeight="1">
      <c r="O870" s="2"/>
    </row>
    <row r="871" ht="15.75" customHeight="1">
      <c r="O871" s="2"/>
    </row>
    <row r="872" ht="15.75" customHeight="1">
      <c r="O872" s="2"/>
    </row>
    <row r="873" ht="15.75" customHeight="1">
      <c r="O873" s="2"/>
    </row>
    <row r="874" ht="15.75" customHeight="1">
      <c r="O874" s="2"/>
    </row>
    <row r="875" ht="15.75" customHeight="1">
      <c r="O875" s="2"/>
    </row>
    <row r="876" ht="15.75" customHeight="1">
      <c r="O876" s="2"/>
    </row>
    <row r="877" ht="15.75" customHeight="1">
      <c r="O877" s="2"/>
    </row>
    <row r="878" ht="15.75" customHeight="1">
      <c r="O878" s="2"/>
    </row>
    <row r="879" ht="15.75" customHeight="1">
      <c r="O879" s="2"/>
    </row>
    <row r="880" ht="15.75" customHeight="1">
      <c r="O880" s="2"/>
    </row>
    <row r="881" ht="15.75" customHeight="1">
      <c r="O881" s="2"/>
    </row>
    <row r="882" ht="15.75" customHeight="1">
      <c r="O882" s="2"/>
    </row>
    <row r="883" ht="15.75" customHeight="1">
      <c r="O883" s="2"/>
    </row>
    <row r="884" ht="15.75" customHeight="1">
      <c r="O884" s="2"/>
    </row>
    <row r="885" ht="15.75" customHeight="1">
      <c r="O885" s="2"/>
    </row>
    <row r="886" ht="15.75" customHeight="1">
      <c r="O886" s="2"/>
    </row>
    <row r="887" ht="15.75" customHeight="1">
      <c r="O887" s="2"/>
    </row>
    <row r="888" ht="15.75" customHeight="1">
      <c r="O888" s="2"/>
    </row>
    <row r="889" ht="15.75" customHeight="1">
      <c r="O889" s="2"/>
    </row>
    <row r="890" ht="15.75" customHeight="1">
      <c r="O890" s="2"/>
    </row>
    <row r="891" ht="15.75" customHeight="1">
      <c r="O891" s="2"/>
    </row>
    <row r="892" ht="15.75" customHeight="1">
      <c r="O892" s="2"/>
    </row>
    <row r="893" ht="15.75" customHeight="1">
      <c r="O893" s="2"/>
    </row>
    <row r="894" ht="15.75" customHeight="1">
      <c r="O894" s="2"/>
    </row>
    <row r="895" ht="15.75" customHeight="1">
      <c r="O895" s="2"/>
    </row>
    <row r="896" ht="15.75" customHeight="1">
      <c r="O896" s="2"/>
    </row>
    <row r="897" ht="15.75" customHeight="1">
      <c r="O897" s="2"/>
    </row>
    <row r="898" ht="15.75" customHeight="1">
      <c r="O898" s="2"/>
    </row>
    <row r="899" ht="15.75" customHeight="1">
      <c r="O899" s="2"/>
    </row>
    <row r="900" ht="15.75" customHeight="1">
      <c r="O900" s="2"/>
    </row>
    <row r="901" ht="15.75" customHeight="1">
      <c r="O901" s="2"/>
    </row>
    <row r="902" ht="15.75" customHeight="1">
      <c r="O902" s="2"/>
    </row>
    <row r="903" ht="15.75" customHeight="1">
      <c r="O903" s="2"/>
    </row>
    <row r="904" ht="15.75" customHeight="1">
      <c r="O904" s="2"/>
    </row>
    <row r="905" ht="15.75" customHeight="1">
      <c r="O905" s="2"/>
    </row>
    <row r="906" ht="15.75" customHeight="1">
      <c r="O906" s="2"/>
    </row>
    <row r="907" ht="15.75" customHeight="1">
      <c r="O907" s="2"/>
    </row>
    <row r="908" ht="15.75" customHeight="1">
      <c r="O908" s="2"/>
    </row>
    <row r="909" ht="15.75" customHeight="1">
      <c r="O909" s="2"/>
    </row>
    <row r="910" ht="15.75" customHeight="1">
      <c r="O910" s="2"/>
    </row>
    <row r="911" ht="15.75" customHeight="1">
      <c r="O911" s="2"/>
    </row>
    <row r="912" ht="15.75" customHeight="1">
      <c r="O912" s="2"/>
    </row>
    <row r="913" ht="15.75" customHeight="1">
      <c r="O913" s="2"/>
    </row>
    <row r="914" ht="15.75" customHeight="1">
      <c r="O914" s="2"/>
    </row>
    <row r="915" ht="15.75" customHeight="1">
      <c r="O915" s="2"/>
    </row>
    <row r="916" ht="15.75" customHeight="1">
      <c r="O916" s="2"/>
    </row>
    <row r="917" ht="15.75" customHeight="1">
      <c r="O917" s="2"/>
    </row>
    <row r="918" ht="15.75" customHeight="1">
      <c r="O918" s="2"/>
    </row>
    <row r="919" ht="15.75" customHeight="1">
      <c r="O919" s="2"/>
    </row>
    <row r="920" ht="15.75" customHeight="1">
      <c r="O920" s="2"/>
    </row>
    <row r="921" ht="15.75" customHeight="1">
      <c r="O921" s="2"/>
    </row>
    <row r="922" ht="15.75" customHeight="1">
      <c r="O922" s="2"/>
    </row>
    <row r="923" ht="15.75" customHeight="1">
      <c r="O923" s="2"/>
    </row>
    <row r="924" ht="15.75" customHeight="1">
      <c r="O924" s="2"/>
    </row>
    <row r="925" ht="15.75" customHeight="1">
      <c r="O925" s="2"/>
    </row>
    <row r="926" ht="15.75" customHeight="1">
      <c r="O926" s="2"/>
    </row>
    <row r="927" ht="15.75" customHeight="1">
      <c r="O927" s="2"/>
    </row>
    <row r="928" ht="15.75" customHeight="1">
      <c r="O928" s="2"/>
    </row>
    <row r="929" ht="15.75" customHeight="1">
      <c r="O929" s="2"/>
    </row>
    <row r="930" ht="15.75" customHeight="1">
      <c r="O930" s="2"/>
    </row>
    <row r="931" ht="15.75" customHeight="1">
      <c r="O931" s="2"/>
    </row>
    <row r="932" ht="15.75" customHeight="1">
      <c r="O932" s="2"/>
    </row>
    <row r="933" ht="15.75" customHeight="1">
      <c r="O933" s="2"/>
    </row>
    <row r="934" ht="15.75" customHeight="1">
      <c r="O934" s="2"/>
    </row>
    <row r="935" ht="15.75" customHeight="1">
      <c r="O935" s="2"/>
    </row>
    <row r="936" ht="15.75" customHeight="1">
      <c r="O936" s="2"/>
    </row>
    <row r="937" ht="15.75" customHeight="1">
      <c r="O937" s="2"/>
    </row>
    <row r="938" ht="15.75" customHeight="1">
      <c r="O938" s="2"/>
    </row>
    <row r="939" ht="15.75" customHeight="1">
      <c r="O939" s="2"/>
    </row>
    <row r="940" ht="15.75" customHeight="1">
      <c r="O940" s="2"/>
    </row>
    <row r="941" ht="15.75" customHeight="1">
      <c r="O941" s="2"/>
    </row>
    <row r="942" ht="15.75" customHeight="1">
      <c r="O942" s="2"/>
    </row>
    <row r="943" ht="15.75" customHeight="1">
      <c r="O943" s="2"/>
    </row>
    <row r="944" ht="15.75" customHeight="1">
      <c r="O944" s="2"/>
    </row>
    <row r="945" ht="15.75" customHeight="1">
      <c r="O945" s="2"/>
    </row>
    <row r="946" ht="15.75" customHeight="1">
      <c r="O946" s="2"/>
    </row>
    <row r="947" ht="15.75" customHeight="1">
      <c r="O947" s="2"/>
    </row>
    <row r="948" ht="15.75" customHeight="1">
      <c r="O948" s="2"/>
    </row>
    <row r="949" ht="15.75" customHeight="1">
      <c r="O949" s="2"/>
    </row>
    <row r="950" ht="15.75" customHeight="1">
      <c r="O950" s="2"/>
    </row>
    <row r="951" ht="15.75" customHeight="1">
      <c r="O951" s="2"/>
    </row>
    <row r="952" ht="15.75" customHeight="1">
      <c r="O952" s="2"/>
    </row>
    <row r="953" ht="15.75" customHeight="1">
      <c r="O953" s="2"/>
    </row>
    <row r="954" ht="15.75" customHeight="1">
      <c r="O954" s="2"/>
    </row>
    <row r="955" ht="15.75" customHeight="1">
      <c r="O955" s="2"/>
    </row>
    <row r="956" ht="15.75" customHeight="1">
      <c r="O956" s="2"/>
    </row>
    <row r="957" ht="15.75" customHeight="1">
      <c r="O957" s="2"/>
    </row>
    <row r="958" ht="15.75" customHeight="1">
      <c r="O958" s="2"/>
    </row>
    <row r="959" ht="15.75" customHeight="1">
      <c r="O959" s="2"/>
    </row>
    <row r="960" ht="15.75" customHeight="1">
      <c r="O960" s="2"/>
    </row>
    <row r="961" ht="15.75" customHeight="1">
      <c r="O961" s="2"/>
    </row>
    <row r="962" ht="15.75" customHeight="1">
      <c r="O962" s="2"/>
    </row>
    <row r="963" ht="15.75" customHeight="1">
      <c r="O963" s="2"/>
    </row>
    <row r="964" ht="15.75" customHeight="1">
      <c r="O964" s="2"/>
    </row>
    <row r="965" ht="15.75" customHeight="1">
      <c r="O965" s="2"/>
    </row>
    <row r="966" ht="15.75" customHeight="1">
      <c r="O966" s="2"/>
    </row>
    <row r="967" ht="15.75" customHeight="1">
      <c r="O967" s="2"/>
    </row>
    <row r="968" ht="15.75" customHeight="1">
      <c r="O968" s="2"/>
    </row>
    <row r="969" ht="15.75" customHeight="1">
      <c r="O969" s="2"/>
    </row>
    <row r="970" ht="15.75" customHeight="1">
      <c r="O970" s="2"/>
    </row>
    <row r="971" ht="15.75" customHeight="1">
      <c r="O971" s="2"/>
    </row>
    <row r="972" ht="15.75" customHeight="1">
      <c r="O972" s="2"/>
    </row>
    <row r="973" ht="15.75" customHeight="1">
      <c r="O973" s="2"/>
    </row>
    <row r="974" ht="15.75" customHeight="1">
      <c r="O974" s="2"/>
    </row>
    <row r="975" ht="15.75" customHeight="1">
      <c r="O975" s="2"/>
    </row>
    <row r="976" ht="15.75" customHeight="1">
      <c r="O976" s="2"/>
    </row>
    <row r="977" ht="15.75" customHeight="1">
      <c r="O977" s="2"/>
    </row>
    <row r="978" ht="15.75" customHeight="1">
      <c r="O978" s="2"/>
    </row>
    <row r="979" ht="15.75" customHeight="1">
      <c r="O979" s="2"/>
    </row>
    <row r="980" ht="15.75" customHeight="1">
      <c r="O980" s="2"/>
    </row>
    <row r="981" ht="15.75" customHeight="1">
      <c r="O981" s="2"/>
    </row>
    <row r="982" ht="15.75" customHeight="1">
      <c r="O982" s="2"/>
    </row>
    <row r="983" ht="15.75" customHeight="1">
      <c r="O983" s="2"/>
    </row>
    <row r="984" ht="15.75" customHeight="1">
      <c r="O984" s="2"/>
    </row>
    <row r="985" ht="15.75" customHeight="1">
      <c r="O985" s="2"/>
    </row>
    <row r="986" ht="15.75" customHeight="1">
      <c r="O986" s="2"/>
    </row>
    <row r="987" ht="15.75" customHeight="1">
      <c r="O987" s="2"/>
    </row>
    <row r="988" ht="15.75" customHeight="1">
      <c r="O988" s="2"/>
    </row>
    <row r="989" ht="15.75" customHeight="1">
      <c r="O989" s="2"/>
    </row>
    <row r="990" ht="15.75" customHeight="1">
      <c r="O990" s="2"/>
    </row>
    <row r="991" ht="15.75" customHeight="1">
      <c r="O991" s="2"/>
    </row>
    <row r="992" ht="15.75" customHeight="1">
      <c r="O992" s="2"/>
    </row>
    <row r="993" ht="15.75" customHeight="1">
      <c r="O993" s="2"/>
    </row>
    <row r="994" ht="15.75" customHeight="1">
      <c r="O994" s="2"/>
    </row>
    <row r="995" ht="15.75" customHeight="1">
      <c r="O995" s="2"/>
    </row>
    <row r="996" ht="15.75" customHeight="1">
      <c r="O996" s="2"/>
    </row>
    <row r="997" ht="15.75" customHeight="1">
      <c r="O997" s="2"/>
    </row>
    <row r="998" ht="15.75" customHeight="1">
      <c r="O998" s="2"/>
    </row>
    <row r="999" ht="15.75" customHeight="1">
      <c r="O999" s="2"/>
    </row>
    <row r="1000" ht="15.75" customHeight="1">
      <c r="O1000" s="2"/>
    </row>
  </sheetData>
  <mergeCells count="7">
    <mergeCell ref="A1:N1"/>
    <mergeCell ref="A2:N2"/>
    <mergeCell ref="A3:N3"/>
    <mergeCell ref="B4:K4"/>
    <mergeCell ref="L4:M4"/>
    <mergeCell ref="Q4:R5"/>
    <mergeCell ref="A112:N11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31.29"/>
    <col customWidth="1" min="2" max="2" width="11.14"/>
    <col customWidth="1" min="3" max="3" width="10.29"/>
    <col customWidth="1" min="4" max="4" width="11.14"/>
    <col customWidth="1" min="5" max="5" width="12.0"/>
    <col customWidth="1" min="6" max="7" width="11.14"/>
    <col customWidth="1" min="8" max="8" width="12.0"/>
    <col customWidth="1" min="9" max="11" width="10.29"/>
    <col customWidth="1" min="12" max="12" width="16.14"/>
    <col customWidth="1" min="13" max="13" width="17.29"/>
    <col customWidth="1" min="14" max="14" width="13.86"/>
    <col customWidth="1" min="15" max="15" width="13.29"/>
    <col customWidth="1" min="16" max="16" width="23.71"/>
    <col customWidth="1" min="17" max="17" width="33.29"/>
    <col customWidth="1" min="18" max="26" width="8.86"/>
  </cols>
  <sheetData>
    <row r="1">
      <c r="A1" s="1" t="s">
        <v>0</v>
      </c>
      <c r="O1" s="30" t="s">
        <v>129</v>
      </c>
      <c r="P1" s="31"/>
      <c r="Q1" s="30" t="s">
        <v>130</v>
      </c>
    </row>
    <row r="2">
      <c r="A2" s="1" t="s">
        <v>131</v>
      </c>
      <c r="O2" s="30" t="s">
        <v>132</v>
      </c>
      <c r="P2" s="31"/>
      <c r="Q2" s="30" t="s">
        <v>133</v>
      </c>
    </row>
    <row r="3">
      <c r="A3" s="3" t="s">
        <v>2</v>
      </c>
      <c r="O3" s="30" t="s">
        <v>134</v>
      </c>
      <c r="P3" s="31"/>
      <c r="Q3" s="30" t="s">
        <v>135</v>
      </c>
    </row>
    <row r="4">
      <c r="B4" s="32" t="s">
        <v>3</v>
      </c>
      <c r="C4" s="33"/>
      <c r="D4" s="33"/>
      <c r="E4" s="33"/>
      <c r="F4" s="33"/>
      <c r="G4" s="33"/>
      <c r="H4" s="33"/>
      <c r="I4" s="33"/>
      <c r="J4" s="33"/>
      <c r="K4" s="34"/>
      <c r="L4" s="35" t="s">
        <v>136</v>
      </c>
      <c r="M4" s="34"/>
      <c r="N4" s="36" t="s">
        <v>137</v>
      </c>
      <c r="P4" s="4" t="s">
        <v>4</v>
      </c>
    </row>
    <row r="5">
      <c r="A5" s="7"/>
      <c r="B5" s="37" t="s">
        <v>5</v>
      </c>
      <c r="C5" s="37" t="s">
        <v>6</v>
      </c>
      <c r="D5" s="37" t="s">
        <v>7</v>
      </c>
      <c r="E5" s="37" t="s">
        <v>8</v>
      </c>
      <c r="F5" s="37" t="s">
        <v>9</v>
      </c>
      <c r="G5" s="37" t="s">
        <v>10</v>
      </c>
      <c r="H5" s="37" t="s">
        <v>11</v>
      </c>
      <c r="I5" s="37" t="s">
        <v>12</v>
      </c>
      <c r="J5" s="37" t="s">
        <v>13</v>
      </c>
      <c r="K5" s="37" t="s">
        <v>14</v>
      </c>
      <c r="L5" s="38">
        <v>45231.0</v>
      </c>
      <c r="M5" s="38">
        <v>45261.0</v>
      </c>
      <c r="N5" s="39" t="s">
        <v>15</v>
      </c>
    </row>
    <row r="6">
      <c r="A6" s="11" t="s">
        <v>17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P6" s="11" t="s">
        <v>17</v>
      </c>
      <c r="Q6" s="12"/>
    </row>
    <row r="7">
      <c r="A7" s="11" t="s">
        <v>18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4"/>
      <c r="P7" s="11" t="s">
        <v>18</v>
      </c>
      <c r="Q7" s="14">
        <v>0.0</v>
      </c>
    </row>
    <row r="8">
      <c r="A8" s="11" t="s">
        <v>19</v>
      </c>
      <c r="B8" s="12"/>
      <c r="C8" s="14">
        <f>292833.41</f>
        <v>292833.41</v>
      </c>
      <c r="D8" s="14">
        <f>17589.15</f>
        <v>17589.15</v>
      </c>
      <c r="E8" s="14">
        <f>740</f>
        <v>740</v>
      </c>
      <c r="F8" s="14">
        <f>3274.14</f>
        <v>3274.14</v>
      </c>
      <c r="G8" s="14">
        <f>14784.39</f>
        <v>14784.39</v>
      </c>
      <c r="H8" s="14">
        <f>1086.26</f>
        <v>1086.26</v>
      </c>
      <c r="I8" s="14">
        <f>1670.88</f>
        <v>1670.88</v>
      </c>
      <c r="J8" s="14">
        <f>437864.89</f>
        <v>437864.89</v>
      </c>
      <c r="K8" s="14">
        <f>216921.11</f>
        <v>216921.11</v>
      </c>
      <c r="L8" s="14">
        <f t="shared" ref="L8:L10" si="1">SUM(B8:K8)/10</f>
        <v>98676.423</v>
      </c>
      <c r="M8" s="14">
        <f t="shared" ref="M8:M10" si="2">SUM(B8:K8)/10</f>
        <v>98676.423</v>
      </c>
      <c r="N8" s="14">
        <f t="shared" ref="N8:N11" si="3">(((((((((B8)+(C8))+(D8))+(E8))+(F8))+(G8))+(H8))+(I8))+(J8))+(K8)+L8+M8</f>
        <v>1184117.076</v>
      </c>
      <c r="P8" s="11" t="s">
        <v>19</v>
      </c>
      <c r="Q8" s="14">
        <v>1912673.0</v>
      </c>
    </row>
    <row r="9">
      <c r="A9" s="11" t="s">
        <v>21</v>
      </c>
      <c r="B9" s="14">
        <f>151023</f>
        <v>151023</v>
      </c>
      <c r="C9" s="14">
        <f>133607.57</f>
        <v>133607.57</v>
      </c>
      <c r="D9" s="14">
        <f>28657</f>
        <v>28657</v>
      </c>
      <c r="E9" s="14">
        <f>600</f>
        <v>600</v>
      </c>
      <c r="F9" s="14">
        <f>170957.31</f>
        <v>170957.31</v>
      </c>
      <c r="G9" s="14">
        <f>7890</f>
        <v>7890</v>
      </c>
      <c r="H9" s="14">
        <f>-29750</f>
        <v>-29750</v>
      </c>
      <c r="I9" s="14">
        <f>725333</f>
        <v>725333</v>
      </c>
      <c r="J9" s="14">
        <f>47763</f>
        <v>47763</v>
      </c>
      <c r="K9" s="14">
        <f>98344</f>
        <v>98344</v>
      </c>
      <c r="L9" s="14">
        <f t="shared" si="1"/>
        <v>133442.488</v>
      </c>
      <c r="M9" s="14">
        <f t="shared" si="2"/>
        <v>133442.488</v>
      </c>
      <c r="N9" s="14">
        <f t="shared" si="3"/>
        <v>1601309.856</v>
      </c>
      <c r="P9" s="11" t="s">
        <v>21</v>
      </c>
      <c r="Q9" s="14">
        <v>0.0</v>
      </c>
    </row>
    <row r="10">
      <c r="A10" s="11" t="s">
        <v>22</v>
      </c>
      <c r="B10" s="12"/>
      <c r="C10" s="12"/>
      <c r="D10" s="12"/>
      <c r="E10" s="12"/>
      <c r="F10" s="12"/>
      <c r="G10" s="12"/>
      <c r="H10" s="12"/>
      <c r="I10" s="12"/>
      <c r="J10" s="14">
        <f>10008.41</f>
        <v>10008.41</v>
      </c>
      <c r="K10" s="14">
        <f>4121.11</f>
        <v>4121.11</v>
      </c>
      <c r="L10" s="14">
        <f t="shared" si="1"/>
        <v>1412.952</v>
      </c>
      <c r="M10" s="14">
        <f t="shared" si="2"/>
        <v>1412.952</v>
      </c>
      <c r="N10" s="14">
        <f t="shared" si="3"/>
        <v>16955.424</v>
      </c>
      <c r="P10" s="11" t="s">
        <v>22</v>
      </c>
      <c r="Q10" s="14">
        <v>0.0</v>
      </c>
    </row>
    <row r="11">
      <c r="A11" s="11" t="s">
        <v>23</v>
      </c>
      <c r="B11" s="16">
        <f t="shared" ref="B11:M11" si="4">(((B7)+(B8))+(B9))+(B10)</f>
        <v>151023</v>
      </c>
      <c r="C11" s="16">
        <f t="shared" si="4"/>
        <v>426440.98</v>
      </c>
      <c r="D11" s="16">
        <f t="shared" si="4"/>
        <v>46246.15</v>
      </c>
      <c r="E11" s="16">
        <f t="shared" si="4"/>
        <v>1340</v>
      </c>
      <c r="F11" s="16">
        <f t="shared" si="4"/>
        <v>174231.45</v>
      </c>
      <c r="G11" s="16">
        <f t="shared" si="4"/>
        <v>22674.39</v>
      </c>
      <c r="H11" s="16">
        <f t="shared" si="4"/>
        <v>-28663.74</v>
      </c>
      <c r="I11" s="16">
        <f t="shared" si="4"/>
        <v>727003.88</v>
      </c>
      <c r="J11" s="16">
        <f t="shared" si="4"/>
        <v>495636.3</v>
      </c>
      <c r="K11" s="16">
        <f t="shared" si="4"/>
        <v>319386.22</v>
      </c>
      <c r="L11" s="16">
        <f t="shared" si="4"/>
        <v>233531.863</v>
      </c>
      <c r="M11" s="16">
        <f t="shared" si="4"/>
        <v>233531.863</v>
      </c>
      <c r="N11" s="16">
        <f t="shared" si="3"/>
        <v>2802382.356</v>
      </c>
      <c r="P11" s="11" t="s">
        <v>23</v>
      </c>
      <c r="Q11" s="16">
        <v>1912673.0</v>
      </c>
    </row>
    <row r="12">
      <c r="A12" s="11" t="s">
        <v>24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4"/>
      <c r="P12" s="11" t="s">
        <v>24</v>
      </c>
      <c r="Q12" s="14">
        <v>0.0</v>
      </c>
    </row>
    <row r="13">
      <c r="A13" s="11" t="s">
        <v>25</v>
      </c>
      <c r="B13" s="14">
        <f>585.48</f>
        <v>585.48</v>
      </c>
      <c r="C13" s="14">
        <f>348.05</f>
        <v>348.05</v>
      </c>
      <c r="D13" s="14">
        <f>7336.15</f>
        <v>7336.15</v>
      </c>
      <c r="E13" s="14">
        <f>-2143.85</f>
        <v>-2143.85</v>
      </c>
      <c r="F13" s="14">
        <f>3081.54</f>
        <v>3081.54</v>
      </c>
      <c r="G13" s="14">
        <f>-4019.91</f>
        <v>-4019.91</v>
      </c>
      <c r="H13" s="14">
        <f>1604.6</f>
        <v>1604.6</v>
      </c>
      <c r="I13" s="14">
        <f>175.92</f>
        <v>175.92</v>
      </c>
      <c r="J13" s="14">
        <f>4261.95</f>
        <v>4261.95</v>
      </c>
      <c r="K13" s="14">
        <f>471.54</f>
        <v>471.54</v>
      </c>
      <c r="L13" s="14">
        <f t="shared" ref="L13:L15" si="5">SUM(B13:K13)/10</f>
        <v>1170.147</v>
      </c>
      <c r="M13" s="14">
        <f t="shared" ref="M13:M15" si="6">SUM(B13:K13)/10</f>
        <v>1170.147</v>
      </c>
      <c r="N13" s="14">
        <f t="shared" ref="N13:N16" si="7">(((((((((B13)+(C13))+(D13))+(E13))+(F13))+(G13))+(H13))+(I13))+(J13))+(K13)+L13+M13</f>
        <v>14041.764</v>
      </c>
      <c r="P13" s="11" t="s">
        <v>27</v>
      </c>
      <c r="Q13" s="14">
        <v>80000.0</v>
      </c>
    </row>
    <row r="14">
      <c r="A14" s="11" t="s">
        <v>28</v>
      </c>
      <c r="B14" s="14">
        <f>500</f>
        <v>500</v>
      </c>
      <c r="C14" s="14">
        <f>4400</f>
        <v>4400</v>
      </c>
      <c r="D14" s="14">
        <f>4300</f>
        <v>4300</v>
      </c>
      <c r="E14" s="14">
        <f>1700</f>
        <v>1700</v>
      </c>
      <c r="F14" s="14">
        <f>1261.09</f>
        <v>1261.09</v>
      </c>
      <c r="G14" s="14">
        <f>1700</f>
        <v>1700</v>
      </c>
      <c r="H14" s="12"/>
      <c r="I14" s="14">
        <f>5000</f>
        <v>5000</v>
      </c>
      <c r="J14" s="12"/>
      <c r="K14" s="12"/>
      <c r="L14" s="14">
        <f t="shared" si="5"/>
        <v>1886.109</v>
      </c>
      <c r="M14" s="14">
        <f t="shared" si="6"/>
        <v>1886.109</v>
      </c>
      <c r="N14" s="14">
        <f t="shared" si="7"/>
        <v>22633.308</v>
      </c>
      <c r="P14" s="11" t="s">
        <v>25</v>
      </c>
      <c r="Q14" s="14">
        <v>25000.000000000004</v>
      </c>
    </row>
    <row r="15">
      <c r="A15" s="11" t="s">
        <v>29</v>
      </c>
      <c r="B15" s="14">
        <f>4867.93</f>
        <v>4867.93</v>
      </c>
      <c r="C15" s="14">
        <f>16611</f>
        <v>16611</v>
      </c>
      <c r="D15" s="14">
        <f>7382.38</f>
        <v>7382.38</v>
      </c>
      <c r="E15" s="14">
        <f>1565.77</f>
        <v>1565.77</v>
      </c>
      <c r="F15" s="14">
        <f>26525</f>
        <v>26525</v>
      </c>
      <c r="G15" s="14">
        <f>4259.91</f>
        <v>4259.91</v>
      </c>
      <c r="H15" s="14">
        <f>1235</f>
        <v>1235</v>
      </c>
      <c r="I15" s="14">
        <f>250</f>
        <v>250</v>
      </c>
      <c r="J15" s="12"/>
      <c r="K15" s="12"/>
      <c r="L15" s="14">
        <f t="shared" si="5"/>
        <v>6269.699</v>
      </c>
      <c r="M15" s="14">
        <f t="shared" si="6"/>
        <v>6269.699</v>
      </c>
      <c r="N15" s="14">
        <f t="shared" si="7"/>
        <v>75236.388</v>
      </c>
      <c r="P15" s="11" t="s">
        <v>28</v>
      </c>
      <c r="Q15" s="14">
        <v>3999.9999999999995</v>
      </c>
    </row>
    <row r="16">
      <c r="A16" s="11" t="s">
        <v>30</v>
      </c>
      <c r="B16" s="16">
        <f t="shared" ref="B16:M16" si="8">(((B12)+(B13))+(B14))+(B15)</f>
        <v>5953.41</v>
      </c>
      <c r="C16" s="16">
        <f t="shared" si="8"/>
        <v>21359.05</v>
      </c>
      <c r="D16" s="16">
        <f t="shared" si="8"/>
        <v>19018.53</v>
      </c>
      <c r="E16" s="16">
        <f t="shared" si="8"/>
        <v>1121.92</v>
      </c>
      <c r="F16" s="16">
        <f t="shared" si="8"/>
        <v>30867.63</v>
      </c>
      <c r="G16" s="16">
        <f t="shared" si="8"/>
        <v>1940</v>
      </c>
      <c r="H16" s="16">
        <f t="shared" si="8"/>
        <v>2839.6</v>
      </c>
      <c r="I16" s="16">
        <f t="shared" si="8"/>
        <v>5425.92</v>
      </c>
      <c r="J16" s="16">
        <f t="shared" si="8"/>
        <v>4261.95</v>
      </c>
      <c r="K16" s="16">
        <f t="shared" si="8"/>
        <v>471.54</v>
      </c>
      <c r="L16" s="16">
        <f t="shared" si="8"/>
        <v>9325.955</v>
      </c>
      <c r="M16" s="16">
        <f t="shared" si="8"/>
        <v>9325.955</v>
      </c>
      <c r="N16" s="16">
        <f t="shared" si="7"/>
        <v>111911.46</v>
      </c>
      <c r="P16" s="11" t="s">
        <v>29</v>
      </c>
      <c r="Q16" s="14">
        <v>0.0</v>
      </c>
    </row>
    <row r="17">
      <c r="A17" s="11" t="s">
        <v>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4"/>
      <c r="P17" s="11" t="s">
        <v>30</v>
      </c>
      <c r="Q17" s="16">
        <v>109000.0</v>
      </c>
    </row>
    <row r="18">
      <c r="A18" s="11" t="s">
        <v>32</v>
      </c>
      <c r="B18" s="14">
        <f>57500</f>
        <v>57500</v>
      </c>
      <c r="C18" s="14">
        <f>51000</f>
        <v>51000</v>
      </c>
      <c r="D18" s="14">
        <f>40600</f>
        <v>40600</v>
      </c>
      <c r="E18" s="14">
        <f>38550</f>
        <v>38550</v>
      </c>
      <c r="F18" s="14">
        <f>39500</f>
        <v>39500</v>
      </c>
      <c r="G18" s="14">
        <f>18300</f>
        <v>18300</v>
      </c>
      <c r="H18" s="14">
        <f>2000</f>
        <v>2000</v>
      </c>
      <c r="I18" s="14">
        <f>14000</f>
        <v>14000</v>
      </c>
      <c r="J18" s="12"/>
      <c r="K18" s="14">
        <f>26970</f>
        <v>26970</v>
      </c>
      <c r="L18" s="14">
        <f t="shared" ref="L18:L19" si="9">SUM(B18:K18)/10</f>
        <v>28842</v>
      </c>
      <c r="M18" s="14">
        <f t="shared" ref="M18:M19" si="10">SUM(B18:K18)/10</f>
        <v>28842</v>
      </c>
      <c r="N18" s="14">
        <f t="shared" ref="N18:N24" si="11">(((((((((B18)+(C18))+(D18))+(E18))+(F18))+(G18))+(H18))+(I18))+(J18))+(K18)+L18+M18</f>
        <v>346104</v>
      </c>
      <c r="P18" s="11" t="s">
        <v>34</v>
      </c>
      <c r="Q18" s="14">
        <v>35000.0</v>
      </c>
    </row>
    <row r="19">
      <c r="A19" s="11" t="s">
        <v>35</v>
      </c>
      <c r="B19" s="14">
        <f>23691.74</f>
        <v>23691.74</v>
      </c>
      <c r="C19" s="14">
        <f>26987</f>
        <v>26987</v>
      </c>
      <c r="D19" s="14">
        <f>29632</f>
        <v>29632</v>
      </c>
      <c r="E19" s="14">
        <f>18690</f>
        <v>18690</v>
      </c>
      <c r="F19" s="14">
        <f>23846.25</f>
        <v>23846.25</v>
      </c>
      <c r="G19" s="14">
        <f>32278.25</f>
        <v>32278.25</v>
      </c>
      <c r="H19" s="14">
        <f>19209.75</f>
        <v>19209.75</v>
      </c>
      <c r="I19" s="14">
        <f>24305</f>
        <v>24305</v>
      </c>
      <c r="J19" s="14">
        <f>27608</f>
        <v>27608</v>
      </c>
      <c r="K19" s="14">
        <f>21639</f>
        <v>21639</v>
      </c>
      <c r="L19" s="14">
        <f t="shared" si="9"/>
        <v>24788.699</v>
      </c>
      <c r="M19" s="14">
        <f t="shared" si="10"/>
        <v>24788.699</v>
      </c>
      <c r="N19" s="14">
        <f t="shared" si="11"/>
        <v>297464.388</v>
      </c>
      <c r="P19" s="11" t="s">
        <v>31</v>
      </c>
      <c r="Q19" s="14">
        <v>0.0</v>
      </c>
    </row>
    <row r="20">
      <c r="A20" s="11" t="s">
        <v>36</v>
      </c>
      <c r="B20" s="16">
        <f t="shared" ref="B20:M20" si="12">((B17)+(B18))+(B19)</f>
        <v>81191.74</v>
      </c>
      <c r="C20" s="16">
        <f t="shared" si="12"/>
        <v>77987</v>
      </c>
      <c r="D20" s="16">
        <f t="shared" si="12"/>
        <v>70232</v>
      </c>
      <c r="E20" s="16">
        <f t="shared" si="12"/>
        <v>57240</v>
      </c>
      <c r="F20" s="16">
        <f t="shared" si="12"/>
        <v>63346.25</v>
      </c>
      <c r="G20" s="16">
        <f t="shared" si="12"/>
        <v>50578.25</v>
      </c>
      <c r="H20" s="16">
        <f t="shared" si="12"/>
        <v>21209.75</v>
      </c>
      <c r="I20" s="16">
        <f t="shared" si="12"/>
        <v>38305</v>
      </c>
      <c r="J20" s="16">
        <f t="shared" si="12"/>
        <v>27608</v>
      </c>
      <c r="K20" s="16">
        <f t="shared" si="12"/>
        <v>48609</v>
      </c>
      <c r="L20" s="16">
        <f t="shared" si="12"/>
        <v>53630.699</v>
      </c>
      <c r="M20" s="16">
        <f t="shared" si="12"/>
        <v>53630.699</v>
      </c>
      <c r="N20" s="16">
        <f t="shared" si="11"/>
        <v>643568.388</v>
      </c>
      <c r="P20" s="11" t="s">
        <v>32</v>
      </c>
      <c r="Q20" s="14">
        <v>450000.0</v>
      </c>
    </row>
    <row r="21" ht="15.75" customHeight="1">
      <c r="A21" s="11" t="s">
        <v>37</v>
      </c>
      <c r="B21" s="12"/>
      <c r="C21" s="12"/>
      <c r="D21" s="12"/>
      <c r="E21" s="12"/>
      <c r="F21" s="12"/>
      <c r="G21" s="12"/>
      <c r="H21" s="12"/>
      <c r="I21" s="14">
        <f>7743</f>
        <v>7743</v>
      </c>
      <c r="J21" s="14">
        <f>939.4</f>
        <v>939.4</v>
      </c>
      <c r="K21" s="12"/>
      <c r="L21" s="14">
        <f t="shared" ref="L21:L22" si="13">SUM(B21:K21)/10</f>
        <v>868.24</v>
      </c>
      <c r="M21" s="14">
        <f t="shared" ref="M21:M22" si="14">SUM(B21:K21)/10</f>
        <v>868.24</v>
      </c>
      <c r="N21" s="14">
        <f t="shared" si="11"/>
        <v>10418.88</v>
      </c>
      <c r="P21" s="11" t="s">
        <v>35</v>
      </c>
      <c r="Q21" s="14">
        <v>300000.0</v>
      </c>
    </row>
    <row r="22" ht="15.75" customHeight="1">
      <c r="A22" s="11" t="s">
        <v>38</v>
      </c>
      <c r="B22" s="12"/>
      <c r="C22" s="12"/>
      <c r="D22" s="12"/>
      <c r="E22" s="12"/>
      <c r="F22" s="12"/>
      <c r="G22" s="12"/>
      <c r="H22" s="12"/>
      <c r="I22" s="12"/>
      <c r="J22" s="12"/>
      <c r="K22" s="14">
        <f>1326</f>
        <v>1326</v>
      </c>
      <c r="L22" s="14">
        <f t="shared" si="13"/>
        <v>132.6</v>
      </c>
      <c r="M22" s="14">
        <f t="shared" si="14"/>
        <v>132.6</v>
      </c>
      <c r="N22" s="14">
        <f t="shared" si="11"/>
        <v>1591.2</v>
      </c>
      <c r="P22" s="11" t="s">
        <v>40</v>
      </c>
      <c r="Q22" s="14">
        <v>1500.0</v>
      </c>
    </row>
    <row r="23" ht="15.75" customHeight="1">
      <c r="A23" s="11" t="s">
        <v>41</v>
      </c>
      <c r="B23" s="16">
        <f t="shared" ref="B23:M23" si="15">((((B11)+(B16))+(B20))+(B21))+(B22)</f>
        <v>238168.15</v>
      </c>
      <c r="C23" s="16">
        <f t="shared" si="15"/>
        <v>525787.03</v>
      </c>
      <c r="D23" s="16">
        <f t="shared" si="15"/>
        <v>135496.68</v>
      </c>
      <c r="E23" s="16">
        <f t="shared" si="15"/>
        <v>59701.92</v>
      </c>
      <c r="F23" s="16">
        <f t="shared" si="15"/>
        <v>268445.33</v>
      </c>
      <c r="G23" s="16">
        <f t="shared" si="15"/>
        <v>75192.64</v>
      </c>
      <c r="H23" s="16">
        <f t="shared" si="15"/>
        <v>-4614.39</v>
      </c>
      <c r="I23" s="16">
        <f t="shared" si="15"/>
        <v>778477.8</v>
      </c>
      <c r="J23" s="16">
        <f t="shared" si="15"/>
        <v>528445.65</v>
      </c>
      <c r="K23" s="16">
        <f t="shared" si="15"/>
        <v>369792.76</v>
      </c>
      <c r="L23" s="16">
        <f t="shared" si="15"/>
        <v>297489.357</v>
      </c>
      <c r="M23" s="16">
        <f t="shared" si="15"/>
        <v>297489.357</v>
      </c>
      <c r="N23" s="16">
        <f t="shared" si="11"/>
        <v>3569872.284</v>
      </c>
      <c r="P23" s="11" t="s">
        <v>36</v>
      </c>
      <c r="Q23" s="16">
        <v>751500.0</v>
      </c>
    </row>
    <row r="24" ht="15.75" customHeight="1">
      <c r="A24" s="11" t="s">
        <v>42</v>
      </c>
      <c r="B24" s="16">
        <f t="shared" ref="B24:M24" si="16">(B23)-(0)</f>
        <v>238168.15</v>
      </c>
      <c r="C24" s="16">
        <f t="shared" si="16"/>
        <v>525787.03</v>
      </c>
      <c r="D24" s="16">
        <f t="shared" si="16"/>
        <v>135496.68</v>
      </c>
      <c r="E24" s="16">
        <f t="shared" si="16"/>
        <v>59701.92</v>
      </c>
      <c r="F24" s="16">
        <f t="shared" si="16"/>
        <v>268445.33</v>
      </c>
      <c r="G24" s="16">
        <f t="shared" si="16"/>
        <v>75192.64</v>
      </c>
      <c r="H24" s="16">
        <f t="shared" si="16"/>
        <v>-4614.39</v>
      </c>
      <c r="I24" s="16">
        <f t="shared" si="16"/>
        <v>778477.8</v>
      </c>
      <c r="J24" s="16">
        <f t="shared" si="16"/>
        <v>528445.65</v>
      </c>
      <c r="K24" s="16">
        <f t="shared" si="16"/>
        <v>369792.76</v>
      </c>
      <c r="L24" s="16">
        <f t="shared" si="16"/>
        <v>297489.357</v>
      </c>
      <c r="M24" s="16">
        <f t="shared" si="16"/>
        <v>297489.357</v>
      </c>
      <c r="N24" s="16">
        <f t="shared" si="11"/>
        <v>3569872.284</v>
      </c>
      <c r="P24" s="11" t="s">
        <v>37</v>
      </c>
      <c r="Q24" s="14">
        <v>6000.0</v>
      </c>
    </row>
    <row r="25" ht="15.75" customHeight="1">
      <c r="A25" s="11" t="s">
        <v>43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P25" s="11" t="s">
        <v>44</v>
      </c>
      <c r="Q25" s="14">
        <v>40000.0</v>
      </c>
    </row>
    <row r="26" ht="15.75" customHeight="1">
      <c r="A26" s="11" t="s">
        <v>45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4"/>
      <c r="P26" s="11" t="s">
        <v>38</v>
      </c>
      <c r="Q26" s="14">
        <v>0.0</v>
      </c>
    </row>
    <row r="27" ht="15.75" customHeight="1">
      <c r="A27" s="11" t="s">
        <v>46</v>
      </c>
      <c r="B27" s="12"/>
      <c r="C27" s="14">
        <f>1120.34</f>
        <v>1120.34</v>
      </c>
      <c r="D27" s="14">
        <f>9232.39</f>
        <v>9232.39</v>
      </c>
      <c r="E27" s="14">
        <f>1364.33</f>
        <v>1364.33</v>
      </c>
      <c r="F27" s="14">
        <f>6140.59</f>
        <v>6140.59</v>
      </c>
      <c r="G27" s="14">
        <f>809.07</f>
        <v>809.07</v>
      </c>
      <c r="H27" s="14">
        <f>1166.52</f>
        <v>1166.52</v>
      </c>
      <c r="I27" s="14">
        <f>516.98</f>
        <v>516.98</v>
      </c>
      <c r="J27" s="12"/>
      <c r="K27" s="12"/>
      <c r="L27" s="14">
        <f t="shared" ref="L27:L30" si="17">SUM(B27:K27)/10</f>
        <v>2035.022</v>
      </c>
      <c r="M27" s="14">
        <f t="shared" ref="M27:M30" si="18">SUM(B27:K27)/10</f>
        <v>2035.022</v>
      </c>
      <c r="N27" s="14">
        <f t="shared" ref="N27:N30" si="19">(((((((((B27)+(C27))+(D27))+(E27))+(F27))+(G27))+(H27))+(I27))+(J27))+(K27)+L27++M27</f>
        <v>24420.264</v>
      </c>
      <c r="P27" s="11" t="s">
        <v>41</v>
      </c>
      <c r="Q27" s="16">
        <v>2854173.0000000005</v>
      </c>
    </row>
    <row r="28" ht="15.75" customHeight="1">
      <c r="A28" s="11" t="s">
        <v>47</v>
      </c>
      <c r="B28" s="12"/>
      <c r="C28" s="12"/>
      <c r="D28" s="12"/>
      <c r="E28" s="12"/>
      <c r="F28" s="12"/>
      <c r="G28" s="12"/>
      <c r="H28" s="12"/>
      <c r="I28" s="14">
        <f>296.28</f>
        <v>296.28</v>
      </c>
      <c r="J28" s="12"/>
      <c r="K28" s="12"/>
      <c r="L28" s="14">
        <f t="shared" si="17"/>
        <v>29.628</v>
      </c>
      <c r="M28" s="14">
        <f t="shared" si="18"/>
        <v>29.628</v>
      </c>
      <c r="N28" s="14">
        <f t="shared" si="19"/>
        <v>355.536</v>
      </c>
      <c r="P28" s="11" t="s">
        <v>42</v>
      </c>
      <c r="Q28" s="16">
        <v>2854173.0000000005</v>
      </c>
    </row>
    <row r="29" ht="15.75" customHeight="1">
      <c r="A29" s="11" t="s">
        <v>48</v>
      </c>
      <c r="B29" s="12"/>
      <c r="C29" s="12"/>
      <c r="D29" s="12"/>
      <c r="E29" s="12"/>
      <c r="F29" s="12"/>
      <c r="G29" s="12"/>
      <c r="H29" s="12"/>
      <c r="I29" s="12"/>
      <c r="J29" s="14">
        <f>380</f>
        <v>380</v>
      </c>
      <c r="K29" s="14">
        <f>556.03</f>
        <v>556.03</v>
      </c>
      <c r="L29" s="14">
        <f t="shared" si="17"/>
        <v>93.603</v>
      </c>
      <c r="M29" s="14">
        <f t="shared" si="18"/>
        <v>93.603</v>
      </c>
      <c r="N29" s="14">
        <f t="shared" si="19"/>
        <v>1123.236</v>
      </c>
      <c r="P29" s="11" t="s">
        <v>43</v>
      </c>
      <c r="Q29" s="12"/>
    </row>
    <row r="30" ht="15.75" customHeight="1">
      <c r="A30" s="11" t="s">
        <v>49</v>
      </c>
      <c r="B30" s="12"/>
      <c r="C30" s="12"/>
      <c r="D30" s="12"/>
      <c r="E30" s="12"/>
      <c r="F30" s="12"/>
      <c r="G30" s="12"/>
      <c r="H30" s="12"/>
      <c r="I30" s="40">
        <f>6463.85</f>
        <v>6463.85</v>
      </c>
      <c r="J30" s="12"/>
      <c r="K30" s="14">
        <f>15.12</f>
        <v>15.12</v>
      </c>
      <c r="L30" s="14">
        <f t="shared" si="17"/>
        <v>647.897</v>
      </c>
      <c r="M30" s="14">
        <f t="shared" si="18"/>
        <v>647.897</v>
      </c>
      <c r="N30" s="14">
        <f t="shared" si="19"/>
        <v>7774.764</v>
      </c>
      <c r="O30" s="41">
        <v>3000.0</v>
      </c>
      <c r="P30" s="11" t="s">
        <v>45</v>
      </c>
      <c r="Q30" s="14">
        <v>0.0</v>
      </c>
    </row>
    <row r="31" ht="15.75" customHeight="1">
      <c r="A31" s="11" t="s">
        <v>50</v>
      </c>
      <c r="B31" s="16">
        <f t="shared" ref="B31:M31" si="20">((((B26)+(B27))+(B28))+(B29))+(B30)</f>
        <v>0</v>
      </c>
      <c r="C31" s="16">
        <f t="shared" si="20"/>
        <v>1120.34</v>
      </c>
      <c r="D31" s="16">
        <f t="shared" si="20"/>
        <v>9232.39</v>
      </c>
      <c r="E31" s="16">
        <f t="shared" si="20"/>
        <v>1364.33</v>
      </c>
      <c r="F31" s="16">
        <f t="shared" si="20"/>
        <v>6140.59</v>
      </c>
      <c r="G31" s="16">
        <f t="shared" si="20"/>
        <v>809.07</v>
      </c>
      <c r="H31" s="16">
        <f t="shared" si="20"/>
        <v>1166.52</v>
      </c>
      <c r="I31" s="16">
        <f t="shared" si="20"/>
        <v>7277.11</v>
      </c>
      <c r="J31" s="16">
        <f t="shared" si="20"/>
        <v>380</v>
      </c>
      <c r="K31" s="16">
        <f t="shared" si="20"/>
        <v>571.15</v>
      </c>
      <c r="L31" s="16">
        <f t="shared" si="20"/>
        <v>2806.15</v>
      </c>
      <c r="M31" s="16">
        <f t="shared" si="20"/>
        <v>2806.15</v>
      </c>
      <c r="N31" s="16">
        <f>(((((((((B31)+(C31))+(D31))+(E31))+(F31))+(G31))+(H31))+(I31))+(J31))+(K31)+L31+M31</f>
        <v>33673.8</v>
      </c>
      <c r="P31" s="11" t="s">
        <v>46</v>
      </c>
      <c r="Q31" s="14">
        <v>0.0</v>
      </c>
    </row>
    <row r="32" ht="15.75" customHeight="1">
      <c r="A32" s="11" t="s">
        <v>51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4"/>
      <c r="P32" s="11" t="s">
        <v>47</v>
      </c>
      <c r="Q32" s="14">
        <v>2000.0</v>
      </c>
    </row>
    <row r="33" ht="15.75" customHeight="1">
      <c r="A33" s="11" t="s">
        <v>52</v>
      </c>
      <c r="B33" s="12"/>
      <c r="C33" s="14">
        <f>8914.11</f>
        <v>8914.11</v>
      </c>
      <c r="D33" s="14">
        <f>752.62</f>
        <v>752.62</v>
      </c>
      <c r="E33" s="14">
        <f>2211.75</f>
        <v>2211.75</v>
      </c>
      <c r="F33" s="14">
        <f>174312.56</f>
        <v>174312.56</v>
      </c>
      <c r="G33" s="14">
        <f>5814.69</f>
        <v>5814.69</v>
      </c>
      <c r="H33" s="14">
        <f>684.48</f>
        <v>684.48</v>
      </c>
      <c r="I33" s="14">
        <f>4297.74</f>
        <v>4297.74</v>
      </c>
      <c r="J33" s="14">
        <f>31035</f>
        <v>31035</v>
      </c>
      <c r="K33" s="12"/>
      <c r="L33" s="14">
        <f t="shared" ref="L33:L54" si="21">SUM(B33:K33)/10</f>
        <v>22802.295</v>
      </c>
      <c r="M33" s="14">
        <f t="shared" ref="M33:M54" si="22">SUM(B33:K33)/10</f>
        <v>22802.295</v>
      </c>
      <c r="N33" s="14">
        <f t="shared" ref="N33:N55" si="23">(((((((((B33)+(C33))+(D33))+(E33))+(F33))+(G33))+(H33))+(I33))+(J33))+(K33)+L33+M33</f>
        <v>273627.54</v>
      </c>
      <c r="P33" s="11" t="s">
        <v>48</v>
      </c>
      <c r="Q33" s="14">
        <v>0.0</v>
      </c>
    </row>
    <row r="34" ht="15.75" customHeight="1">
      <c r="A34" s="11" t="s">
        <v>53</v>
      </c>
      <c r="B34" s="12"/>
      <c r="C34" s="12"/>
      <c r="D34" s="12"/>
      <c r="E34" s="12"/>
      <c r="F34" s="12"/>
      <c r="G34" s="12"/>
      <c r="H34" s="12"/>
      <c r="I34" s="12"/>
      <c r="J34" s="12"/>
      <c r="K34" s="14">
        <f>4072.36</f>
        <v>4072.36</v>
      </c>
      <c r="L34" s="14">
        <f t="shared" si="21"/>
        <v>407.236</v>
      </c>
      <c r="M34" s="14">
        <f t="shared" si="22"/>
        <v>407.236</v>
      </c>
      <c r="N34" s="14">
        <f t="shared" si="23"/>
        <v>4886.832</v>
      </c>
      <c r="P34" s="11" t="s">
        <v>49</v>
      </c>
      <c r="Q34" s="14">
        <v>0.0</v>
      </c>
    </row>
    <row r="35" ht="15.75" customHeight="1">
      <c r="A35" s="11" t="s">
        <v>54</v>
      </c>
      <c r="B35" s="12"/>
      <c r="C35" s="14">
        <f>1947</f>
        <v>1947</v>
      </c>
      <c r="D35" s="14">
        <f>44.3</f>
        <v>44.3</v>
      </c>
      <c r="E35" s="14">
        <f>2123</f>
        <v>2123</v>
      </c>
      <c r="F35" s="14">
        <f>213.1</f>
        <v>213.1</v>
      </c>
      <c r="G35" s="14">
        <f>88.47</f>
        <v>88.47</v>
      </c>
      <c r="H35" s="14">
        <f>469.71</f>
        <v>469.71</v>
      </c>
      <c r="I35" s="14">
        <f>6262.5</f>
        <v>6262.5</v>
      </c>
      <c r="J35" s="14">
        <f>2027.99</f>
        <v>2027.99</v>
      </c>
      <c r="K35" s="14">
        <f>8744.36</f>
        <v>8744.36</v>
      </c>
      <c r="L35" s="14">
        <f t="shared" si="21"/>
        <v>2192.043</v>
      </c>
      <c r="M35" s="14">
        <f t="shared" si="22"/>
        <v>2192.043</v>
      </c>
      <c r="N35" s="14">
        <f t="shared" si="23"/>
        <v>26304.516</v>
      </c>
      <c r="P35" s="11" t="s">
        <v>50</v>
      </c>
      <c r="Q35" s="16">
        <v>2000.0</v>
      </c>
    </row>
    <row r="36" ht="15.75" customHeight="1">
      <c r="A36" s="11" t="s">
        <v>55</v>
      </c>
      <c r="B36" s="12"/>
      <c r="C36" s="14">
        <f>1621.94</f>
        <v>1621.94</v>
      </c>
      <c r="D36" s="14">
        <f>12.94</f>
        <v>12.94</v>
      </c>
      <c r="E36" s="12"/>
      <c r="F36" s="12"/>
      <c r="G36" s="14">
        <f>8.13</f>
        <v>8.13</v>
      </c>
      <c r="H36" s="12"/>
      <c r="I36" s="14">
        <f>18.35</f>
        <v>18.35</v>
      </c>
      <c r="J36" s="12"/>
      <c r="K36" s="14">
        <f>41603.05</f>
        <v>41603.05</v>
      </c>
      <c r="L36" s="14">
        <f t="shared" si="21"/>
        <v>4326.441</v>
      </c>
      <c r="M36" s="14">
        <f t="shared" si="22"/>
        <v>4326.441</v>
      </c>
      <c r="N36" s="14">
        <f t="shared" si="23"/>
        <v>51917.292</v>
      </c>
      <c r="P36" s="11" t="s">
        <v>51</v>
      </c>
      <c r="Q36" s="14">
        <v>1362969.0</v>
      </c>
    </row>
    <row r="37" ht="15.75" customHeight="1">
      <c r="A37" s="11" t="s">
        <v>56</v>
      </c>
      <c r="B37" s="12"/>
      <c r="C37" s="14">
        <f>894.64</f>
        <v>894.64</v>
      </c>
      <c r="D37" s="14">
        <f>23016.97</f>
        <v>23016.97</v>
      </c>
      <c r="E37" s="14">
        <f>7285.24</f>
        <v>7285.24</v>
      </c>
      <c r="F37" s="14">
        <f>27621.33</f>
        <v>27621.33</v>
      </c>
      <c r="G37" s="14">
        <f>8891.96</f>
        <v>8891.96</v>
      </c>
      <c r="H37" s="12"/>
      <c r="I37" s="12"/>
      <c r="J37" s="14">
        <f>9283.9</f>
        <v>9283.9</v>
      </c>
      <c r="K37" s="14">
        <f>1669.59</f>
        <v>1669.59</v>
      </c>
      <c r="L37" s="14">
        <f t="shared" si="21"/>
        <v>7866.363</v>
      </c>
      <c r="M37" s="14">
        <f t="shared" si="22"/>
        <v>7866.363</v>
      </c>
      <c r="N37" s="14">
        <f t="shared" si="23"/>
        <v>94396.356</v>
      </c>
      <c r="P37" s="11" t="s">
        <v>52</v>
      </c>
      <c r="Q37" s="14">
        <v>0.0</v>
      </c>
    </row>
    <row r="38" ht="15.75" customHeight="1">
      <c r="A38" s="11" t="s">
        <v>57</v>
      </c>
      <c r="B38" s="12"/>
      <c r="C38" s="14">
        <f>795</f>
        <v>795</v>
      </c>
      <c r="D38" s="12"/>
      <c r="E38" s="12"/>
      <c r="F38" s="12"/>
      <c r="G38" s="12"/>
      <c r="H38" s="12"/>
      <c r="I38" s="14">
        <f>590</f>
        <v>590</v>
      </c>
      <c r="J38" s="14">
        <f>367.63</f>
        <v>367.63</v>
      </c>
      <c r="K38" s="14">
        <f>766.28</f>
        <v>766.28</v>
      </c>
      <c r="L38" s="14">
        <f t="shared" si="21"/>
        <v>251.891</v>
      </c>
      <c r="M38" s="14">
        <f t="shared" si="22"/>
        <v>251.891</v>
      </c>
      <c r="N38" s="14">
        <f t="shared" si="23"/>
        <v>3022.692</v>
      </c>
      <c r="P38" s="11" t="s">
        <v>53</v>
      </c>
      <c r="Q38" s="14">
        <v>0.0</v>
      </c>
    </row>
    <row r="39" ht="15.75" customHeight="1">
      <c r="A39" s="11" t="s">
        <v>58</v>
      </c>
      <c r="B39" s="12"/>
      <c r="C39" s="12"/>
      <c r="D39" s="14">
        <f>350</f>
        <v>350</v>
      </c>
      <c r="E39" s="14">
        <f>250</f>
        <v>250</v>
      </c>
      <c r="F39" s="14">
        <f>4500</f>
        <v>4500</v>
      </c>
      <c r="G39" s="14">
        <f>250</f>
        <v>250</v>
      </c>
      <c r="H39" s="12"/>
      <c r="I39" s="12"/>
      <c r="J39" s="14">
        <f>741.12</f>
        <v>741.12</v>
      </c>
      <c r="K39" s="12"/>
      <c r="L39" s="14">
        <f t="shared" si="21"/>
        <v>609.112</v>
      </c>
      <c r="M39" s="14">
        <f t="shared" si="22"/>
        <v>609.112</v>
      </c>
      <c r="N39" s="14">
        <f t="shared" si="23"/>
        <v>7309.344</v>
      </c>
      <c r="P39" s="11" t="s">
        <v>54</v>
      </c>
      <c r="Q39" s="14">
        <v>0.0</v>
      </c>
    </row>
    <row r="40" ht="15.75" customHeight="1">
      <c r="A40" s="11" t="s">
        <v>59</v>
      </c>
      <c r="B40" s="12"/>
      <c r="C40" s="12"/>
      <c r="D40" s="12"/>
      <c r="E40" s="12"/>
      <c r="F40" s="12"/>
      <c r="G40" s="12"/>
      <c r="H40" s="12"/>
      <c r="I40" s="12"/>
      <c r="J40" s="14">
        <f>3061</f>
        <v>3061</v>
      </c>
      <c r="K40" s="12"/>
      <c r="L40" s="14">
        <f t="shared" si="21"/>
        <v>306.1</v>
      </c>
      <c r="M40" s="14">
        <f t="shared" si="22"/>
        <v>306.1</v>
      </c>
      <c r="N40" s="14">
        <f t="shared" si="23"/>
        <v>3673.2</v>
      </c>
      <c r="P40" s="11" t="s">
        <v>55</v>
      </c>
      <c r="Q40" s="14">
        <v>0.0</v>
      </c>
    </row>
    <row r="41" ht="15.75" customHeight="1">
      <c r="A41" s="11" t="s">
        <v>60</v>
      </c>
      <c r="B41" s="12"/>
      <c r="C41" s="12"/>
      <c r="D41" s="12"/>
      <c r="E41" s="12"/>
      <c r="F41" s="12"/>
      <c r="G41" s="12"/>
      <c r="H41" s="12"/>
      <c r="I41" s="12"/>
      <c r="J41" s="12"/>
      <c r="K41" s="14">
        <f>4950</f>
        <v>4950</v>
      </c>
      <c r="L41" s="14">
        <f t="shared" si="21"/>
        <v>495</v>
      </c>
      <c r="M41" s="14">
        <f t="shared" si="22"/>
        <v>495</v>
      </c>
      <c r="N41" s="14">
        <f t="shared" si="23"/>
        <v>5940</v>
      </c>
      <c r="P41" s="11" t="s">
        <v>56</v>
      </c>
      <c r="Q41" s="14">
        <v>0.0</v>
      </c>
    </row>
    <row r="42" ht="15.75" customHeight="1">
      <c r="A42" s="11" t="s">
        <v>61</v>
      </c>
      <c r="B42" s="12"/>
      <c r="C42" s="14">
        <f>12439.66</f>
        <v>12439.66</v>
      </c>
      <c r="D42" s="14">
        <f>715.11</f>
        <v>715.11</v>
      </c>
      <c r="E42" s="14">
        <f>890.75</f>
        <v>890.75</v>
      </c>
      <c r="F42" s="14">
        <f>88.16</f>
        <v>88.16</v>
      </c>
      <c r="G42" s="14">
        <f>8593.38</f>
        <v>8593.38</v>
      </c>
      <c r="H42" s="12"/>
      <c r="I42" s="14">
        <f>954.8</f>
        <v>954.8</v>
      </c>
      <c r="J42" s="14">
        <f>1450</f>
        <v>1450</v>
      </c>
      <c r="K42" s="12"/>
      <c r="L42" s="14">
        <f t="shared" si="21"/>
        <v>2513.186</v>
      </c>
      <c r="M42" s="14">
        <f t="shared" si="22"/>
        <v>2513.186</v>
      </c>
      <c r="N42" s="14">
        <f t="shared" si="23"/>
        <v>30158.232</v>
      </c>
      <c r="P42" s="11" t="s">
        <v>57</v>
      </c>
      <c r="Q42" s="14">
        <v>0.0</v>
      </c>
    </row>
    <row r="43" ht="15.75" customHeight="1">
      <c r="A43" s="11" t="s">
        <v>62</v>
      </c>
      <c r="B43" s="12"/>
      <c r="C43" s="12"/>
      <c r="D43" s="14">
        <f>206</f>
        <v>206</v>
      </c>
      <c r="E43" s="14">
        <f>1345.88</f>
        <v>1345.88</v>
      </c>
      <c r="F43" s="12"/>
      <c r="G43" s="12"/>
      <c r="H43" s="12"/>
      <c r="I43" s="14">
        <f>4454.5</f>
        <v>4454.5</v>
      </c>
      <c r="J43" s="14">
        <f>2216.43</f>
        <v>2216.43</v>
      </c>
      <c r="K43" s="14">
        <f>209.15</f>
        <v>209.15</v>
      </c>
      <c r="L43" s="14">
        <f t="shared" si="21"/>
        <v>843.196</v>
      </c>
      <c r="M43" s="14">
        <f t="shared" si="22"/>
        <v>843.196</v>
      </c>
      <c r="N43" s="14">
        <f t="shared" si="23"/>
        <v>10118.352</v>
      </c>
      <c r="P43" s="11" t="s">
        <v>58</v>
      </c>
      <c r="Q43" s="14">
        <v>36499.99999999999</v>
      </c>
    </row>
    <row r="44" ht="15.75" customHeight="1">
      <c r="A44" s="11" t="s">
        <v>63</v>
      </c>
      <c r="B44" s="12"/>
      <c r="C44" s="12"/>
      <c r="D44" s="12"/>
      <c r="E44" s="12"/>
      <c r="F44" s="12"/>
      <c r="G44" s="12"/>
      <c r="H44" s="12"/>
      <c r="I44" s="14">
        <f>102.73</f>
        <v>102.73</v>
      </c>
      <c r="J44" s="14">
        <f>415</f>
        <v>415</v>
      </c>
      <c r="K44" s="14">
        <f>1028.38</f>
        <v>1028.38</v>
      </c>
      <c r="L44" s="14">
        <f t="shared" si="21"/>
        <v>154.611</v>
      </c>
      <c r="M44" s="14">
        <f t="shared" si="22"/>
        <v>154.611</v>
      </c>
      <c r="N44" s="14">
        <f t="shared" si="23"/>
        <v>1855.332</v>
      </c>
      <c r="P44" s="11" t="s">
        <v>59</v>
      </c>
      <c r="Q44" s="14">
        <v>0.0</v>
      </c>
    </row>
    <row r="45" ht="15.75" customHeight="1">
      <c r="A45" s="11" t="s">
        <v>64</v>
      </c>
      <c r="B45" s="12"/>
      <c r="C45" s="14">
        <f>2167.4</f>
        <v>2167.4</v>
      </c>
      <c r="D45" s="12"/>
      <c r="E45" s="12"/>
      <c r="F45" s="12"/>
      <c r="G45" s="12"/>
      <c r="H45" s="12"/>
      <c r="I45" s="14">
        <f>1620</f>
        <v>1620</v>
      </c>
      <c r="J45" s="12"/>
      <c r="K45" s="12"/>
      <c r="L45" s="14">
        <f t="shared" si="21"/>
        <v>378.74</v>
      </c>
      <c r="M45" s="14">
        <f t="shared" si="22"/>
        <v>378.74</v>
      </c>
      <c r="N45" s="14">
        <f t="shared" si="23"/>
        <v>4544.88</v>
      </c>
      <c r="P45" s="11" t="s">
        <v>60</v>
      </c>
      <c r="Q45" s="14">
        <v>0.0</v>
      </c>
    </row>
    <row r="46" ht="15.75" customHeight="1">
      <c r="A46" s="11" t="s">
        <v>65</v>
      </c>
      <c r="B46" s="12"/>
      <c r="C46" s="12"/>
      <c r="D46" s="12"/>
      <c r="E46" s="12"/>
      <c r="F46" s="12"/>
      <c r="G46" s="12"/>
      <c r="H46" s="12"/>
      <c r="I46" s="12"/>
      <c r="J46" s="12"/>
      <c r="K46" s="14">
        <f>5036.16</f>
        <v>5036.16</v>
      </c>
      <c r="L46" s="14">
        <f t="shared" si="21"/>
        <v>503.616</v>
      </c>
      <c r="M46" s="14">
        <f t="shared" si="22"/>
        <v>503.616</v>
      </c>
      <c r="N46" s="14">
        <f t="shared" si="23"/>
        <v>6043.392</v>
      </c>
      <c r="P46" s="11" t="s">
        <v>61</v>
      </c>
      <c r="Q46" s="14">
        <v>0.0</v>
      </c>
    </row>
    <row r="47" ht="15.75" customHeight="1">
      <c r="A47" s="11" t="s">
        <v>66</v>
      </c>
      <c r="B47" s="12"/>
      <c r="C47" s="12"/>
      <c r="D47" s="12"/>
      <c r="E47" s="12"/>
      <c r="F47" s="12"/>
      <c r="G47" s="12"/>
      <c r="H47" s="12"/>
      <c r="I47" s="12"/>
      <c r="J47" s="12"/>
      <c r="K47" s="14">
        <f>115.08</f>
        <v>115.08</v>
      </c>
      <c r="L47" s="14">
        <f t="shared" si="21"/>
        <v>11.508</v>
      </c>
      <c r="M47" s="14">
        <f t="shared" si="22"/>
        <v>11.508</v>
      </c>
      <c r="N47" s="14">
        <f t="shared" si="23"/>
        <v>138.096</v>
      </c>
      <c r="P47" s="11" t="s">
        <v>62</v>
      </c>
      <c r="Q47" s="14">
        <v>799.9999999999999</v>
      </c>
    </row>
    <row r="48" ht="15.75" customHeight="1">
      <c r="A48" s="11" t="s">
        <v>67</v>
      </c>
      <c r="B48" s="12"/>
      <c r="C48" s="12"/>
      <c r="D48" s="12"/>
      <c r="E48" s="12"/>
      <c r="F48" s="14">
        <f>2328.14</f>
        <v>2328.14</v>
      </c>
      <c r="G48" s="14">
        <f>1947.42</f>
        <v>1947.42</v>
      </c>
      <c r="H48" s="14">
        <f>0.52</f>
        <v>0.52</v>
      </c>
      <c r="I48" s="14">
        <f>4454.5</f>
        <v>4454.5</v>
      </c>
      <c r="J48" s="12"/>
      <c r="K48" s="12"/>
      <c r="L48" s="14">
        <f t="shared" si="21"/>
        <v>873.058</v>
      </c>
      <c r="M48" s="14">
        <f t="shared" si="22"/>
        <v>873.058</v>
      </c>
      <c r="N48" s="14">
        <f t="shared" si="23"/>
        <v>10476.696</v>
      </c>
      <c r="P48" s="11" t="s">
        <v>63</v>
      </c>
      <c r="Q48" s="14">
        <v>0.0</v>
      </c>
    </row>
    <row r="49" ht="15.75" customHeight="1">
      <c r="A49" s="11" t="s">
        <v>68</v>
      </c>
      <c r="B49" s="12"/>
      <c r="C49" s="12"/>
      <c r="D49" s="12"/>
      <c r="E49" s="12"/>
      <c r="F49" s="12"/>
      <c r="G49" s="12"/>
      <c r="H49" s="12"/>
      <c r="I49" s="12"/>
      <c r="J49" s="14">
        <f>333.48</f>
        <v>333.48</v>
      </c>
      <c r="K49" s="12"/>
      <c r="L49" s="14">
        <f t="shared" si="21"/>
        <v>33.348</v>
      </c>
      <c r="M49" s="14">
        <f t="shared" si="22"/>
        <v>33.348</v>
      </c>
      <c r="N49" s="14">
        <f t="shared" si="23"/>
        <v>400.176</v>
      </c>
      <c r="P49" s="11" t="s">
        <v>64</v>
      </c>
      <c r="Q49" s="14">
        <v>0.0</v>
      </c>
    </row>
    <row r="50" ht="15.75" customHeight="1">
      <c r="A50" s="11" t="s">
        <v>48</v>
      </c>
      <c r="B50" s="12"/>
      <c r="C50" s="14">
        <f>4112.33</f>
        <v>4112.33</v>
      </c>
      <c r="D50" s="14">
        <f>1109.89</f>
        <v>1109.89</v>
      </c>
      <c r="E50" s="14">
        <f>2042.33</f>
        <v>2042.33</v>
      </c>
      <c r="F50" s="12"/>
      <c r="G50" s="14">
        <f>945.35</f>
        <v>945.35</v>
      </c>
      <c r="H50" s="12"/>
      <c r="I50" s="14">
        <f>7986.32</f>
        <v>7986.32</v>
      </c>
      <c r="J50" s="14">
        <f>6766.01</f>
        <v>6766.01</v>
      </c>
      <c r="K50" s="14">
        <f>5809.81</f>
        <v>5809.81</v>
      </c>
      <c r="L50" s="14">
        <f t="shared" si="21"/>
        <v>2877.204</v>
      </c>
      <c r="M50" s="14">
        <f t="shared" si="22"/>
        <v>2877.204</v>
      </c>
      <c r="N50" s="14">
        <f t="shared" si="23"/>
        <v>34526.448</v>
      </c>
      <c r="P50" s="11" t="s">
        <v>65</v>
      </c>
      <c r="Q50" s="14">
        <v>1000.0000000000001</v>
      </c>
    </row>
    <row r="51" ht="15.75" customHeight="1">
      <c r="A51" s="11" t="s">
        <v>69</v>
      </c>
      <c r="B51" s="12"/>
      <c r="C51" s="14">
        <f>4756.46</f>
        <v>4756.46</v>
      </c>
      <c r="D51" s="14">
        <f>496.08</f>
        <v>496.08</v>
      </c>
      <c r="E51" s="14">
        <f>63026.25</f>
        <v>63026.25</v>
      </c>
      <c r="F51" s="14">
        <f>496.08</f>
        <v>496.08</v>
      </c>
      <c r="G51" s="14">
        <f>276.74</f>
        <v>276.74</v>
      </c>
      <c r="H51" s="14">
        <f>1339.76</f>
        <v>1339.76</v>
      </c>
      <c r="I51" s="12"/>
      <c r="J51" s="14">
        <f>164.01</f>
        <v>164.01</v>
      </c>
      <c r="K51" s="12"/>
      <c r="L51" s="14">
        <f t="shared" si="21"/>
        <v>7055.538</v>
      </c>
      <c r="M51" s="14">
        <f t="shared" si="22"/>
        <v>7055.538</v>
      </c>
      <c r="N51" s="14">
        <f t="shared" si="23"/>
        <v>84666.456</v>
      </c>
      <c r="P51" s="11" t="s">
        <v>66</v>
      </c>
      <c r="Q51" s="14">
        <v>0.0</v>
      </c>
    </row>
    <row r="52" ht="15.75" customHeight="1">
      <c r="A52" s="11" t="s">
        <v>22</v>
      </c>
      <c r="B52" s="12"/>
      <c r="C52" s="14">
        <f>8876.05</f>
        <v>8876.05</v>
      </c>
      <c r="D52" s="14">
        <f>56936.51</f>
        <v>56936.51</v>
      </c>
      <c r="E52" s="14">
        <f>-21748.47</f>
        <v>-21748.47</v>
      </c>
      <c r="F52" s="14">
        <f>21739.29</f>
        <v>21739.29</v>
      </c>
      <c r="G52" s="14">
        <f>4526.08</f>
        <v>4526.08</v>
      </c>
      <c r="H52" s="14">
        <f>1010</f>
        <v>1010</v>
      </c>
      <c r="I52" s="14">
        <f>757.5</f>
        <v>757.5</v>
      </c>
      <c r="J52" s="12"/>
      <c r="K52" s="14">
        <f>4100</f>
        <v>4100</v>
      </c>
      <c r="L52" s="14">
        <f t="shared" si="21"/>
        <v>7619.696</v>
      </c>
      <c r="M52" s="14">
        <f t="shared" si="22"/>
        <v>7619.696</v>
      </c>
      <c r="N52" s="14">
        <f t="shared" si="23"/>
        <v>91436.352</v>
      </c>
      <c r="P52" s="11" t="s">
        <v>67</v>
      </c>
      <c r="Q52" s="14">
        <v>0.0</v>
      </c>
    </row>
    <row r="53" ht="15.75" customHeight="1">
      <c r="A53" s="11" t="s">
        <v>49</v>
      </c>
      <c r="B53" s="14">
        <f>9698.13</f>
        <v>9698.13</v>
      </c>
      <c r="C53" s="14">
        <f>8071.62</f>
        <v>8071.62</v>
      </c>
      <c r="D53" s="14">
        <f>1512.05</f>
        <v>1512.05</v>
      </c>
      <c r="E53" s="14">
        <f>4712.03</f>
        <v>4712.03</v>
      </c>
      <c r="F53" s="14">
        <f>5611.15</f>
        <v>5611.15</v>
      </c>
      <c r="G53" s="14">
        <f>244.6</f>
        <v>244.6</v>
      </c>
      <c r="H53" s="12"/>
      <c r="I53" s="14">
        <f>4384.11</f>
        <v>4384.11</v>
      </c>
      <c r="J53" s="14">
        <f>3623.42</f>
        <v>3623.42</v>
      </c>
      <c r="K53" s="14">
        <f>1254.91</f>
        <v>1254.91</v>
      </c>
      <c r="L53" s="14">
        <f t="shared" si="21"/>
        <v>3911.202</v>
      </c>
      <c r="M53" s="14">
        <f t="shared" si="22"/>
        <v>3911.202</v>
      </c>
      <c r="N53" s="14">
        <f t="shared" si="23"/>
        <v>46934.424</v>
      </c>
      <c r="P53" s="11" t="s">
        <v>68</v>
      </c>
      <c r="Q53" s="14">
        <v>0.0</v>
      </c>
    </row>
    <row r="54" ht="15.75" customHeight="1">
      <c r="A54" s="11" t="s">
        <v>70</v>
      </c>
      <c r="B54" s="12"/>
      <c r="C54" s="14">
        <f>141125.1</f>
        <v>141125.1</v>
      </c>
      <c r="D54" s="14">
        <f>4691.12</f>
        <v>4691.12</v>
      </c>
      <c r="E54" s="14">
        <f>94199.89</f>
        <v>94199.89</v>
      </c>
      <c r="F54" s="14">
        <f>10186.67</f>
        <v>10186.67</v>
      </c>
      <c r="G54" s="14">
        <f>1973.47</f>
        <v>1973.47</v>
      </c>
      <c r="H54" s="12"/>
      <c r="I54" s="14">
        <f>36866.26</f>
        <v>36866.26</v>
      </c>
      <c r="J54" s="12"/>
      <c r="K54" s="14">
        <f>75354.81</f>
        <v>75354.81</v>
      </c>
      <c r="L54" s="14">
        <f t="shared" si="21"/>
        <v>36439.732</v>
      </c>
      <c r="M54" s="14">
        <f t="shared" si="22"/>
        <v>36439.732</v>
      </c>
      <c r="N54" s="14">
        <f t="shared" si="23"/>
        <v>437276.784</v>
      </c>
      <c r="P54" s="11" t="s">
        <v>48</v>
      </c>
      <c r="Q54" s="14">
        <v>0.0</v>
      </c>
    </row>
    <row r="55" ht="15.75" customHeight="1">
      <c r="A55" s="11" t="s">
        <v>71</v>
      </c>
      <c r="B55" s="16">
        <f t="shared" ref="B55:M55" si="24">((((((((((((((((((((((B32)+(B33))+(B34))+(B35))+(B36))+(B37))+(B38))+(B39))+(B40))+(B41))+(B42))+(B43))+(B44))+(B45))+(B46))+(B47))+(B48))+(B49))+(B50))+(B51))+(B52))+(B53))+(B54)</f>
        <v>9698.13</v>
      </c>
      <c r="C55" s="16">
        <f t="shared" si="24"/>
        <v>195721.31</v>
      </c>
      <c r="D55" s="16">
        <f t="shared" si="24"/>
        <v>89843.59</v>
      </c>
      <c r="E55" s="16">
        <f t="shared" si="24"/>
        <v>156338.65</v>
      </c>
      <c r="F55" s="16">
        <f t="shared" si="24"/>
        <v>247096.48</v>
      </c>
      <c r="G55" s="16">
        <f t="shared" si="24"/>
        <v>33560.29</v>
      </c>
      <c r="H55" s="16">
        <f t="shared" si="24"/>
        <v>3504.47</v>
      </c>
      <c r="I55" s="16">
        <f t="shared" si="24"/>
        <v>72749.31</v>
      </c>
      <c r="J55" s="16">
        <f t="shared" si="24"/>
        <v>61484.99</v>
      </c>
      <c r="K55" s="16">
        <f t="shared" si="24"/>
        <v>154713.94</v>
      </c>
      <c r="L55" s="16">
        <f t="shared" si="24"/>
        <v>102471.116</v>
      </c>
      <c r="M55" s="16">
        <f t="shared" si="24"/>
        <v>102471.116</v>
      </c>
      <c r="N55" s="16">
        <f t="shared" si="23"/>
        <v>1229653.392</v>
      </c>
      <c r="P55" s="11" t="s">
        <v>69</v>
      </c>
      <c r="Q55" s="14">
        <v>0.0</v>
      </c>
    </row>
    <row r="56" ht="15.75" customHeight="1">
      <c r="A56" s="11" t="s">
        <v>72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4"/>
      <c r="P56" s="11" t="s">
        <v>22</v>
      </c>
      <c r="Q56" s="14">
        <v>0.0</v>
      </c>
    </row>
    <row r="57" ht="15.75" customHeight="1">
      <c r="A57" s="11" t="s">
        <v>73</v>
      </c>
      <c r="B57" s="12"/>
      <c r="C57" s="14">
        <f>6500</f>
        <v>6500</v>
      </c>
      <c r="D57" s="12"/>
      <c r="E57" s="12"/>
      <c r="F57" s="12"/>
      <c r="G57" s="12"/>
      <c r="H57" s="12"/>
      <c r="I57" s="12"/>
      <c r="J57" s="14">
        <f>254.86</f>
        <v>254.86</v>
      </c>
      <c r="K57" s="12"/>
      <c r="L57" s="14">
        <f t="shared" ref="L57:L71" si="25">SUM(B57:K57)/10</f>
        <v>675.486</v>
      </c>
      <c r="M57" s="14">
        <f t="shared" ref="M57:M71" si="26">SUM(B57:K57)/10</f>
        <v>675.486</v>
      </c>
      <c r="N57" s="14">
        <f t="shared" ref="N57:N74" si="27">(((((((((B57)+(C57))+(D57))+(E57))+(F57))+(G57))+(H57))+(I57))+(J57))+(K57)+L57+M57</f>
        <v>8105.832</v>
      </c>
      <c r="P57" s="11" t="s">
        <v>49</v>
      </c>
      <c r="Q57" s="14">
        <v>15000.0</v>
      </c>
    </row>
    <row r="58" ht="15.75" customHeight="1">
      <c r="A58" s="11" t="s">
        <v>74</v>
      </c>
      <c r="B58" s="14">
        <f>364.46</f>
        <v>364.46</v>
      </c>
      <c r="C58" s="14">
        <f>145.78</f>
        <v>145.78</v>
      </c>
      <c r="D58" s="14">
        <f>271.14</f>
        <v>271.14</v>
      </c>
      <c r="E58" s="14">
        <f>484.67</f>
        <v>484.67</v>
      </c>
      <c r="F58" s="14">
        <f>145.05</f>
        <v>145.05</v>
      </c>
      <c r="G58" s="14">
        <f>157.32</f>
        <v>157.32</v>
      </c>
      <c r="H58" s="14">
        <f>370.42</f>
        <v>370.42</v>
      </c>
      <c r="I58" s="14">
        <f>309.36</f>
        <v>309.36</v>
      </c>
      <c r="J58" s="14">
        <f>205.24</f>
        <v>205.24</v>
      </c>
      <c r="K58" s="14">
        <f>258.37</f>
        <v>258.37</v>
      </c>
      <c r="L58" s="14">
        <f t="shared" si="25"/>
        <v>271.181</v>
      </c>
      <c r="M58" s="14">
        <f t="shared" si="26"/>
        <v>271.181</v>
      </c>
      <c r="N58" s="14">
        <f t="shared" si="27"/>
        <v>3254.172</v>
      </c>
      <c r="P58" s="11" t="s">
        <v>70</v>
      </c>
      <c r="Q58" s="14">
        <v>0.0</v>
      </c>
    </row>
    <row r="59" ht="15.75" customHeight="1">
      <c r="A59" s="11" t="s">
        <v>75</v>
      </c>
      <c r="B59" s="14">
        <f>189.15</f>
        <v>189.15</v>
      </c>
      <c r="C59" s="12"/>
      <c r="D59" s="12"/>
      <c r="E59" s="12"/>
      <c r="F59" s="12"/>
      <c r="G59" s="12"/>
      <c r="H59" s="12"/>
      <c r="I59" s="14">
        <f>26.9</f>
        <v>26.9</v>
      </c>
      <c r="J59" s="12"/>
      <c r="K59" s="14">
        <f>104.35</f>
        <v>104.35</v>
      </c>
      <c r="L59" s="14">
        <f t="shared" si="25"/>
        <v>32.04</v>
      </c>
      <c r="M59" s="14">
        <f t="shared" si="26"/>
        <v>32.04</v>
      </c>
      <c r="N59" s="14">
        <f t="shared" si="27"/>
        <v>384.48</v>
      </c>
      <c r="P59" s="11" t="s">
        <v>71</v>
      </c>
      <c r="Q59" s="16">
        <v>1416269.0</v>
      </c>
    </row>
    <row r="60" ht="15.75" customHeight="1">
      <c r="A60" s="11" t="s">
        <v>76</v>
      </c>
      <c r="B60" s="12"/>
      <c r="C60" s="14">
        <f>75.52</f>
        <v>75.52</v>
      </c>
      <c r="D60" s="12"/>
      <c r="E60" s="12"/>
      <c r="F60" s="14">
        <f>588</f>
        <v>588</v>
      </c>
      <c r="G60" s="12"/>
      <c r="H60" s="14">
        <f>10.56</f>
        <v>10.56</v>
      </c>
      <c r="I60" s="12"/>
      <c r="J60" s="14">
        <f>900</f>
        <v>900</v>
      </c>
      <c r="K60" s="12"/>
      <c r="L60" s="14">
        <f t="shared" si="25"/>
        <v>157.408</v>
      </c>
      <c r="M60" s="14">
        <f t="shared" si="26"/>
        <v>157.408</v>
      </c>
      <c r="N60" s="14">
        <f t="shared" si="27"/>
        <v>1888.896</v>
      </c>
      <c r="P60" s="11" t="s">
        <v>72</v>
      </c>
      <c r="Q60" s="14">
        <v>0.0</v>
      </c>
    </row>
    <row r="61" ht="15.75" customHeight="1">
      <c r="A61" s="11" t="s">
        <v>77</v>
      </c>
      <c r="B61" s="14">
        <f>8671.16</f>
        <v>8671.16</v>
      </c>
      <c r="C61" s="14">
        <f>7771.39</f>
        <v>7771.39</v>
      </c>
      <c r="D61" s="14">
        <f>2695.01</f>
        <v>2695.01</v>
      </c>
      <c r="E61" s="14">
        <f>2828.42</f>
        <v>2828.42</v>
      </c>
      <c r="F61" s="14">
        <f>1946.92</f>
        <v>1946.92</v>
      </c>
      <c r="G61" s="14">
        <f>2463.36</f>
        <v>2463.36</v>
      </c>
      <c r="H61" s="14">
        <f>1645.45</f>
        <v>1645.45</v>
      </c>
      <c r="I61" s="14">
        <f>1806.92</f>
        <v>1806.92</v>
      </c>
      <c r="J61" s="14">
        <f>3073.36</f>
        <v>3073.36</v>
      </c>
      <c r="K61" s="14">
        <f>6521.88</f>
        <v>6521.88</v>
      </c>
      <c r="L61" s="14">
        <f t="shared" si="25"/>
        <v>3942.387</v>
      </c>
      <c r="M61" s="14">
        <f t="shared" si="26"/>
        <v>3942.387</v>
      </c>
      <c r="N61" s="14">
        <f t="shared" si="27"/>
        <v>47308.644</v>
      </c>
      <c r="P61" s="11" t="s">
        <v>73</v>
      </c>
      <c r="Q61" s="14">
        <v>0.0</v>
      </c>
    </row>
    <row r="62" ht="15.75" customHeight="1">
      <c r="A62" s="11" t="s">
        <v>78</v>
      </c>
      <c r="B62" s="12"/>
      <c r="C62" s="12"/>
      <c r="D62" s="12"/>
      <c r="E62" s="12"/>
      <c r="F62" s="12"/>
      <c r="G62" s="12"/>
      <c r="H62" s="14">
        <f>-6817.32</f>
        <v>-6817.32</v>
      </c>
      <c r="I62" s="14">
        <f>1.09</f>
        <v>1.09</v>
      </c>
      <c r="J62" s="12"/>
      <c r="K62" s="12"/>
      <c r="L62" s="14">
        <f t="shared" si="25"/>
        <v>-681.623</v>
      </c>
      <c r="M62" s="14">
        <f t="shared" si="26"/>
        <v>-681.623</v>
      </c>
      <c r="N62" s="14">
        <f t="shared" si="27"/>
        <v>-8179.476</v>
      </c>
      <c r="P62" s="11" t="s">
        <v>74</v>
      </c>
      <c r="Q62" s="14">
        <v>34999.99999999999</v>
      </c>
    </row>
    <row r="63" ht="15.75" customHeight="1">
      <c r="A63" s="11" t="s">
        <v>63</v>
      </c>
      <c r="B63" s="14">
        <f>368.83</f>
        <v>368.83</v>
      </c>
      <c r="C63" s="14">
        <f>10.42</f>
        <v>10.42</v>
      </c>
      <c r="D63" s="14">
        <f>66.91</f>
        <v>66.91</v>
      </c>
      <c r="E63" s="14">
        <f>12.78</f>
        <v>12.78</v>
      </c>
      <c r="F63" s="14">
        <f>141.49</f>
        <v>141.49</v>
      </c>
      <c r="G63" s="12"/>
      <c r="H63" s="14">
        <f>41.63</f>
        <v>41.63</v>
      </c>
      <c r="I63" s="12"/>
      <c r="J63" s="12"/>
      <c r="K63" s="14">
        <f>91.97</f>
        <v>91.97</v>
      </c>
      <c r="L63" s="14">
        <f t="shared" si="25"/>
        <v>73.403</v>
      </c>
      <c r="M63" s="14">
        <f t="shared" si="26"/>
        <v>73.403</v>
      </c>
      <c r="N63" s="14">
        <f t="shared" si="27"/>
        <v>880.836</v>
      </c>
      <c r="P63" s="11" t="s">
        <v>75</v>
      </c>
      <c r="Q63" s="14">
        <v>0.0</v>
      </c>
    </row>
    <row r="64" ht="15.75" customHeight="1">
      <c r="A64" s="11" t="s">
        <v>79</v>
      </c>
      <c r="B64" s="14">
        <f>769.68</f>
        <v>769.68</v>
      </c>
      <c r="C64" s="14">
        <f>769.66</f>
        <v>769.66</v>
      </c>
      <c r="D64" s="14">
        <f>767.67</f>
        <v>767.67</v>
      </c>
      <c r="E64" s="14">
        <f>796.41</f>
        <v>796.41</v>
      </c>
      <c r="F64" s="14">
        <f>1026.41</f>
        <v>1026.41</v>
      </c>
      <c r="G64" s="14">
        <f t="shared" ref="G64:H64" si="28">796.41</f>
        <v>796.41</v>
      </c>
      <c r="H64" s="14">
        <f t="shared" si="28"/>
        <v>796.41</v>
      </c>
      <c r="I64" s="14">
        <f t="shared" ref="I64:K64" si="29">796.17</f>
        <v>796.17</v>
      </c>
      <c r="J64" s="14">
        <f t="shared" si="29"/>
        <v>796.17</v>
      </c>
      <c r="K64" s="14">
        <f t="shared" si="29"/>
        <v>796.17</v>
      </c>
      <c r="L64" s="14">
        <f t="shared" si="25"/>
        <v>811.116</v>
      </c>
      <c r="M64" s="14">
        <f t="shared" si="26"/>
        <v>811.116</v>
      </c>
      <c r="N64" s="14">
        <f t="shared" si="27"/>
        <v>9733.392</v>
      </c>
      <c r="P64" s="11" t="s">
        <v>76</v>
      </c>
      <c r="Q64" s="14">
        <v>18000.0</v>
      </c>
    </row>
    <row r="65" ht="15.75" customHeight="1">
      <c r="A65" s="11" t="s">
        <v>80</v>
      </c>
      <c r="B65" s="14">
        <f t="shared" ref="B65:E65" si="30">382.5</f>
        <v>382.5</v>
      </c>
      <c r="C65" s="14">
        <f t="shared" si="30"/>
        <v>382.5</v>
      </c>
      <c r="D65" s="14">
        <f t="shared" si="30"/>
        <v>382.5</v>
      </c>
      <c r="E65" s="14">
        <f t="shared" si="30"/>
        <v>382.5</v>
      </c>
      <c r="F65" s="12"/>
      <c r="G65" s="14">
        <f>765</f>
        <v>765</v>
      </c>
      <c r="H65" s="14">
        <f>382.5</f>
        <v>382.5</v>
      </c>
      <c r="I65" s="14">
        <f>1147.5</f>
        <v>1147.5</v>
      </c>
      <c r="J65" s="12"/>
      <c r="K65" s="12"/>
      <c r="L65" s="14">
        <f t="shared" si="25"/>
        <v>382.5</v>
      </c>
      <c r="M65" s="14">
        <f t="shared" si="26"/>
        <v>382.5</v>
      </c>
      <c r="N65" s="14">
        <f t="shared" si="27"/>
        <v>4590</v>
      </c>
      <c r="P65" s="11" t="s">
        <v>77</v>
      </c>
      <c r="Q65" s="14">
        <v>9000.0</v>
      </c>
    </row>
    <row r="66" ht="15.75" customHeight="1">
      <c r="A66" s="11" t="s">
        <v>81</v>
      </c>
      <c r="B66" s="12"/>
      <c r="C66" s="12"/>
      <c r="D66" s="12"/>
      <c r="E66" s="12"/>
      <c r="F66" s="12"/>
      <c r="G66" s="12"/>
      <c r="H66" s="12"/>
      <c r="I66" s="12"/>
      <c r="J66" s="14">
        <f>456.09</f>
        <v>456.09</v>
      </c>
      <c r="K66" s="12"/>
      <c r="L66" s="14">
        <f t="shared" si="25"/>
        <v>45.609</v>
      </c>
      <c r="M66" s="14">
        <f t="shared" si="26"/>
        <v>45.609</v>
      </c>
      <c r="N66" s="14">
        <f t="shared" si="27"/>
        <v>547.308</v>
      </c>
      <c r="P66" s="11" t="s">
        <v>78</v>
      </c>
      <c r="Q66" s="14">
        <v>40000.000000000015</v>
      </c>
    </row>
    <row r="67" ht="15.75" customHeight="1">
      <c r="A67" s="11" t="s">
        <v>47</v>
      </c>
      <c r="B67" s="12"/>
      <c r="C67" s="12"/>
      <c r="D67" s="14">
        <f>270.58</f>
        <v>270.58</v>
      </c>
      <c r="E67" s="14">
        <f>4.45</f>
        <v>4.45</v>
      </c>
      <c r="F67" s="12"/>
      <c r="G67" s="14">
        <f>113.9</f>
        <v>113.9</v>
      </c>
      <c r="H67" s="14">
        <f>46.04</f>
        <v>46.04</v>
      </c>
      <c r="I67" s="12"/>
      <c r="J67" s="12"/>
      <c r="K67" s="12"/>
      <c r="L67" s="14">
        <f t="shared" si="25"/>
        <v>43.497</v>
      </c>
      <c r="M67" s="14">
        <f t="shared" si="26"/>
        <v>43.497</v>
      </c>
      <c r="N67" s="14">
        <f t="shared" si="27"/>
        <v>521.964</v>
      </c>
      <c r="P67" s="11" t="s">
        <v>63</v>
      </c>
      <c r="Q67" s="14">
        <v>0.0</v>
      </c>
    </row>
    <row r="68" ht="15.75" customHeight="1">
      <c r="A68" s="11" t="s">
        <v>82</v>
      </c>
      <c r="B68" s="14">
        <f>2935.42</f>
        <v>2935.42</v>
      </c>
      <c r="C68" s="14">
        <f>5826.06</f>
        <v>5826.06</v>
      </c>
      <c r="D68" s="14">
        <f>4771.9</f>
        <v>4771.9</v>
      </c>
      <c r="E68" s="14">
        <f>7808.67</f>
        <v>7808.67</v>
      </c>
      <c r="F68" s="14">
        <f>3032.29</f>
        <v>3032.29</v>
      </c>
      <c r="G68" s="14">
        <f>4022.53</f>
        <v>4022.53</v>
      </c>
      <c r="H68" s="14">
        <f>9058.51</f>
        <v>9058.51</v>
      </c>
      <c r="I68" s="14">
        <f>2703.1</f>
        <v>2703.1</v>
      </c>
      <c r="J68" s="14">
        <f>2625.41</f>
        <v>2625.41</v>
      </c>
      <c r="K68" s="14">
        <f>7239.87</f>
        <v>7239.87</v>
      </c>
      <c r="L68" s="14">
        <f t="shared" si="25"/>
        <v>5002.376</v>
      </c>
      <c r="M68" s="14">
        <f t="shared" si="26"/>
        <v>5002.376</v>
      </c>
      <c r="N68" s="14">
        <f t="shared" si="27"/>
        <v>60028.512</v>
      </c>
      <c r="P68" s="11" t="s">
        <v>79</v>
      </c>
      <c r="Q68" s="14">
        <v>0.0</v>
      </c>
    </row>
    <row r="69" ht="15.75" customHeight="1">
      <c r="A69" s="11" t="s">
        <v>49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4">
        <f t="shared" si="25"/>
        <v>0</v>
      </c>
      <c r="M69" s="14">
        <f t="shared" si="26"/>
        <v>0</v>
      </c>
      <c r="N69" s="14">
        <f t="shared" si="27"/>
        <v>0</v>
      </c>
      <c r="P69" s="11" t="s">
        <v>80</v>
      </c>
      <c r="Q69" s="14">
        <v>0.0</v>
      </c>
    </row>
    <row r="70" ht="15.75" customHeight="1">
      <c r="A70" s="11" t="s">
        <v>83</v>
      </c>
      <c r="B70" s="12"/>
      <c r="C70" s="12"/>
      <c r="D70" s="12"/>
      <c r="E70" s="14">
        <f>398.57</f>
        <v>398.57</v>
      </c>
      <c r="F70" s="12"/>
      <c r="G70" s="12"/>
      <c r="H70" s="12"/>
      <c r="I70" s="12"/>
      <c r="J70" s="14">
        <f>6099.75</f>
        <v>6099.75</v>
      </c>
      <c r="K70" s="14">
        <f>38.88</f>
        <v>38.88</v>
      </c>
      <c r="L70" s="14">
        <f t="shared" si="25"/>
        <v>653.72</v>
      </c>
      <c r="M70" s="14">
        <f t="shared" si="26"/>
        <v>653.72</v>
      </c>
      <c r="N70" s="14">
        <f t="shared" si="27"/>
        <v>7844.64</v>
      </c>
      <c r="P70" s="11" t="s">
        <v>81</v>
      </c>
      <c r="Q70" s="14">
        <v>0.0</v>
      </c>
    </row>
    <row r="71" ht="15.75" customHeight="1">
      <c r="A71" s="11" t="s">
        <v>84</v>
      </c>
      <c r="B71" s="12"/>
      <c r="C71" s="12"/>
      <c r="D71" s="14">
        <f>2564.38</f>
        <v>2564.38</v>
      </c>
      <c r="E71" s="14">
        <f>196</f>
        <v>196</v>
      </c>
      <c r="F71" s="14">
        <f>359</f>
        <v>359</v>
      </c>
      <c r="G71" s="14">
        <f>10270.31</f>
        <v>10270.31</v>
      </c>
      <c r="H71" s="14">
        <f>85</f>
        <v>85</v>
      </c>
      <c r="I71" s="14">
        <f>184.34</f>
        <v>184.34</v>
      </c>
      <c r="J71" s="14">
        <f>169.63</f>
        <v>169.63</v>
      </c>
      <c r="K71" s="14">
        <f>246.64</f>
        <v>246.64</v>
      </c>
      <c r="L71" s="14">
        <f t="shared" si="25"/>
        <v>1407.53</v>
      </c>
      <c r="M71" s="14">
        <f t="shared" si="26"/>
        <v>1407.53</v>
      </c>
      <c r="N71" s="14">
        <f t="shared" si="27"/>
        <v>16890.36</v>
      </c>
      <c r="P71" s="11" t="s">
        <v>47</v>
      </c>
      <c r="Q71" s="14">
        <v>1000.0000000000001</v>
      </c>
    </row>
    <row r="72" ht="15.75" customHeight="1">
      <c r="A72" s="11" t="s">
        <v>85</v>
      </c>
      <c r="B72" s="16">
        <f t="shared" ref="B72:M72" si="31">((B69)+(B70))+(B71)</f>
        <v>0</v>
      </c>
      <c r="C72" s="16">
        <f t="shared" si="31"/>
        <v>0</v>
      </c>
      <c r="D72" s="16">
        <f t="shared" si="31"/>
        <v>2564.38</v>
      </c>
      <c r="E72" s="16">
        <f t="shared" si="31"/>
        <v>594.57</v>
      </c>
      <c r="F72" s="16">
        <f t="shared" si="31"/>
        <v>359</v>
      </c>
      <c r="G72" s="16">
        <f t="shared" si="31"/>
        <v>10270.31</v>
      </c>
      <c r="H72" s="16">
        <f t="shared" si="31"/>
        <v>85</v>
      </c>
      <c r="I72" s="16">
        <f t="shared" si="31"/>
        <v>184.34</v>
      </c>
      <c r="J72" s="16">
        <f t="shared" si="31"/>
        <v>6269.38</v>
      </c>
      <c r="K72" s="16">
        <f t="shared" si="31"/>
        <v>285.52</v>
      </c>
      <c r="L72" s="16">
        <f t="shared" si="31"/>
        <v>2061.25</v>
      </c>
      <c r="M72" s="16">
        <f t="shared" si="31"/>
        <v>2061.25</v>
      </c>
      <c r="N72" s="16">
        <f t="shared" si="27"/>
        <v>24735</v>
      </c>
      <c r="P72" s="11" t="s">
        <v>82</v>
      </c>
      <c r="Q72" s="14">
        <v>75000.0</v>
      </c>
    </row>
    <row r="73" ht="15.75" customHeight="1">
      <c r="A73" s="11" t="s">
        <v>86</v>
      </c>
      <c r="B73" s="12"/>
      <c r="C73" s="12"/>
      <c r="D73" s="12"/>
      <c r="E73" s="12"/>
      <c r="F73" s="12"/>
      <c r="G73" s="12"/>
      <c r="H73" s="14">
        <f>6.99</f>
        <v>6.99</v>
      </c>
      <c r="I73" s="14">
        <f>2313.45</f>
        <v>2313.45</v>
      </c>
      <c r="J73" s="14">
        <f>8879.94</f>
        <v>8879.94</v>
      </c>
      <c r="K73" s="14">
        <f>3977.63</f>
        <v>3977.63</v>
      </c>
      <c r="L73" s="14">
        <f>SUM(B73:K73)/10</f>
        <v>1517.801</v>
      </c>
      <c r="M73" s="14">
        <f>SUM(B73:K73)/10</f>
        <v>1517.801</v>
      </c>
      <c r="N73" s="14">
        <f t="shared" si="27"/>
        <v>18213.612</v>
      </c>
      <c r="P73" s="11" t="s">
        <v>49</v>
      </c>
      <c r="Q73" s="14">
        <v>0.0</v>
      </c>
    </row>
    <row r="74" ht="15.75" customHeight="1">
      <c r="A74" s="11" t="s">
        <v>88</v>
      </c>
      <c r="B74" s="16">
        <f t="shared" ref="B74:M74" si="32">((((((((((((((B56)+(B57))+(B58))+(B59))+(B60))+(B61))+(B62))+(B63))+(B64))+(B65))+(B66))+(B67))+(B68))+(B72))+(B73)</f>
        <v>13681.2</v>
      </c>
      <c r="C74" s="16">
        <f t="shared" si="32"/>
        <v>21481.33</v>
      </c>
      <c r="D74" s="16">
        <f t="shared" si="32"/>
        <v>11790.09</v>
      </c>
      <c r="E74" s="16">
        <f t="shared" si="32"/>
        <v>12912.47</v>
      </c>
      <c r="F74" s="16">
        <f t="shared" si="32"/>
        <v>7239.16</v>
      </c>
      <c r="G74" s="16">
        <f t="shared" si="32"/>
        <v>18588.83</v>
      </c>
      <c r="H74" s="16">
        <f t="shared" si="32"/>
        <v>5626.19</v>
      </c>
      <c r="I74" s="16">
        <f t="shared" si="32"/>
        <v>9288.83</v>
      </c>
      <c r="J74" s="16">
        <f t="shared" si="32"/>
        <v>23460.45</v>
      </c>
      <c r="K74" s="16">
        <f t="shared" si="32"/>
        <v>19275.76</v>
      </c>
      <c r="L74" s="16">
        <f t="shared" si="32"/>
        <v>14334.431</v>
      </c>
      <c r="M74" s="16">
        <f t="shared" si="32"/>
        <v>14334.431</v>
      </c>
      <c r="N74" s="16">
        <f t="shared" si="27"/>
        <v>172013.172</v>
      </c>
      <c r="P74" s="11" t="s">
        <v>83</v>
      </c>
      <c r="Q74" s="14">
        <v>25000.0</v>
      </c>
    </row>
    <row r="75" ht="15.75" customHeight="1">
      <c r="A75" s="11" t="s">
        <v>89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4"/>
      <c r="P75" s="11" t="s">
        <v>84</v>
      </c>
      <c r="Q75" s="14">
        <v>35000.0</v>
      </c>
    </row>
    <row r="76" ht="15.75" customHeight="1">
      <c r="A76" s="11" t="s">
        <v>90</v>
      </c>
      <c r="B76" s="14">
        <f>6274.37</f>
        <v>6274.37</v>
      </c>
      <c r="C76" s="14">
        <f>9304.53</f>
        <v>9304.53</v>
      </c>
      <c r="D76" s="14">
        <f>2760.65</f>
        <v>2760.65</v>
      </c>
      <c r="E76" s="14">
        <f>3882.25</f>
        <v>3882.25</v>
      </c>
      <c r="F76" s="14">
        <f>1584.58</f>
        <v>1584.58</v>
      </c>
      <c r="G76" s="14">
        <f>810.45</f>
        <v>810.45</v>
      </c>
      <c r="H76" s="14">
        <f>2813.65</f>
        <v>2813.65</v>
      </c>
      <c r="I76" s="14">
        <f>900.78</f>
        <v>900.78</v>
      </c>
      <c r="J76" s="14">
        <f>1948.68</f>
        <v>1948.68</v>
      </c>
      <c r="K76" s="14">
        <f>1345.61</f>
        <v>1345.61</v>
      </c>
      <c r="L76" s="14">
        <f t="shared" ref="L76:L79" si="34">SUM(B76:K76)/10</f>
        <v>3162.555</v>
      </c>
      <c r="M76" s="14">
        <f t="shared" ref="M76:M79" si="35">SUM(B76:K76)/10</f>
        <v>3162.555</v>
      </c>
      <c r="N76" s="14">
        <f t="shared" ref="N76:N80" si="36">(((((((((B76)+(C76))+(D76))+(E76))+(F76))+(G76))+(H76))+(I76))+(J76))+(K76)+L76+M76</f>
        <v>37950.66</v>
      </c>
      <c r="P76" s="11" t="s">
        <v>85</v>
      </c>
      <c r="Q76" s="16">
        <v>60000.0</v>
      </c>
    </row>
    <row r="77" ht="15.75" customHeight="1">
      <c r="A77" s="11" t="s">
        <v>91</v>
      </c>
      <c r="B77" s="12"/>
      <c r="C77" s="14">
        <f>132.26</f>
        <v>132.26</v>
      </c>
      <c r="D77" s="14">
        <f>2895.88</f>
        <v>2895.88</v>
      </c>
      <c r="E77" s="14">
        <f>2919.26</f>
        <v>2919.26</v>
      </c>
      <c r="F77" s="14">
        <f>6830.45</f>
        <v>6830.45</v>
      </c>
      <c r="G77" s="14">
        <f>3908.67</f>
        <v>3908.67</v>
      </c>
      <c r="H77" s="14">
        <f>1328.76</f>
        <v>1328.76</v>
      </c>
      <c r="I77" s="14">
        <f>13167.43</f>
        <v>13167.43</v>
      </c>
      <c r="J77" s="14">
        <f t="shared" ref="J77:K77" si="33">3191.49</f>
        <v>3191.49</v>
      </c>
      <c r="K77" s="14">
        <f t="shared" si="33"/>
        <v>3191.49</v>
      </c>
      <c r="L77" s="14">
        <f t="shared" si="34"/>
        <v>3756.569</v>
      </c>
      <c r="M77" s="14">
        <f t="shared" si="35"/>
        <v>3756.569</v>
      </c>
      <c r="N77" s="14">
        <f t="shared" si="36"/>
        <v>45078.828</v>
      </c>
      <c r="P77" s="11" t="s">
        <v>86</v>
      </c>
      <c r="Q77" s="14">
        <v>0.0</v>
      </c>
    </row>
    <row r="78" ht="15.75" customHeight="1">
      <c r="A78" s="11" t="s">
        <v>49</v>
      </c>
      <c r="B78" s="12"/>
      <c r="C78" s="12"/>
      <c r="D78" s="12"/>
      <c r="E78" s="12"/>
      <c r="F78" s="12"/>
      <c r="G78" s="12"/>
      <c r="H78" s="12"/>
      <c r="I78" s="12"/>
      <c r="J78" s="14">
        <f>140.8</f>
        <v>140.8</v>
      </c>
      <c r="K78" s="14">
        <f>65.03</f>
        <v>65.03</v>
      </c>
      <c r="L78" s="14">
        <f t="shared" si="34"/>
        <v>20.583</v>
      </c>
      <c r="M78" s="14">
        <f t="shared" si="35"/>
        <v>20.583</v>
      </c>
      <c r="N78" s="14">
        <f t="shared" si="36"/>
        <v>246.996</v>
      </c>
      <c r="P78" s="11" t="s">
        <v>88</v>
      </c>
      <c r="Q78" s="16">
        <v>237999.99999999994</v>
      </c>
    </row>
    <row r="79" ht="15.75" customHeight="1">
      <c r="A79" s="11" t="s">
        <v>92</v>
      </c>
      <c r="B79" s="12"/>
      <c r="C79" s="12"/>
      <c r="D79" s="12"/>
      <c r="E79" s="12"/>
      <c r="F79" s="14">
        <f>4206.67</f>
        <v>4206.67</v>
      </c>
      <c r="G79" s="14">
        <f t="shared" ref="G79:K79" si="37">1051.67</f>
        <v>1051.67</v>
      </c>
      <c r="H79" s="14">
        <f t="shared" si="37"/>
        <v>1051.67</v>
      </c>
      <c r="I79" s="14">
        <f t="shared" si="37"/>
        <v>1051.67</v>
      </c>
      <c r="J79" s="14">
        <f t="shared" si="37"/>
        <v>1051.67</v>
      </c>
      <c r="K79" s="14">
        <f t="shared" si="37"/>
        <v>1051.67</v>
      </c>
      <c r="L79" s="14">
        <f t="shared" si="34"/>
        <v>946.502</v>
      </c>
      <c r="M79" s="14">
        <f t="shared" si="35"/>
        <v>946.502</v>
      </c>
      <c r="N79" s="14">
        <f t="shared" si="36"/>
        <v>11358.024</v>
      </c>
      <c r="P79" s="11" t="s">
        <v>89</v>
      </c>
      <c r="Q79" s="14">
        <v>0.0</v>
      </c>
    </row>
    <row r="80" ht="15.75" customHeight="1">
      <c r="A80" s="11" t="s">
        <v>93</v>
      </c>
      <c r="B80" s="16">
        <f t="shared" ref="B80:M80" si="38">((((B75)+(B76))+(B77))+(B78))+(B79)</f>
        <v>6274.37</v>
      </c>
      <c r="C80" s="16">
        <f t="shared" si="38"/>
        <v>9436.79</v>
      </c>
      <c r="D80" s="16">
        <f t="shared" si="38"/>
        <v>5656.53</v>
      </c>
      <c r="E80" s="16">
        <f t="shared" si="38"/>
        <v>6801.51</v>
      </c>
      <c r="F80" s="16">
        <f t="shared" si="38"/>
        <v>12621.7</v>
      </c>
      <c r="G80" s="16">
        <f t="shared" si="38"/>
        <v>5770.79</v>
      </c>
      <c r="H80" s="16">
        <f t="shared" si="38"/>
        <v>5194.08</v>
      </c>
      <c r="I80" s="16">
        <f t="shared" si="38"/>
        <v>15119.88</v>
      </c>
      <c r="J80" s="16">
        <f t="shared" si="38"/>
        <v>6332.64</v>
      </c>
      <c r="K80" s="16">
        <f t="shared" si="38"/>
        <v>5653.8</v>
      </c>
      <c r="L80" s="16">
        <f t="shared" si="38"/>
        <v>7886.209</v>
      </c>
      <c r="M80" s="16">
        <f t="shared" si="38"/>
        <v>7886.209</v>
      </c>
      <c r="N80" s="16">
        <f t="shared" si="36"/>
        <v>94634.508</v>
      </c>
      <c r="P80" s="11" t="s">
        <v>56</v>
      </c>
      <c r="Q80" s="14">
        <v>0.0</v>
      </c>
    </row>
    <row r="81" ht="15.75" customHeight="1">
      <c r="A81" s="11" t="s">
        <v>94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4"/>
      <c r="P81" s="11" t="s">
        <v>90</v>
      </c>
      <c r="Q81" s="14">
        <v>60000.0</v>
      </c>
    </row>
    <row r="82" ht="15.75" customHeight="1">
      <c r="A82" s="11" t="s">
        <v>95</v>
      </c>
      <c r="B82" s="14">
        <f>10620.61</f>
        <v>10620.61</v>
      </c>
      <c r="C82" s="14">
        <f>9613.48</f>
        <v>9613.48</v>
      </c>
      <c r="D82" s="14">
        <f>10006.13</f>
        <v>10006.13</v>
      </c>
      <c r="E82" s="14">
        <f>9163.65</f>
        <v>9163.65</v>
      </c>
      <c r="F82" s="14">
        <f>10722.97</f>
        <v>10722.97</v>
      </c>
      <c r="G82" s="14">
        <f>10383.36</f>
        <v>10383.36</v>
      </c>
      <c r="H82" s="14">
        <f>11522.97</f>
        <v>11522.97</v>
      </c>
      <c r="I82" s="14">
        <f>10722.97</f>
        <v>10722.97</v>
      </c>
      <c r="J82" s="14">
        <f>10383.36</f>
        <v>10383.36</v>
      </c>
      <c r="K82" s="14">
        <f>10722.97</f>
        <v>10722.97</v>
      </c>
      <c r="L82" s="14">
        <f t="shared" ref="L82:L87" si="41">SUM(B82:K82)/10</f>
        <v>10386.247</v>
      </c>
      <c r="M82" s="14">
        <f t="shared" ref="M82:M87" si="42">SUM(B82:K82)/10</f>
        <v>10386.247</v>
      </c>
      <c r="N82" s="14">
        <f t="shared" ref="N82:N88" si="43">(((((((((B82)+(C82))+(D82))+(E82))+(F82))+(G82))+(H82))+(I82))+(J82))+(K82)+L82+M82</f>
        <v>124634.964</v>
      </c>
      <c r="P82" s="11" t="s">
        <v>91</v>
      </c>
      <c r="Q82" s="14">
        <v>49999.999999999985</v>
      </c>
    </row>
    <row r="83" ht="15.75" customHeight="1">
      <c r="A83" s="11" t="s">
        <v>97</v>
      </c>
      <c r="B83" s="14">
        <f t="shared" ref="B83:C83" si="39">51608.33</f>
        <v>51608.33</v>
      </c>
      <c r="C83" s="14">
        <f t="shared" si="39"/>
        <v>51608.33</v>
      </c>
      <c r="D83" s="14">
        <f>49303.69</f>
        <v>49303.69</v>
      </c>
      <c r="E83" s="14">
        <f>59807.74</f>
        <v>59807.74</v>
      </c>
      <c r="F83" s="14">
        <f>47066.67</f>
        <v>47066.67</v>
      </c>
      <c r="G83" s="14">
        <f>48401.81</f>
        <v>48401.81</v>
      </c>
      <c r="H83" s="14">
        <f t="shared" ref="H83:I83" si="40">47621.25</f>
        <v>47621.25</v>
      </c>
      <c r="I83" s="14">
        <f t="shared" si="40"/>
        <v>47621.25</v>
      </c>
      <c r="J83" s="14">
        <f>47066.66</f>
        <v>47066.66</v>
      </c>
      <c r="K83" s="14">
        <f>47066.67</f>
        <v>47066.67</v>
      </c>
      <c r="L83" s="14">
        <f t="shared" si="41"/>
        <v>49717.24</v>
      </c>
      <c r="M83" s="14">
        <f t="shared" si="42"/>
        <v>49717.24</v>
      </c>
      <c r="N83" s="14">
        <f t="shared" si="43"/>
        <v>596606.88</v>
      </c>
      <c r="P83" s="11" t="s">
        <v>48</v>
      </c>
      <c r="Q83" s="14">
        <v>0.0</v>
      </c>
    </row>
    <row r="84" ht="15.75" customHeight="1">
      <c r="A84" s="11" t="s">
        <v>99</v>
      </c>
      <c r="B84" s="14">
        <f>1917.66</f>
        <v>1917.66</v>
      </c>
      <c r="C84" s="14">
        <f>1732.08</f>
        <v>1732.08</v>
      </c>
      <c r="D84" s="14">
        <f>1752.7</f>
        <v>1752.7</v>
      </c>
      <c r="E84" s="14">
        <f>240.16</f>
        <v>240.16</v>
      </c>
      <c r="F84" s="14">
        <f>232.41</f>
        <v>232.41</v>
      </c>
      <c r="G84" s="14">
        <f>226.66</f>
        <v>226.66</v>
      </c>
      <c r="H84" s="14">
        <f t="shared" ref="H84:I84" si="44">232.41</f>
        <v>232.41</v>
      </c>
      <c r="I84" s="14">
        <f t="shared" si="44"/>
        <v>232.41</v>
      </c>
      <c r="J84" s="14">
        <f>226.66</f>
        <v>226.66</v>
      </c>
      <c r="K84" s="14">
        <f>232.41</f>
        <v>232.41</v>
      </c>
      <c r="L84" s="14">
        <f t="shared" si="41"/>
        <v>702.556</v>
      </c>
      <c r="M84" s="14">
        <f t="shared" si="42"/>
        <v>702.556</v>
      </c>
      <c r="N84" s="14">
        <f t="shared" si="43"/>
        <v>8430.672</v>
      </c>
      <c r="P84" s="11" t="s">
        <v>49</v>
      </c>
      <c r="Q84" s="14">
        <v>0.0</v>
      </c>
    </row>
    <row r="85" ht="15.75" customHeight="1">
      <c r="A85" s="11" t="s">
        <v>101</v>
      </c>
      <c r="B85" s="14">
        <f>5811.39</f>
        <v>5811.39</v>
      </c>
      <c r="C85" s="14">
        <f>4680.74</f>
        <v>4680.74</v>
      </c>
      <c r="D85" s="14">
        <f>4156.36</f>
        <v>4156.36</v>
      </c>
      <c r="E85" s="14">
        <f>5143.54</f>
        <v>5143.54</v>
      </c>
      <c r="F85" s="14">
        <f>3770.81</f>
        <v>3770.81</v>
      </c>
      <c r="G85" s="14">
        <f t="shared" ref="G85:K85" si="45">3600.61</f>
        <v>3600.61</v>
      </c>
      <c r="H85" s="14">
        <f t="shared" si="45"/>
        <v>3600.61</v>
      </c>
      <c r="I85" s="14">
        <f t="shared" si="45"/>
        <v>3600.61</v>
      </c>
      <c r="J85" s="14">
        <f t="shared" si="45"/>
        <v>3600.61</v>
      </c>
      <c r="K85" s="14">
        <f t="shared" si="45"/>
        <v>3600.61</v>
      </c>
      <c r="L85" s="14">
        <f t="shared" si="41"/>
        <v>4156.589</v>
      </c>
      <c r="M85" s="14">
        <f t="shared" si="42"/>
        <v>4156.589</v>
      </c>
      <c r="N85" s="14">
        <f t="shared" si="43"/>
        <v>49879.068</v>
      </c>
      <c r="P85" s="11" t="s">
        <v>92</v>
      </c>
      <c r="Q85" s="14">
        <v>30000.0</v>
      </c>
    </row>
    <row r="86" ht="15.75" customHeight="1">
      <c r="A86" s="11" t="s">
        <v>103</v>
      </c>
      <c r="B86" s="14">
        <f>256.9</f>
        <v>256.9</v>
      </c>
      <c r="C86" s="14">
        <f>237.28</f>
        <v>237.28</v>
      </c>
      <c r="D86" s="14">
        <f>239.46</f>
        <v>239.46</v>
      </c>
      <c r="E86" s="14">
        <f>2650.53</f>
        <v>2650.53</v>
      </c>
      <c r="F86" s="14">
        <f>4184.32</f>
        <v>4184.32</v>
      </c>
      <c r="G86" s="14">
        <f>2107.63</f>
        <v>2107.63</v>
      </c>
      <c r="H86" s="14">
        <f t="shared" ref="H86:I86" si="46">2141.78</f>
        <v>2141.78</v>
      </c>
      <c r="I86" s="14">
        <f t="shared" si="46"/>
        <v>2141.78</v>
      </c>
      <c r="J86" s="14">
        <f>2645.16</f>
        <v>2645.16</v>
      </c>
      <c r="K86" s="14">
        <f>2696.36</f>
        <v>2696.36</v>
      </c>
      <c r="L86" s="14">
        <f t="shared" si="41"/>
        <v>1930.12</v>
      </c>
      <c r="M86" s="14">
        <f t="shared" si="42"/>
        <v>1930.12</v>
      </c>
      <c r="N86" s="14">
        <f t="shared" si="43"/>
        <v>23161.44</v>
      </c>
      <c r="P86" s="11" t="s">
        <v>93</v>
      </c>
      <c r="Q86" s="16">
        <v>140000.0</v>
      </c>
    </row>
    <row r="87" ht="15.75" customHeight="1">
      <c r="A87" s="11" t="s">
        <v>104</v>
      </c>
      <c r="B87" s="14">
        <f>336.35</f>
        <v>336.35</v>
      </c>
      <c r="C87" s="14">
        <f>326.62</f>
        <v>326.62</v>
      </c>
      <c r="D87" s="14">
        <f>324.01</f>
        <v>324.01</v>
      </c>
      <c r="E87" s="14">
        <f>309.53</f>
        <v>309.53</v>
      </c>
      <c r="F87" s="14">
        <f>305.01</f>
        <v>305.01</v>
      </c>
      <c r="G87" s="14">
        <f>302.27</f>
        <v>302.27</v>
      </c>
      <c r="H87" s="14">
        <f t="shared" ref="H87:I87" si="47">305.01</f>
        <v>305.01</v>
      </c>
      <c r="I87" s="14">
        <f t="shared" si="47"/>
        <v>305.01</v>
      </c>
      <c r="J87" s="14">
        <f>302.27</f>
        <v>302.27</v>
      </c>
      <c r="K87" s="14">
        <f>305.01</f>
        <v>305.01</v>
      </c>
      <c r="L87" s="14">
        <f t="shared" si="41"/>
        <v>312.109</v>
      </c>
      <c r="M87" s="14">
        <f t="shared" si="42"/>
        <v>312.109</v>
      </c>
      <c r="N87" s="14">
        <f t="shared" si="43"/>
        <v>3745.308</v>
      </c>
      <c r="P87" s="11" t="s">
        <v>94</v>
      </c>
      <c r="Q87" s="14">
        <v>0.0</v>
      </c>
    </row>
    <row r="88" ht="15.75" customHeight="1">
      <c r="A88" s="11" t="s">
        <v>105</v>
      </c>
      <c r="B88" s="16">
        <f t="shared" ref="B88:M88" si="48">((((((B81)+(B82))+(B83))+(B84))+(B85))+(B86))+(B87)</f>
        <v>70551.24</v>
      </c>
      <c r="C88" s="16">
        <f t="shared" si="48"/>
        <v>68198.53</v>
      </c>
      <c r="D88" s="16">
        <f t="shared" si="48"/>
        <v>65782.35</v>
      </c>
      <c r="E88" s="16">
        <f t="shared" si="48"/>
        <v>77315.15</v>
      </c>
      <c r="F88" s="16">
        <f t="shared" si="48"/>
        <v>66282.19</v>
      </c>
      <c r="G88" s="16">
        <f t="shared" si="48"/>
        <v>65022.34</v>
      </c>
      <c r="H88" s="16">
        <f t="shared" si="48"/>
        <v>65424.03</v>
      </c>
      <c r="I88" s="16">
        <f t="shared" si="48"/>
        <v>64624.03</v>
      </c>
      <c r="J88" s="16">
        <f t="shared" si="48"/>
        <v>64224.72</v>
      </c>
      <c r="K88" s="16">
        <f t="shared" si="48"/>
        <v>64624.03</v>
      </c>
      <c r="L88" s="16">
        <f t="shared" si="48"/>
        <v>67204.861</v>
      </c>
      <c r="M88" s="16">
        <f t="shared" si="48"/>
        <v>67204.861</v>
      </c>
      <c r="N88" s="16">
        <f t="shared" si="43"/>
        <v>806458.332</v>
      </c>
      <c r="P88" s="11" t="s">
        <v>95</v>
      </c>
      <c r="Q88" s="14">
        <v>0.0</v>
      </c>
    </row>
    <row r="89" ht="15.75" customHeight="1">
      <c r="A89" s="11" t="s">
        <v>106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4"/>
      <c r="P89" s="11" t="s">
        <v>97</v>
      </c>
      <c r="Q89" s="14">
        <v>856505.0000000001</v>
      </c>
    </row>
    <row r="90" ht="15.75" customHeight="1">
      <c r="A90" s="23" t="s">
        <v>107</v>
      </c>
      <c r="B90" s="14">
        <f>989.47</f>
        <v>989.47</v>
      </c>
      <c r="C90" s="14">
        <f>247.99</f>
        <v>247.99</v>
      </c>
      <c r="D90" s="14">
        <f>5.96</f>
        <v>5.96</v>
      </c>
      <c r="E90" s="12"/>
      <c r="F90" s="12"/>
      <c r="G90" s="12"/>
      <c r="H90" s="12"/>
      <c r="I90" s="12"/>
      <c r="J90" s="12"/>
      <c r="K90" s="12"/>
      <c r="L90" s="14">
        <f t="shared" ref="L90:L92" si="49">SUM(B90:K90)/10</f>
        <v>124.342</v>
      </c>
      <c r="M90" s="14">
        <f t="shared" ref="M90:M92" si="50">SUM(B90:K90)/10</f>
        <v>124.342</v>
      </c>
      <c r="N90" s="14">
        <f t="shared" ref="N90:N98" si="51">(((((((((B90)+(C90))+(D90))+(E90))+(F90))+(G90))+(H90))+(I90))+(J90))+(K90)+L90+M90</f>
        <v>1492.104</v>
      </c>
      <c r="P90" s="11" t="s">
        <v>99</v>
      </c>
      <c r="Q90" s="14">
        <v>0.0</v>
      </c>
    </row>
    <row r="91" ht="15.75" customHeight="1">
      <c r="A91" s="11" t="s">
        <v>108</v>
      </c>
      <c r="B91" s="14">
        <f>9370</f>
        <v>9370</v>
      </c>
      <c r="C91" s="14">
        <f>9000</f>
        <v>9000</v>
      </c>
      <c r="D91" s="14">
        <f>18000</f>
        <v>18000</v>
      </c>
      <c r="E91" s="14">
        <f>0</f>
        <v>0</v>
      </c>
      <c r="F91" s="14">
        <f>11500</f>
        <v>11500</v>
      </c>
      <c r="G91" s="14">
        <f>16990</f>
        <v>16990</v>
      </c>
      <c r="H91" s="14">
        <f>14490</f>
        <v>14490</v>
      </c>
      <c r="I91" s="14">
        <f>37490</f>
        <v>37490</v>
      </c>
      <c r="J91" s="14">
        <f>5490</f>
        <v>5490</v>
      </c>
      <c r="K91" s="14">
        <f>8190</f>
        <v>8190</v>
      </c>
      <c r="L91" s="14">
        <f t="shared" si="49"/>
        <v>13052</v>
      </c>
      <c r="M91" s="14">
        <f t="shared" si="50"/>
        <v>13052</v>
      </c>
      <c r="N91" s="14">
        <f t="shared" si="51"/>
        <v>156624</v>
      </c>
      <c r="O91" s="41" t="s">
        <v>138</v>
      </c>
      <c r="P91" s="11" t="s">
        <v>101</v>
      </c>
      <c r="Q91" s="14">
        <v>73000.0</v>
      </c>
    </row>
    <row r="92" ht="15.75" customHeight="1">
      <c r="A92" s="11" t="s">
        <v>110</v>
      </c>
      <c r="B92" s="14">
        <f>1386.07</f>
        <v>1386.07</v>
      </c>
      <c r="C92" s="14">
        <f>23309.59</f>
        <v>23309.59</v>
      </c>
      <c r="D92" s="14">
        <f>4875.19</f>
        <v>4875.19</v>
      </c>
      <c r="E92" s="14">
        <f>581.6</f>
        <v>581.6</v>
      </c>
      <c r="F92" s="14">
        <f>385.07</f>
        <v>385.07</v>
      </c>
      <c r="G92" s="14">
        <f>601</f>
        <v>601</v>
      </c>
      <c r="H92" s="14">
        <f>193</f>
        <v>193</v>
      </c>
      <c r="I92" s="14">
        <f>3280.94</f>
        <v>3280.94</v>
      </c>
      <c r="J92" s="14">
        <f>7422.37</f>
        <v>7422.37</v>
      </c>
      <c r="K92" s="14">
        <f>3920.1</f>
        <v>3920.1</v>
      </c>
      <c r="L92" s="14">
        <f t="shared" si="49"/>
        <v>4595.493</v>
      </c>
      <c r="M92" s="14">
        <f t="shared" si="50"/>
        <v>4595.493</v>
      </c>
      <c r="N92" s="14">
        <f t="shared" si="51"/>
        <v>55145.916</v>
      </c>
      <c r="P92" s="11" t="s">
        <v>103</v>
      </c>
      <c r="Q92" s="14">
        <v>0.0</v>
      </c>
    </row>
    <row r="93" ht="15.75" customHeight="1">
      <c r="A93" s="11" t="s">
        <v>111</v>
      </c>
      <c r="B93" s="16">
        <f t="shared" ref="B93:M93" si="52">(((B89)+(B90))+(B91))+(B92)</f>
        <v>11745.54</v>
      </c>
      <c r="C93" s="16">
        <f t="shared" si="52"/>
        <v>32557.58</v>
      </c>
      <c r="D93" s="16">
        <f t="shared" si="52"/>
        <v>22881.15</v>
      </c>
      <c r="E93" s="16">
        <f t="shared" si="52"/>
        <v>581.6</v>
      </c>
      <c r="F93" s="16">
        <f t="shared" si="52"/>
        <v>11885.07</v>
      </c>
      <c r="G93" s="16">
        <f t="shared" si="52"/>
        <v>17591</v>
      </c>
      <c r="H93" s="16">
        <f t="shared" si="52"/>
        <v>14683</v>
      </c>
      <c r="I93" s="16">
        <f t="shared" si="52"/>
        <v>40770.94</v>
      </c>
      <c r="J93" s="16">
        <f t="shared" si="52"/>
        <v>12912.37</v>
      </c>
      <c r="K93" s="16">
        <f t="shared" si="52"/>
        <v>12110.1</v>
      </c>
      <c r="L93" s="16">
        <f t="shared" si="52"/>
        <v>17771.835</v>
      </c>
      <c r="M93" s="16">
        <f t="shared" si="52"/>
        <v>17771.835</v>
      </c>
      <c r="N93" s="16">
        <f t="shared" si="51"/>
        <v>213262.02</v>
      </c>
      <c r="P93" s="11" t="s">
        <v>104</v>
      </c>
      <c r="Q93" s="14">
        <v>0.0</v>
      </c>
    </row>
    <row r="94" ht="15.75" customHeight="1">
      <c r="A94" s="11" t="s">
        <v>112</v>
      </c>
      <c r="B94" s="12"/>
      <c r="C94" s="14">
        <f>29933.85</f>
        <v>29933.85</v>
      </c>
      <c r="D94" s="14">
        <f>287.48</f>
        <v>287.48</v>
      </c>
      <c r="E94" s="14">
        <f>517.08</f>
        <v>517.08</v>
      </c>
      <c r="F94" s="14">
        <f>12209.11</f>
        <v>12209.11</v>
      </c>
      <c r="G94" s="12"/>
      <c r="H94" s="14">
        <f>3357.71</f>
        <v>3357.71</v>
      </c>
      <c r="I94" s="14">
        <f>16677.16</f>
        <v>16677.16</v>
      </c>
      <c r="J94" s="14">
        <f>208.41</f>
        <v>208.41</v>
      </c>
      <c r="K94" s="14">
        <f>1473.09</f>
        <v>1473.09</v>
      </c>
      <c r="L94" s="14">
        <f t="shared" ref="L94:L95" si="53">SUM(B94:K94)/10</f>
        <v>6466.389</v>
      </c>
      <c r="M94" s="14">
        <f t="shared" ref="M94:M95" si="54">SUM(B94:K94)/10</f>
        <v>6466.389</v>
      </c>
      <c r="N94" s="14">
        <f t="shared" si="51"/>
        <v>77596.668</v>
      </c>
      <c r="P94" s="11" t="s">
        <v>105</v>
      </c>
      <c r="Q94" s="16">
        <v>929505.0</v>
      </c>
    </row>
    <row r="95" ht="15.75" customHeight="1">
      <c r="A95" s="11" t="s">
        <v>49</v>
      </c>
      <c r="B95" s="12"/>
      <c r="C95" s="12"/>
      <c r="D95" s="12"/>
      <c r="E95" s="12"/>
      <c r="F95" s="12"/>
      <c r="G95" s="12"/>
      <c r="H95" s="12"/>
      <c r="I95" s="12"/>
      <c r="J95" s="14">
        <f>6842.26</f>
        <v>6842.26</v>
      </c>
      <c r="K95" s="12"/>
      <c r="L95" s="14">
        <f t="shared" si="53"/>
        <v>684.226</v>
      </c>
      <c r="M95" s="14">
        <f t="shared" si="54"/>
        <v>684.226</v>
      </c>
      <c r="N95" s="14">
        <f t="shared" si="51"/>
        <v>8210.712</v>
      </c>
      <c r="P95" s="11" t="s">
        <v>106</v>
      </c>
      <c r="Q95" s="14">
        <v>0.0</v>
      </c>
    </row>
    <row r="96" ht="15.75" customHeight="1">
      <c r="A96" s="11" t="s">
        <v>113</v>
      </c>
      <c r="B96" s="16">
        <f t="shared" ref="B96:M96" si="55">(B94)+(B95)</f>
        <v>0</v>
      </c>
      <c r="C96" s="16">
        <f t="shared" si="55"/>
        <v>29933.85</v>
      </c>
      <c r="D96" s="16">
        <f t="shared" si="55"/>
        <v>287.48</v>
      </c>
      <c r="E96" s="16">
        <f t="shared" si="55"/>
        <v>517.08</v>
      </c>
      <c r="F96" s="16">
        <f t="shared" si="55"/>
        <v>12209.11</v>
      </c>
      <c r="G96" s="16">
        <f t="shared" si="55"/>
        <v>0</v>
      </c>
      <c r="H96" s="16">
        <f t="shared" si="55"/>
        <v>3357.71</v>
      </c>
      <c r="I96" s="16">
        <f t="shared" si="55"/>
        <v>16677.16</v>
      </c>
      <c r="J96" s="16">
        <f t="shared" si="55"/>
        <v>7050.67</v>
      </c>
      <c r="K96" s="16">
        <f t="shared" si="55"/>
        <v>1473.09</v>
      </c>
      <c r="L96" s="16">
        <f t="shared" si="55"/>
        <v>7150.615</v>
      </c>
      <c r="M96" s="16">
        <f t="shared" si="55"/>
        <v>7150.615</v>
      </c>
      <c r="N96" s="16">
        <f t="shared" si="51"/>
        <v>85807.38</v>
      </c>
      <c r="P96" s="11" t="s">
        <v>107</v>
      </c>
      <c r="Q96" s="14">
        <v>15000.0</v>
      </c>
    </row>
    <row r="97" ht="15.75" customHeight="1">
      <c r="A97" s="11" t="s">
        <v>114</v>
      </c>
      <c r="B97" s="16">
        <f t="shared" ref="B97:M97" si="56">((((((B31)+(B55))+(B74))+(B80))+(B88))+(B93))+(B96)</f>
        <v>111950.48</v>
      </c>
      <c r="C97" s="16">
        <f t="shared" si="56"/>
        <v>358449.73</v>
      </c>
      <c r="D97" s="16">
        <f t="shared" si="56"/>
        <v>205473.58</v>
      </c>
      <c r="E97" s="16">
        <f t="shared" si="56"/>
        <v>255830.79</v>
      </c>
      <c r="F97" s="16">
        <f t="shared" si="56"/>
        <v>363474.3</v>
      </c>
      <c r="G97" s="16">
        <f t="shared" si="56"/>
        <v>141342.32</v>
      </c>
      <c r="H97" s="16">
        <f t="shared" si="56"/>
        <v>98956</v>
      </c>
      <c r="I97" s="16">
        <f t="shared" si="56"/>
        <v>226507.26</v>
      </c>
      <c r="J97" s="16">
        <f t="shared" si="56"/>
        <v>175845.84</v>
      </c>
      <c r="K97" s="16">
        <f t="shared" si="56"/>
        <v>258421.87</v>
      </c>
      <c r="L97" s="16">
        <f t="shared" si="56"/>
        <v>219625.217</v>
      </c>
      <c r="M97" s="16">
        <f t="shared" si="56"/>
        <v>219625.217</v>
      </c>
      <c r="N97" s="16">
        <f t="shared" si="51"/>
        <v>2635502.604</v>
      </c>
      <c r="P97" s="11" t="s">
        <v>108</v>
      </c>
      <c r="Q97" s="14">
        <v>111000.0</v>
      </c>
    </row>
    <row r="98" ht="15.75" customHeight="1">
      <c r="A98" s="11" t="s">
        <v>115</v>
      </c>
      <c r="B98" s="16">
        <f t="shared" ref="B98:M98" si="57">(B24)-(B97)</f>
        <v>126217.67</v>
      </c>
      <c r="C98" s="16">
        <f t="shared" si="57"/>
        <v>167337.3</v>
      </c>
      <c r="D98" s="16">
        <f t="shared" si="57"/>
        <v>-69976.9</v>
      </c>
      <c r="E98" s="16">
        <f t="shared" si="57"/>
        <v>-196128.87</v>
      </c>
      <c r="F98" s="16">
        <f t="shared" si="57"/>
        <v>-95028.97</v>
      </c>
      <c r="G98" s="16">
        <f t="shared" si="57"/>
        <v>-66149.68</v>
      </c>
      <c r="H98" s="16">
        <f t="shared" si="57"/>
        <v>-103570.39</v>
      </c>
      <c r="I98" s="16">
        <f t="shared" si="57"/>
        <v>551970.54</v>
      </c>
      <c r="J98" s="16">
        <f t="shared" si="57"/>
        <v>352599.81</v>
      </c>
      <c r="K98" s="16">
        <f t="shared" si="57"/>
        <v>111370.89</v>
      </c>
      <c r="L98" s="16">
        <f t="shared" si="57"/>
        <v>77864.14</v>
      </c>
      <c r="M98" s="16">
        <f t="shared" si="57"/>
        <v>77864.14</v>
      </c>
      <c r="N98" s="16">
        <f t="shared" si="51"/>
        <v>934369.68</v>
      </c>
      <c r="P98" s="11" t="s">
        <v>110</v>
      </c>
      <c r="Q98" s="14">
        <v>36499.99999999999</v>
      </c>
    </row>
    <row r="99" ht="15.75" customHeight="1">
      <c r="A99" s="11" t="s">
        <v>116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P99" s="11" t="s">
        <v>117</v>
      </c>
      <c r="Q99" s="14">
        <v>0.0</v>
      </c>
    </row>
    <row r="100" ht="15.75" customHeight="1">
      <c r="A100" s="11" t="s">
        <v>118</v>
      </c>
      <c r="B100" s="14">
        <f>0.46</f>
        <v>0.46</v>
      </c>
      <c r="C100" s="14">
        <f>0.42</f>
        <v>0.42</v>
      </c>
      <c r="D100" s="14">
        <f>0.46</f>
        <v>0.46</v>
      </c>
      <c r="E100" s="14">
        <f>0.45</f>
        <v>0.45</v>
      </c>
      <c r="F100" s="14">
        <f>0.46</f>
        <v>0.46</v>
      </c>
      <c r="G100" s="14">
        <f>13.23</f>
        <v>13.23</v>
      </c>
      <c r="H100" s="14">
        <f>1.05</f>
        <v>1.05</v>
      </c>
      <c r="I100" s="14">
        <f>2.5</f>
        <v>2.5</v>
      </c>
      <c r="J100" s="14">
        <f>5.27</f>
        <v>5.27</v>
      </c>
      <c r="K100" s="14">
        <f>5.42</f>
        <v>5.42</v>
      </c>
      <c r="L100" s="14">
        <f t="shared" ref="L100:L101" si="58">SUM(B100:K100)/10</f>
        <v>2.972</v>
      </c>
      <c r="M100" s="14">
        <f t="shared" ref="M100:M101" si="59">SUM(B100:K100)/10</f>
        <v>2.972</v>
      </c>
      <c r="N100" s="14">
        <f t="shared" ref="N100:N102" si="60">(((((((((B100)+(C100))+(D100))+(E100))+(F100))+(G100))+(H100))+(I100))+(J100))+(K100)+L100+M100</f>
        <v>35.664</v>
      </c>
      <c r="P100" s="11" t="s">
        <v>111</v>
      </c>
      <c r="Q100" s="16">
        <v>162500.00000000003</v>
      </c>
    </row>
    <row r="101" ht="15.75" customHeight="1">
      <c r="A101" s="11" t="s">
        <v>119</v>
      </c>
      <c r="B101" s="12"/>
      <c r="C101" s="12"/>
      <c r="D101" s="14">
        <f>78.32</f>
        <v>78.32</v>
      </c>
      <c r="E101" s="14">
        <f>50.5</f>
        <v>50.5</v>
      </c>
      <c r="F101" s="12"/>
      <c r="G101" s="12"/>
      <c r="H101" s="12"/>
      <c r="I101" s="12"/>
      <c r="J101" s="12"/>
      <c r="K101" s="12"/>
      <c r="L101" s="14">
        <f t="shared" si="58"/>
        <v>12.882</v>
      </c>
      <c r="M101" s="14">
        <f t="shared" si="59"/>
        <v>12.882</v>
      </c>
      <c r="N101" s="14">
        <f t="shared" si="60"/>
        <v>154.584</v>
      </c>
      <c r="P101" s="11" t="s">
        <v>112</v>
      </c>
      <c r="Q101" s="14">
        <v>78000.0</v>
      </c>
    </row>
    <row r="102" ht="15.75" customHeight="1">
      <c r="A102" s="11" t="s">
        <v>120</v>
      </c>
      <c r="B102" s="16">
        <f t="shared" ref="B102:M102" si="61">(B100)+(B101)</f>
        <v>0.46</v>
      </c>
      <c r="C102" s="16">
        <f t="shared" si="61"/>
        <v>0.42</v>
      </c>
      <c r="D102" s="16">
        <f t="shared" si="61"/>
        <v>78.78</v>
      </c>
      <c r="E102" s="16">
        <f t="shared" si="61"/>
        <v>50.95</v>
      </c>
      <c r="F102" s="16">
        <f t="shared" si="61"/>
        <v>0.46</v>
      </c>
      <c r="G102" s="16">
        <f t="shared" si="61"/>
        <v>13.23</v>
      </c>
      <c r="H102" s="16">
        <f t="shared" si="61"/>
        <v>1.05</v>
      </c>
      <c r="I102" s="16">
        <f t="shared" si="61"/>
        <v>2.5</v>
      </c>
      <c r="J102" s="16">
        <f t="shared" si="61"/>
        <v>5.27</v>
      </c>
      <c r="K102" s="16">
        <f t="shared" si="61"/>
        <v>5.42</v>
      </c>
      <c r="L102" s="16">
        <f t="shared" si="61"/>
        <v>15.854</v>
      </c>
      <c r="M102" s="16">
        <f t="shared" si="61"/>
        <v>15.854</v>
      </c>
      <c r="N102" s="16">
        <f t="shared" si="60"/>
        <v>190.248</v>
      </c>
      <c r="P102" s="11" t="s">
        <v>121</v>
      </c>
      <c r="Q102" s="14">
        <v>0.0</v>
      </c>
    </row>
    <row r="103" ht="15.75" customHeight="1">
      <c r="A103" s="11" t="s">
        <v>122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P103" s="11" t="s">
        <v>49</v>
      </c>
      <c r="Q103" s="14">
        <v>15000.0</v>
      </c>
    </row>
    <row r="104" ht="15.75" customHeight="1">
      <c r="A104" s="11" t="s">
        <v>123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4">
        <f>-113.6</f>
        <v>-113.6</v>
      </c>
      <c r="L104" s="14">
        <f t="shared" ref="L104:L105" si="62">SUM(B104:K104)/10</f>
        <v>-11.36</v>
      </c>
      <c r="M104" s="14">
        <f t="shared" ref="M104:M105" si="63">SUM(B104:K104)/10</f>
        <v>-11.36</v>
      </c>
      <c r="N104" s="14">
        <f t="shared" ref="N104:N108" si="64">(((((((((B104)+(C104))+(D104))+(E104))+(F104))+(G104))+(H104))+(I104))+(J104))+(K104)+L104+M104</f>
        <v>-136.32</v>
      </c>
      <c r="P104" s="11" t="s">
        <v>113</v>
      </c>
      <c r="Q104" s="16">
        <v>93000.0</v>
      </c>
    </row>
    <row r="105" ht="15.75" customHeight="1">
      <c r="A105" s="11" t="s">
        <v>124</v>
      </c>
      <c r="B105" s="14">
        <f>29458.32</f>
        <v>29458.32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4">
        <f t="shared" si="62"/>
        <v>2945.832</v>
      </c>
      <c r="M105" s="14">
        <f t="shared" si="63"/>
        <v>2945.832</v>
      </c>
      <c r="N105" s="14">
        <f t="shared" si="64"/>
        <v>35349.984</v>
      </c>
      <c r="P105" s="11" t="s">
        <v>114</v>
      </c>
      <c r="Q105" s="16">
        <v>2981274.0000000005</v>
      </c>
    </row>
    <row r="106" ht="15.75" customHeight="1">
      <c r="A106" s="11" t="s">
        <v>125</v>
      </c>
      <c r="B106" s="16">
        <f t="shared" ref="B106:M106" si="65">(B104)+(B105)</f>
        <v>29458.32</v>
      </c>
      <c r="C106" s="16">
        <f t="shared" si="65"/>
        <v>0</v>
      </c>
      <c r="D106" s="16">
        <f t="shared" si="65"/>
        <v>0</v>
      </c>
      <c r="E106" s="16">
        <f t="shared" si="65"/>
        <v>0</v>
      </c>
      <c r="F106" s="16">
        <f t="shared" si="65"/>
        <v>0</v>
      </c>
      <c r="G106" s="16">
        <f t="shared" si="65"/>
        <v>0</v>
      </c>
      <c r="H106" s="16">
        <f t="shared" si="65"/>
        <v>0</v>
      </c>
      <c r="I106" s="16">
        <f t="shared" si="65"/>
        <v>0</v>
      </c>
      <c r="J106" s="16">
        <f t="shared" si="65"/>
        <v>0</v>
      </c>
      <c r="K106" s="16">
        <f t="shared" si="65"/>
        <v>-113.6</v>
      </c>
      <c r="L106" s="16">
        <f t="shared" si="65"/>
        <v>2934.472</v>
      </c>
      <c r="M106" s="16">
        <f t="shared" si="65"/>
        <v>2934.472</v>
      </c>
      <c r="N106" s="16">
        <f t="shared" si="64"/>
        <v>35213.664</v>
      </c>
      <c r="P106" s="11" t="s">
        <v>115</v>
      </c>
      <c r="Q106" s="16">
        <v>-127101.00000000041</v>
      </c>
    </row>
    <row r="107" ht="15.75" customHeight="1">
      <c r="A107" s="11" t="s">
        <v>126</v>
      </c>
      <c r="B107" s="16">
        <f t="shared" ref="B107:M107" si="66">(B102)-(B106)</f>
        <v>-29457.86</v>
      </c>
      <c r="C107" s="16">
        <f t="shared" si="66"/>
        <v>0.42</v>
      </c>
      <c r="D107" s="16">
        <f t="shared" si="66"/>
        <v>78.78</v>
      </c>
      <c r="E107" s="16">
        <f t="shared" si="66"/>
        <v>50.95</v>
      </c>
      <c r="F107" s="16">
        <f t="shared" si="66"/>
        <v>0.46</v>
      </c>
      <c r="G107" s="16">
        <f t="shared" si="66"/>
        <v>13.23</v>
      </c>
      <c r="H107" s="16">
        <f t="shared" si="66"/>
        <v>1.05</v>
      </c>
      <c r="I107" s="16">
        <f t="shared" si="66"/>
        <v>2.5</v>
      </c>
      <c r="J107" s="16">
        <f t="shared" si="66"/>
        <v>5.27</v>
      </c>
      <c r="K107" s="16">
        <f t="shared" si="66"/>
        <v>119.02</v>
      </c>
      <c r="L107" s="16">
        <f t="shared" si="66"/>
        <v>-2918.618</v>
      </c>
      <c r="M107" s="16">
        <f t="shared" si="66"/>
        <v>-2918.618</v>
      </c>
      <c r="N107" s="16">
        <f t="shared" si="64"/>
        <v>-35023.416</v>
      </c>
      <c r="P107" s="11" t="s">
        <v>116</v>
      </c>
      <c r="Q107" s="12"/>
    </row>
    <row r="108" ht="15.75" customHeight="1">
      <c r="A108" s="11" t="s">
        <v>127</v>
      </c>
      <c r="B108" s="16">
        <f t="shared" ref="B108:M108" si="67">(B98)+(B107)</f>
        <v>96759.81</v>
      </c>
      <c r="C108" s="16">
        <f t="shared" si="67"/>
        <v>167337.72</v>
      </c>
      <c r="D108" s="16">
        <f t="shared" si="67"/>
        <v>-69898.12</v>
      </c>
      <c r="E108" s="16">
        <f t="shared" si="67"/>
        <v>-196077.92</v>
      </c>
      <c r="F108" s="16">
        <f t="shared" si="67"/>
        <v>-95028.51</v>
      </c>
      <c r="G108" s="16">
        <f t="shared" si="67"/>
        <v>-66136.45</v>
      </c>
      <c r="H108" s="16">
        <f t="shared" si="67"/>
        <v>-103569.34</v>
      </c>
      <c r="I108" s="16">
        <f t="shared" si="67"/>
        <v>551973.04</v>
      </c>
      <c r="J108" s="16">
        <f t="shared" si="67"/>
        <v>352605.08</v>
      </c>
      <c r="K108" s="16">
        <f t="shared" si="67"/>
        <v>111489.91</v>
      </c>
      <c r="L108" s="16">
        <f t="shared" si="67"/>
        <v>74945.522</v>
      </c>
      <c r="M108" s="16">
        <f t="shared" si="67"/>
        <v>74945.522</v>
      </c>
      <c r="N108" s="16">
        <f t="shared" si="64"/>
        <v>899346.264</v>
      </c>
      <c r="P108" s="11" t="s">
        <v>118</v>
      </c>
      <c r="Q108" s="14">
        <v>5.0</v>
      </c>
    </row>
    <row r="109" ht="15.75" customHeight="1">
      <c r="A109" s="11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P109" s="11" t="s">
        <v>119</v>
      </c>
      <c r="Q109" s="14">
        <v>0.0</v>
      </c>
    </row>
    <row r="110" ht="15.75" customHeight="1">
      <c r="P110" s="11" t="s">
        <v>120</v>
      </c>
      <c r="Q110" s="16">
        <v>5.0</v>
      </c>
    </row>
    <row r="111" ht="15.75" customHeight="1">
      <c r="P111" s="11" t="s">
        <v>122</v>
      </c>
      <c r="Q111" s="12"/>
    </row>
    <row r="112" ht="15.75" customHeight="1">
      <c r="A112" s="28" t="s">
        <v>128</v>
      </c>
      <c r="P112" s="11" t="s">
        <v>123</v>
      </c>
      <c r="Q112" s="14">
        <v>0.0</v>
      </c>
    </row>
    <row r="113" ht="15.75" customHeight="1">
      <c r="P113" s="11" t="s">
        <v>124</v>
      </c>
      <c r="Q113" s="14">
        <v>0.0</v>
      </c>
    </row>
    <row r="114" ht="15.75" customHeight="1">
      <c r="P114" s="11" t="s">
        <v>125</v>
      </c>
      <c r="Q114" s="16">
        <v>0.0</v>
      </c>
    </row>
    <row r="115" ht="15.75" customHeight="1">
      <c r="L115" s="29"/>
      <c r="P115" s="11" t="s">
        <v>126</v>
      </c>
      <c r="Q115" s="16">
        <v>5.0</v>
      </c>
    </row>
    <row r="116" ht="15.75" customHeight="1">
      <c r="P116" s="11" t="s">
        <v>127</v>
      </c>
      <c r="Q116" s="16">
        <v>-127096.00000000041</v>
      </c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N1"/>
    <mergeCell ref="A2:N2"/>
    <mergeCell ref="A3:N3"/>
    <mergeCell ref="B4:K4"/>
    <mergeCell ref="L4:M4"/>
    <mergeCell ref="P4:Q5"/>
    <mergeCell ref="A112:N11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12" width="8.86"/>
    <col customWidth="1" min="13" max="13" width="9.86"/>
    <col customWidth="1" min="14" max="14" width="15.14"/>
    <col customWidth="1" min="15" max="15" width="31.0"/>
    <col customWidth="1" min="16" max="26" width="8.86"/>
  </cols>
  <sheetData>
    <row r="2">
      <c r="B2" s="4" t="s">
        <v>139</v>
      </c>
    </row>
    <row r="4"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9">
        <v>45231.0</v>
      </c>
      <c r="M4" s="9">
        <v>45261.0</v>
      </c>
      <c r="N4" s="8" t="s">
        <v>15</v>
      </c>
      <c r="O4" s="10" t="s">
        <v>16</v>
      </c>
    </row>
    <row r="5">
      <c r="A5" s="11" t="s">
        <v>140</v>
      </c>
    </row>
    <row r="6">
      <c r="A6" s="11" t="s">
        <v>19</v>
      </c>
      <c r="B6" s="42">
        <v>0.0</v>
      </c>
      <c r="C6" s="42">
        <v>0.0</v>
      </c>
      <c r="D6" s="42">
        <v>0.0</v>
      </c>
      <c r="E6" s="42">
        <v>0.0</v>
      </c>
      <c r="F6" s="42">
        <v>0.0</v>
      </c>
      <c r="G6" s="42">
        <v>0.0</v>
      </c>
      <c r="H6" s="42">
        <v>0.0</v>
      </c>
      <c r="I6" s="42">
        <v>0.0</v>
      </c>
      <c r="J6" s="42">
        <v>0.0</v>
      </c>
      <c r="K6" s="42">
        <v>0.0</v>
      </c>
      <c r="L6" s="42">
        <v>0.0</v>
      </c>
      <c r="M6" s="42">
        <v>0.0</v>
      </c>
      <c r="N6" s="43">
        <f t="shared" ref="N6:N9" si="1">SUM(B6:M6)</f>
        <v>0</v>
      </c>
    </row>
    <row r="7">
      <c r="A7" s="11" t="s">
        <v>21</v>
      </c>
      <c r="B7" s="42">
        <v>0.0</v>
      </c>
      <c r="C7" s="42">
        <v>0.0</v>
      </c>
      <c r="D7" s="42">
        <v>0.0</v>
      </c>
      <c r="E7" s="42">
        <v>0.0</v>
      </c>
      <c r="F7" s="42">
        <v>0.0</v>
      </c>
      <c r="G7" s="42">
        <v>0.0</v>
      </c>
      <c r="H7" s="42">
        <v>0.0</v>
      </c>
      <c r="I7" s="42">
        <v>0.0</v>
      </c>
      <c r="J7" s="42">
        <v>0.0</v>
      </c>
      <c r="K7" s="42">
        <v>0.0</v>
      </c>
      <c r="L7" s="42">
        <v>0.0</v>
      </c>
      <c r="M7" s="42">
        <v>0.0</v>
      </c>
      <c r="N7" s="43">
        <f t="shared" si="1"/>
        <v>0</v>
      </c>
    </row>
    <row r="8">
      <c r="A8" s="11" t="s">
        <v>22</v>
      </c>
      <c r="B8" s="42">
        <v>0.0</v>
      </c>
      <c r="C8" s="42">
        <v>0.0</v>
      </c>
      <c r="D8" s="42">
        <v>0.0</v>
      </c>
      <c r="E8" s="42">
        <v>0.0</v>
      </c>
      <c r="F8" s="42">
        <v>0.0</v>
      </c>
      <c r="G8" s="42">
        <v>0.0</v>
      </c>
      <c r="H8" s="42">
        <v>0.0</v>
      </c>
      <c r="I8" s="42">
        <v>0.0</v>
      </c>
      <c r="J8" s="42">
        <v>0.0</v>
      </c>
      <c r="K8" s="42">
        <v>0.0</v>
      </c>
      <c r="L8" s="42">
        <v>0.0</v>
      </c>
      <c r="M8" s="42">
        <v>0.0</v>
      </c>
      <c r="N8" s="44">
        <f t="shared" si="1"/>
        <v>0</v>
      </c>
    </row>
    <row r="9">
      <c r="A9" s="11" t="s">
        <v>141</v>
      </c>
      <c r="B9" s="43">
        <f t="shared" ref="B9:M9" si="2">SUM(B6:B8)</f>
        <v>0</v>
      </c>
      <c r="C9" s="43">
        <f t="shared" si="2"/>
        <v>0</v>
      </c>
      <c r="D9" s="43">
        <f t="shared" si="2"/>
        <v>0</v>
      </c>
      <c r="E9" s="43">
        <f t="shared" si="2"/>
        <v>0</v>
      </c>
      <c r="F9" s="43">
        <f t="shared" si="2"/>
        <v>0</v>
      </c>
      <c r="G9" s="43">
        <f t="shared" si="2"/>
        <v>0</v>
      </c>
      <c r="H9" s="43">
        <f t="shared" si="2"/>
        <v>0</v>
      </c>
      <c r="I9" s="43">
        <f t="shared" si="2"/>
        <v>0</v>
      </c>
      <c r="J9" s="43">
        <f t="shared" si="2"/>
        <v>0</v>
      </c>
      <c r="K9" s="43">
        <f t="shared" si="2"/>
        <v>0</v>
      </c>
      <c r="L9" s="43">
        <f t="shared" si="2"/>
        <v>0</v>
      </c>
      <c r="M9" s="43">
        <f t="shared" si="2"/>
        <v>0</v>
      </c>
      <c r="N9" s="43">
        <f t="shared" si="1"/>
        <v>0</v>
      </c>
    </row>
    <row r="11">
      <c r="A11" s="11" t="s">
        <v>51</v>
      </c>
    </row>
    <row r="12">
      <c r="A12" s="11" t="s">
        <v>52</v>
      </c>
      <c r="B12" s="45">
        <v>0.0</v>
      </c>
      <c r="C12" s="45">
        <v>0.0</v>
      </c>
      <c r="D12" s="45">
        <v>0.0</v>
      </c>
      <c r="E12" s="45">
        <v>0.0</v>
      </c>
      <c r="F12" s="45">
        <v>0.0</v>
      </c>
      <c r="G12" s="45">
        <v>0.0</v>
      </c>
      <c r="H12" s="45">
        <v>0.0</v>
      </c>
      <c r="I12" s="45">
        <v>0.0</v>
      </c>
      <c r="J12" s="45">
        <v>0.0</v>
      </c>
      <c r="K12" s="45">
        <v>0.0</v>
      </c>
      <c r="L12" s="45">
        <v>0.0</v>
      </c>
      <c r="M12" s="45">
        <v>0.0</v>
      </c>
      <c r="N12" s="43">
        <f t="shared" ref="N12:N34" si="3">SUM(B12:M12)</f>
        <v>0</v>
      </c>
    </row>
    <row r="13">
      <c r="A13" s="11" t="s">
        <v>53</v>
      </c>
      <c r="B13" s="45">
        <v>0.0</v>
      </c>
      <c r="C13" s="45">
        <v>0.0</v>
      </c>
      <c r="D13" s="45">
        <v>0.0</v>
      </c>
      <c r="E13" s="45">
        <v>0.0</v>
      </c>
      <c r="F13" s="45">
        <v>0.0</v>
      </c>
      <c r="G13" s="45">
        <v>0.0</v>
      </c>
      <c r="H13" s="45">
        <v>0.0</v>
      </c>
      <c r="I13" s="45">
        <v>0.0</v>
      </c>
      <c r="J13" s="45">
        <v>0.0</v>
      </c>
      <c r="K13" s="45">
        <v>0.0</v>
      </c>
      <c r="L13" s="45">
        <v>0.0</v>
      </c>
      <c r="M13" s="45">
        <v>0.0</v>
      </c>
      <c r="N13" s="43">
        <f t="shared" si="3"/>
        <v>0</v>
      </c>
    </row>
    <row r="14">
      <c r="A14" s="11" t="s">
        <v>54</v>
      </c>
      <c r="B14" s="45">
        <v>0.0</v>
      </c>
      <c r="C14" s="45">
        <v>0.0</v>
      </c>
      <c r="D14" s="45">
        <v>0.0</v>
      </c>
      <c r="E14" s="45">
        <v>0.0</v>
      </c>
      <c r="F14" s="45">
        <v>0.0</v>
      </c>
      <c r="G14" s="45">
        <v>0.0</v>
      </c>
      <c r="H14" s="45">
        <v>0.0</v>
      </c>
      <c r="I14" s="45">
        <v>0.0</v>
      </c>
      <c r="J14" s="45">
        <v>0.0</v>
      </c>
      <c r="K14" s="45">
        <v>0.0</v>
      </c>
      <c r="L14" s="45">
        <v>0.0</v>
      </c>
      <c r="M14" s="45">
        <v>0.0</v>
      </c>
      <c r="N14" s="43">
        <f t="shared" si="3"/>
        <v>0</v>
      </c>
    </row>
    <row r="15">
      <c r="A15" s="11" t="s">
        <v>55</v>
      </c>
      <c r="B15" s="45">
        <v>0.0</v>
      </c>
      <c r="C15" s="45">
        <v>0.0</v>
      </c>
      <c r="D15" s="45">
        <v>0.0</v>
      </c>
      <c r="E15" s="45">
        <v>0.0</v>
      </c>
      <c r="F15" s="45">
        <v>0.0</v>
      </c>
      <c r="G15" s="45">
        <v>0.0</v>
      </c>
      <c r="H15" s="45">
        <v>0.0</v>
      </c>
      <c r="I15" s="45">
        <v>0.0</v>
      </c>
      <c r="J15" s="45">
        <v>0.0</v>
      </c>
      <c r="K15" s="45">
        <v>0.0</v>
      </c>
      <c r="L15" s="45">
        <v>0.0</v>
      </c>
      <c r="M15" s="45">
        <v>0.0</v>
      </c>
      <c r="N15" s="43">
        <f t="shared" si="3"/>
        <v>0</v>
      </c>
    </row>
    <row r="16">
      <c r="A16" s="11" t="s">
        <v>56</v>
      </c>
      <c r="B16" s="45">
        <v>0.0</v>
      </c>
      <c r="C16" s="45">
        <v>0.0</v>
      </c>
      <c r="D16" s="45">
        <v>0.0</v>
      </c>
      <c r="E16" s="45">
        <v>0.0</v>
      </c>
      <c r="F16" s="45">
        <v>0.0</v>
      </c>
      <c r="G16" s="45">
        <v>0.0</v>
      </c>
      <c r="H16" s="45">
        <v>0.0</v>
      </c>
      <c r="I16" s="45">
        <v>0.0</v>
      </c>
      <c r="J16" s="45">
        <v>0.0</v>
      </c>
      <c r="K16" s="45">
        <v>0.0</v>
      </c>
      <c r="L16" s="45">
        <v>0.0</v>
      </c>
      <c r="M16" s="45">
        <v>0.0</v>
      </c>
      <c r="N16" s="43">
        <f t="shared" si="3"/>
        <v>0</v>
      </c>
    </row>
    <row r="17">
      <c r="A17" s="11" t="s">
        <v>57</v>
      </c>
      <c r="B17" s="45">
        <v>0.0</v>
      </c>
      <c r="C17" s="45">
        <v>0.0</v>
      </c>
      <c r="D17" s="45">
        <v>0.0</v>
      </c>
      <c r="E17" s="45">
        <v>0.0</v>
      </c>
      <c r="F17" s="45">
        <v>0.0</v>
      </c>
      <c r="G17" s="45">
        <v>0.0</v>
      </c>
      <c r="H17" s="45">
        <v>0.0</v>
      </c>
      <c r="I17" s="45">
        <v>0.0</v>
      </c>
      <c r="J17" s="45">
        <v>0.0</v>
      </c>
      <c r="K17" s="45">
        <v>0.0</v>
      </c>
      <c r="L17" s="45">
        <v>0.0</v>
      </c>
      <c r="M17" s="45">
        <v>0.0</v>
      </c>
      <c r="N17" s="43">
        <f t="shared" si="3"/>
        <v>0</v>
      </c>
    </row>
    <row r="18">
      <c r="A18" s="11" t="s">
        <v>58</v>
      </c>
      <c r="B18" s="45">
        <v>0.0</v>
      </c>
      <c r="C18" s="45">
        <v>0.0</v>
      </c>
      <c r="D18" s="45">
        <v>0.0</v>
      </c>
      <c r="E18" s="45">
        <v>0.0</v>
      </c>
      <c r="F18" s="45">
        <v>0.0</v>
      </c>
      <c r="G18" s="45">
        <v>0.0</v>
      </c>
      <c r="H18" s="45">
        <v>0.0</v>
      </c>
      <c r="I18" s="45">
        <v>0.0</v>
      </c>
      <c r="J18" s="45">
        <v>0.0</v>
      </c>
      <c r="K18" s="45">
        <v>0.0</v>
      </c>
      <c r="L18" s="45">
        <v>0.0</v>
      </c>
      <c r="M18" s="45">
        <v>0.0</v>
      </c>
      <c r="N18" s="43">
        <f t="shared" si="3"/>
        <v>0</v>
      </c>
    </row>
    <row r="19">
      <c r="A19" s="11" t="s">
        <v>59</v>
      </c>
      <c r="B19" s="45">
        <v>0.0</v>
      </c>
      <c r="C19" s="45">
        <v>0.0</v>
      </c>
      <c r="D19" s="45">
        <v>0.0</v>
      </c>
      <c r="E19" s="45">
        <v>0.0</v>
      </c>
      <c r="F19" s="45">
        <v>0.0</v>
      </c>
      <c r="G19" s="45">
        <v>0.0</v>
      </c>
      <c r="H19" s="45">
        <v>0.0</v>
      </c>
      <c r="I19" s="45">
        <v>0.0</v>
      </c>
      <c r="J19" s="45">
        <v>0.0</v>
      </c>
      <c r="K19" s="45">
        <v>0.0</v>
      </c>
      <c r="L19" s="45">
        <v>0.0</v>
      </c>
      <c r="M19" s="45">
        <v>0.0</v>
      </c>
      <c r="N19" s="43">
        <f t="shared" si="3"/>
        <v>0</v>
      </c>
    </row>
    <row r="20">
      <c r="A20" s="11" t="s">
        <v>60</v>
      </c>
      <c r="B20" s="45">
        <v>0.0</v>
      </c>
      <c r="C20" s="45">
        <v>0.0</v>
      </c>
      <c r="D20" s="45">
        <v>0.0</v>
      </c>
      <c r="E20" s="45">
        <v>0.0</v>
      </c>
      <c r="F20" s="45">
        <v>0.0</v>
      </c>
      <c r="G20" s="45">
        <v>0.0</v>
      </c>
      <c r="H20" s="45">
        <v>0.0</v>
      </c>
      <c r="I20" s="45">
        <v>0.0</v>
      </c>
      <c r="J20" s="45">
        <v>0.0</v>
      </c>
      <c r="K20" s="45">
        <v>0.0</v>
      </c>
      <c r="L20" s="45">
        <v>0.0</v>
      </c>
      <c r="M20" s="45">
        <v>0.0</v>
      </c>
      <c r="N20" s="43">
        <f t="shared" si="3"/>
        <v>0</v>
      </c>
    </row>
    <row r="21" ht="15.75" customHeight="1">
      <c r="A21" s="11" t="s">
        <v>61</v>
      </c>
      <c r="B21" s="45">
        <v>0.0</v>
      </c>
      <c r="C21" s="45">
        <v>0.0</v>
      </c>
      <c r="D21" s="45">
        <v>0.0</v>
      </c>
      <c r="E21" s="45">
        <v>0.0</v>
      </c>
      <c r="F21" s="45">
        <v>0.0</v>
      </c>
      <c r="G21" s="45">
        <v>0.0</v>
      </c>
      <c r="H21" s="45">
        <v>0.0</v>
      </c>
      <c r="I21" s="45">
        <v>0.0</v>
      </c>
      <c r="J21" s="45">
        <v>0.0</v>
      </c>
      <c r="K21" s="45">
        <v>0.0</v>
      </c>
      <c r="L21" s="45">
        <v>0.0</v>
      </c>
      <c r="M21" s="45">
        <v>0.0</v>
      </c>
      <c r="N21" s="43">
        <f t="shared" si="3"/>
        <v>0</v>
      </c>
    </row>
    <row r="22" ht="15.75" customHeight="1">
      <c r="A22" s="11" t="s">
        <v>62</v>
      </c>
      <c r="B22" s="45">
        <v>0.0</v>
      </c>
      <c r="C22" s="45">
        <v>0.0</v>
      </c>
      <c r="D22" s="45">
        <v>0.0</v>
      </c>
      <c r="E22" s="45">
        <v>0.0</v>
      </c>
      <c r="F22" s="45">
        <v>0.0</v>
      </c>
      <c r="G22" s="45">
        <v>0.0</v>
      </c>
      <c r="H22" s="45">
        <v>0.0</v>
      </c>
      <c r="I22" s="45">
        <v>0.0</v>
      </c>
      <c r="J22" s="45">
        <v>0.0</v>
      </c>
      <c r="K22" s="45">
        <v>0.0</v>
      </c>
      <c r="L22" s="45">
        <v>0.0</v>
      </c>
      <c r="M22" s="45">
        <v>0.0</v>
      </c>
      <c r="N22" s="43">
        <f t="shared" si="3"/>
        <v>0</v>
      </c>
    </row>
    <row r="23" ht="15.75" customHeight="1">
      <c r="A23" s="11" t="s">
        <v>63</v>
      </c>
      <c r="B23" s="45">
        <v>0.0</v>
      </c>
      <c r="C23" s="45">
        <v>0.0</v>
      </c>
      <c r="D23" s="45">
        <v>0.0</v>
      </c>
      <c r="E23" s="45">
        <v>0.0</v>
      </c>
      <c r="F23" s="45">
        <v>0.0</v>
      </c>
      <c r="G23" s="45">
        <v>0.0</v>
      </c>
      <c r="H23" s="45">
        <v>0.0</v>
      </c>
      <c r="I23" s="45">
        <v>0.0</v>
      </c>
      <c r="J23" s="45">
        <v>0.0</v>
      </c>
      <c r="K23" s="45">
        <v>0.0</v>
      </c>
      <c r="L23" s="45">
        <v>0.0</v>
      </c>
      <c r="M23" s="45">
        <v>0.0</v>
      </c>
      <c r="N23" s="43">
        <f t="shared" si="3"/>
        <v>0</v>
      </c>
    </row>
    <row r="24" ht="15.75" customHeight="1">
      <c r="A24" s="11" t="s">
        <v>64</v>
      </c>
      <c r="B24" s="45">
        <v>0.0</v>
      </c>
      <c r="C24" s="45">
        <v>0.0</v>
      </c>
      <c r="D24" s="45">
        <v>0.0</v>
      </c>
      <c r="E24" s="45">
        <v>0.0</v>
      </c>
      <c r="F24" s="45">
        <v>0.0</v>
      </c>
      <c r="G24" s="45">
        <v>0.0</v>
      </c>
      <c r="H24" s="45">
        <v>0.0</v>
      </c>
      <c r="I24" s="45">
        <v>0.0</v>
      </c>
      <c r="J24" s="45">
        <v>0.0</v>
      </c>
      <c r="K24" s="45">
        <v>0.0</v>
      </c>
      <c r="L24" s="45">
        <v>0.0</v>
      </c>
      <c r="M24" s="45">
        <v>0.0</v>
      </c>
      <c r="N24" s="43">
        <f t="shared" si="3"/>
        <v>0</v>
      </c>
    </row>
    <row r="25" ht="15.75" customHeight="1">
      <c r="A25" s="11" t="s">
        <v>65</v>
      </c>
      <c r="B25" s="45">
        <v>0.0</v>
      </c>
      <c r="C25" s="45">
        <v>0.0</v>
      </c>
      <c r="D25" s="45">
        <v>0.0</v>
      </c>
      <c r="E25" s="45">
        <v>0.0</v>
      </c>
      <c r="F25" s="45">
        <v>0.0</v>
      </c>
      <c r="G25" s="45">
        <v>0.0</v>
      </c>
      <c r="H25" s="45">
        <v>0.0</v>
      </c>
      <c r="I25" s="45">
        <v>0.0</v>
      </c>
      <c r="J25" s="45">
        <v>0.0</v>
      </c>
      <c r="K25" s="45">
        <v>0.0</v>
      </c>
      <c r="L25" s="45">
        <v>0.0</v>
      </c>
      <c r="M25" s="45">
        <v>0.0</v>
      </c>
      <c r="N25" s="43">
        <f t="shared" si="3"/>
        <v>0</v>
      </c>
    </row>
    <row r="26" ht="15.75" customHeight="1">
      <c r="A26" s="11" t="s">
        <v>66</v>
      </c>
      <c r="B26" s="45">
        <v>0.0</v>
      </c>
      <c r="C26" s="45">
        <v>0.0</v>
      </c>
      <c r="D26" s="45">
        <v>0.0</v>
      </c>
      <c r="E26" s="45">
        <v>0.0</v>
      </c>
      <c r="F26" s="45">
        <v>0.0</v>
      </c>
      <c r="G26" s="45">
        <v>0.0</v>
      </c>
      <c r="H26" s="45">
        <v>0.0</v>
      </c>
      <c r="I26" s="45">
        <v>0.0</v>
      </c>
      <c r="J26" s="45">
        <v>0.0</v>
      </c>
      <c r="K26" s="45">
        <v>0.0</v>
      </c>
      <c r="L26" s="45">
        <v>0.0</v>
      </c>
      <c r="M26" s="45">
        <v>0.0</v>
      </c>
      <c r="N26" s="43">
        <f t="shared" si="3"/>
        <v>0</v>
      </c>
    </row>
    <row r="27" ht="15.75" customHeight="1">
      <c r="A27" s="11" t="s">
        <v>67</v>
      </c>
      <c r="B27" s="45">
        <v>0.0</v>
      </c>
      <c r="C27" s="45">
        <v>0.0</v>
      </c>
      <c r="D27" s="45">
        <v>0.0</v>
      </c>
      <c r="E27" s="45">
        <v>0.0</v>
      </c>
      <c r="F27" s="45">
        <v>0.0</v>
      </c>
      <c r="G27" s="45">
        <v>0.0</v>
      </c>
      <c r="H27" s="45">
        <v>0.0</v>
      </c>
      <c r="I27" s="45">
        <v>0.0</v>
      </c>
      <c r="J27" s="45">
        <v>0.0</v>
      </c>
      <c r="K27" s="45">
        <v>0.0</v>
      </c>
      <c r="L27" s="45">
        <v>0.0</v>
      </c>
      <c r="M27" s="45">
        <v>0.0</v>
      </c>
      <c r="N27" s="43">
        <f t="shared" si="3"/>
        <v>0</v>
      </c>
    </row>
    <row r="28" ht="15.75" customHeight="1">
      <c r="A28" s="11" t="s">
        <v>68</v>
      </c>
      <c r="B28" s="45">
        <v>0.0</v>
      </c>
      <c r="C28" s="45">
        <v>0.0</v>
      </c>
      <c r="D28" s="45">
        <v>0.0</v>
      </c>
      <c r="E28" s="45">
        <v>0.0</v>
      </c>
      <c r="F28" s="45">
        <v>0.0</v>
      </c>
      <c r="G28" s="45">
        <v>0.0</v>
      </c>
      <c r="H28" s="45">
        <v>0.0</v>
      </c>
      <c r="I28" s="45">
        <v>0.0</v>
      </c>
      <c r="J28" s="45">
        <v>0.0</v>
      </c>
      <c r="K28" s="45">
        <v>0.0</v>
      </c>
      <c r="L28" s="45">
        <v>0.0</v>
      </c>
      <c r="M28" s="45">
        <v>0.0</v>
      </c>
      <c r="N28" s="43">
        <f t="shared" si="3"/>
        <v>0</v>
      </c>
    </row>
    <row r="29" ht="15.75" customHeight="1">
      <c r="A29" s="11" t="s">
        <v>48</v>
      </c>
      <c r="B29" s="45">
        <v>0.0</v>
      </c>
      <c r="C29" s="45">
        <v>0.0</v>
      </c>
      <c r="D29" s="45">
        <v>0.0</v>
      </c>
      <c r="E29" s="45">
        <v>0.0</v>
      </c>
      <c r="F29" s="45">
        <v>0.0</v>
      </c>
      <c r="G29" s="45">
        <v>0.0</v>
      </c>
      <c r="H29" s="45">
        <v>0.0</v>
      </c>
      <c r="I29" s="45">
        <v>0.0</v>
      </c>
      <c r="J29" s="45">
        <v>0.0</v>
      </c>
      <c r="K29" s="45">
        <v>0.0</v>
      </c>
      <c r="L29" s="45">
        <v>0.0</v>
      </c>
      <c r="M29" s="45">
        <v>0.0</v>
      </c>
      <c r="N29" s="43">
        <f t="shared" si="3"/>
        <v>0</v>
      </c>
    </row>
    <row r="30" ht="15.75" customHeight="1">
      <c r="A30" s="11" t="s">
        <v>69</v>
      </c>
      <c r="B30" s="45">
        <v>0.0</v>
      </c>
      <c r="C30" s="45">
        <v>0.0</v>
      </c>
      <c r="D30" s="45">
        <v>0.0</v>
      </c>
      <c r="E30" s="45">
        <v>0.0</v>
      </c>
      <c r="F30" s="45">
        <v>0.0</v>
      </c>
      <c r="G30" s="45">
        <v>0.0</v>
      </c>
      <c r="H30" s="45">
        <v>0.0</v>
      </c>
      <c r="I30" s="45">
        <v>0.0</v>
      </c>
      <c r="J30" s="45">
        <v>0.0</v>
      </c>
      <c r="K30" s="45">
        <v>0.0</v>
      </c>
      <c r="L30" s="45">
        <v>0.0</v>
      </c>
      <c r="M30" s="45">
        <v>0.0</v>
      </c>
      <c r="N30" s="43">
        <f t="shared" si="3"/>
        <v>0</v>
      </c>
    </row>
    <row r="31" ht="15.75" customHeight="1">
      <c r="A31" s="11" t="s">
        <v>22</v>
      </c>
      <c r="B31" s="45">
        <v>0.0</v>
      </c>
      <c r="C31" s="45">
        <v>0.0</v>
      </c>
      <c r="D31" s="45">
        <v>0.0</v>
      </c>
      <c r="E31" s="45">
        <v>0.0</v>
      </c>
      <c r="F31" s="45">
        <v>0.0</v>
      </c>
      <c r="G31" s="45">
        <v>0.0</v>
      </c>
      <c r="H31" s="45">
        <v>0.0</v>
      </c>
      <c r="I31" s="45">
        <v>0.0</v>
      </c>
      <c r="J31" s="45">
        <v>0.0</v>
      </c>
      <c r="K31" s="45">
        <v>0.0</v>
      </c>
      <c r="L31" s="45">
        <v>0.0</v>
      </c>
      <c r="M31" s="45">
        <v>0.0</v>
      </c>
      <c r="N31" s="43">
        <f t="shared" si="3"/>
        <v>0</v>
      </c>
    </row>
    <row r="32" ht="15.75" customHeight="1">
      <c r="A32" s="11" t="s">
        <v>49</v>
      </c>
      <c r="B32" s="45">
        <v>0.0</v>
      </c>
      <c r="C32" s="45">
        <v>0.0</v>
      </c>
      <c r="D32" s="45">
        <v>0.0</v>
      </c>
      <c r="E32" s="45">
        <v>0.0</v>
      </c>
      <c r="F32" s="45">
        <v>0.0</v>
      </c>
      <c r="G32" s="45">
        <v>0.0</v>
      </c>
      <c r="H32" s="45">
        <v>0.0</v>
      </c>
      <c r="I32" s="45">
        <v>0.0</v>
      </c>
      <c r="J32" s="45">
        <v>0.0</v>
      </c>
      <c r="K32" s="45">
        <v>0.0</v>
      </c>
      <c r="L32" s="45">
        <v>0.0</v>
      </c>
      <c r="M32" s="45">
        <v>0.0</v>
      </c>
      <c r="N32" s="43">
        <f t="shared" si="3"/>
        <v>0</v>
      </c>
    </row>
    <row r="33" ht="15.75" customHeight="1">
      <c r="A33" s="11" t="s">
        <v>70</v>
      </c>
      <c r="B33" s="46">
        <v>0.0</v>
      </c>
      <c r="C33" s="46">
        <v>0.0</v>
      </c>
      <c r="D33" s="46">
        <v>0.0</v>
      </c>
      <c r="E33" s="46">
        <v>0.0</v>
      </c>
      <c r="F33" s="46">
        <v>0.0</v>
      </c>
      <c r="G33" s="46">
        <v>0.0</v>
      </c>
      <c r="H33" s="46">
        <v>0.0</v>
      </c>
      <c r="I33" s="46">
        <v>0.0</v>
      </c>
      <c r="J33" s="46">
        <v>0.0</v>
      </c>
      <c r="K33" s="46">
        <v>0.0</v>
      </c>
      <c r="L33" s="46">
        <v>0.0</v>
      </c>
      <c r="M33" s="46">
        <v>0.0</v>
      </c>
      <c r="N33" s="44">
        <f t="shared" si="3"/>
        <v>0</v>
      </c>
    </row>
    <row r="34" ht="15.75" customHeight="1">
      <c r="A34" s="11" t="s">
        <v>142</v>
      </c>
      <c r="B34" s="43">
        <f t="shared" ref="B34:M34" si="4">SUM(B12:B33)</f>
        <v>0</v>
      </c>
      <c r="C34" s="43">
        <f t="shared" si="4"/>
        <v>0</v>
      </c>
      <c r="D34" s="43">
        <f t="shared" si="4"/>
        <v>0</v>
      </c>
      <c r="E34" s="43">
        <f t="shared" si="4"/>
        <v>0</v>
      </c>
      <c r="F34" s="43">
        <f t="shared" si="4"/>
        <v>0</v>
      </c>
      <c r="G34" s="43">
        <f t="shared" si="4"/>
        <v>0</v>
      </c>
      <c r="H34" s="43">
        <f t="shared" si="4"/>
        <v>0</v>
      </c>
      <c r="I34" s="43">
        <f t="shared" si="4"/>
        <v>0</v>
      </c>
      <c r="J34" s="43">
        <f t="shared" si="4"/>
        <v>0</v>
      </c>
      <c r="K34" s="43">
        <f t="shared" si="4"/>
        <v>0</v>
      </c>
      <c r="L34" s="43">
        <f t="shared" si="4"/>
        <v>0</v>
      </c>
      <c r="M34" s="43">
        <f t="shared" si="4"/>
        <v>0</v>
      </c>
      <c r="N34" s="43">
        <f t="shared" si="3"/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N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12" width="8.86"/>
    <col customWidth="1" min="13" max="13" width="9.86"/>
    <col customWidth="1" min="14" max="14" width="15.14"/>
    <col customWidth="1" min="15" max="15" width="49.29"/>
    <col customWidth="1" min="16" max="26" width="8.86"/>
  </cols>
  <sheetData>
    <row r="1">
      <c r="O1" s="47"/>
    </row>
    <row r="2">
      <c r="B2" s="4" t="s">
        <v>143</v>
      </c>
      <c r="O2" s="47"/>
    </row>
    <row r="3">
      <c r="O3" s="47"/>
    </row>
    <row r="4"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9">
        <v>45231.0</v>
      </c>
      <c r="M4" s="9">
        <v>45261.0</v>
      </c>
      <c r="N4" s="8" t="s">
        <v>15</v>
      </c>
      <c r="O4" s="10" t="s">
        <v>16</v>
      </c>
    </row>
    <row r="5">
      <c r="A5" s="11" t="s">
        <v>140</v>
      </c>
      <c r="O5" s="47"/>
    </row>
    <row r="6">
      <c r="A6" s="11" t="s">
        <v>19</v>
      </c>
      <c r="B6" s="42">
        <v>0.0</v>
      </c>
      <c r="C6" s="42">
        <v>0.0</v>
      </c>
      <c r="D6" s="42">
        <v>0.0</v>
      </c>
      <c r="E6" s="42">
        <v>0.0</v>
      </c>
      <c r="F6" s="42">
        <v>0.0</v>
      </c>
      <c r="G6" s="42">
        <v>0.0</v>
      </c>
      <c r="H6" s="42">
        <v>326950.0</v>
      </c>
      <c r="I6" s="42">
        <v>0.0</v>
      </c>
      <c r="J6" s="42">
        <v>0.0</v>
      </c>
      <c r="K6" s="42">
        <v>0.0</v>
      </c>
      <c r="L6" s="42">
        <v>0.0</v>
      </c>
      <c r="M6" s="42">
        <v>0.0</v>
      </c>
      <c r="N6" s="43">
        <f t="shared" ref="N6:N9" si="1">SUM(B6:M6)</f>
        <v>326950</v>
      </c>
      <c r="O6" s="47"/>
    </row>
    <row r="7">
      <c r="A7" s="11" t="s">
        <v>21</v>
      </c>
      <c r="B7" s="42">
        <v>0.0</v>
      </c>
      <c r="C7" s="42">
        <v>24072.5</v>
      </c>
      <c r="D7" s="42">
        <v>36108.75</v>
      </c>
      <c r="E7" s="42">
        <v>36108.75</v>
      </c>
      <c r="F7" s="42">
        <v>48145.0</v>
      </c>
      <c r="G7" s="42">
        <v>96290.0</v>
      </c>
      <c r="H7" s="42">
        <v>0.0</v>
      </c>
      <c r="I7" s="42">
        <v>0.0</v>
      </c>
      <c r="J7" s="42">
        <v>0.0</v>
      </c>
      <c r="K7" s="42">
        <v>0.0</v>
      </c>
      <c r="L7" s="42">
        <v>0.0</v>
      </c>
      <c r="M7" s="42">
        <v>0.0</v>
      </c>
      <c r="N7" s="43">
        <f t="shared" si="1"/>
        <v>240725</v>
      </c>
      <c r="O7" s="47"/>
    </row>
    <row r="8">
      <c r="A8" s="11" t="s">
        <v>22</v>
      </c>
      <c r="B8" s="48">
        <v>0.0</v>
      </c>
      <c r="C8" s="48">
        <v>0.0</v>
      </c>
      <c r="D8" s="48">
        <v>0.0</v>
      </c>
      <c r="E8" s="42">
        <v>0.0</v>
      </c>
      <c r="F8" s="48">
        <v>0.0</v>
      </c>
      <c r="G8" s="48">
        <v>0.0</v>
      </c>
      <c r="H8" s="48">
        <v>177250.0</v>
      </c>
      <c r="I8" s="48">
        <v>0.0</v>
      </c>
      <c r="J8" s="48">
        <v>0.0</v>
      </c>
      <c r="K8" s="48">
        <v>0.0</v>
      </c>
      <c r="L8" s="48">
        <v>0.0</v>
      </c>
      <c r="M8" s="48">
        <v>0.0</v>
      </c>
      <c r="N8" s="44">
        <f t="shared" si="1"/>
        <v>177250</v>
      </c>
      <c r="O8" s="47"/>
    </row>
    <row r="9">
      <c r="A9" s="11" t="s">
        <v>141</v>
      </c>
      <c r="B9" s="43">
        <f t="shared" ref="B9:M9" si="2">SUM(B6:B8)</f>
        <v>0</v>
      </c>
      <c r="C9" s="43">
        <f t="shared" si="2"/>
        <v>24072.5</v>
      </c>
      <c r="D9" s="43">
        <f t="shared" si="2"/>
        <v>36108.75</v>
      </c>
      <c r="E9" s="43">
        <f t="shared" si="2"/>
        <v>36108.75</v>
      </c>
      <c r="F9" s="43">
        <f t="shared" si="2"/>
        <v>48145</v>
      </c>
      <c r="G9" s="43">
        <f t="shared" si="2"/>
        <v>96290</v>
      </c>
      <c r="H9" s="43">
        <f t="shared" si="2"/>
        <v>504200</v>
      </c>
      <c r="I9" s="43">
        <f t="shared" si="2"/>
        <v>0</v>
      </c>
      <c r="J9" s="43">
        <f t="shared" si="2"/>
        <v>0</v>
      </c>
      <c r="K9" s="43">
        <f t="shared" si="2"/>
        <v>0</v>
      </c>
      <c r="L9" s="43">
        <f t="shared" si="2"/>
        <v>0</v>
      </c>
      <c r="M9" s="43">
        <f t="shared" si="2"/>
        <v>0</v>
      </c>
      <c r="N9" s="43">
        <f t="shared" si="1"/>
        <v>744925</v>
      </c>
      <c r="O9" s="47"/>
    </row>
    <row r="10">
      <c r="O10" s="47"/>
    </row>
    <row r="11">
      <c r="A11" s="11" t="s">
        <v>51</v>
      </c>
      <c r="O11" s="47"/>
    </row>
    <row r="12">
      <c r="A12" s="11" t="s">
        <v>52</v>
      </c>
      <c r="B12" s="49">
        <v>0.0</v>
      </c>
      <c r="C12" s="49">
        <v>33825.0</v>
      </c>
      <c r="D12" s="49">
        <v>0.0</v>
      </c>
      <c r="E12" s="49">
        <v>1749.0</v>
      </c>
      <c r="F12" s="49">
        <v>33825.0</v>
      </c>
      <c r="G12" s="49">
        <v>0.0</v>
      </c>
      <c r="H12" s="49">
        <v>5050.0</v>
      </c>
      <c r="I12" s="49">
        <v>0.0</v>
      </c>
      <c r="J12" s="49">
        <v>0.0</v>
      </c>
      <c r="K12" s="49">
        <v>0.0</v>
      </c>
      <c r="L12" s="49">
        <v>0.0</v>
      </c>
      <c r="M12" s="49">
        <v>0.0</v>
      </c>
      <c r="N12" s="43">
        <f t="shared" ref="N12:N34" si="3">SUM(B12:M12)</f>
        <v>74449</v>
      </c>
      <c r="O12" s="47"/>
    </row>
    <row r="13">
      <c r="A13" s="11" t="s">
        <v>53</v>
      </c>
      <c r="B13" s="49">
        <v>0.0</v>
      </c>
      <c r="C13" s="49">
        <v>5000.0</v>
      </c>
      <c r="D13" s="49">
        <v>0.0</v>
      </c>
      <c r="E13" s="49">
        <v>0.0</v>
      </c>
      <c r="F13" s="49">
        <v>3321.0</v>
      </c>
      <c r="G13" s="49">
        <v>1476.0</v>
      </c>
      <c r="H13" s="49">
        <v>6520.0</v>
      </c>
      <c r="I13" s="49">
        <v>0.0</v>
      </c>
      <c r="J13" s="49">
        <v>0.0</v>
      </c>
      <c r="K13" s="49">
        <v>0.0</v>
      </c>
      <c r="L13" s="49">
        <v>0.0</v>
      </c>
      <c r="M13" s="49">
        <v>0.0</v>
      </c>
      <c r="N13" s="43">
        <f t="shared" si="3"/>
        <v>16317</v>
      </c>
      <c r="O13" s="50" t="s">
        <v>144</v>
      </c>
    </row>
    <row r="14">
      <c r="A14" s="11" t="s">
        <v>54</v>
      </c>
      <c r="B14" s="49">
        <v>0.0</v>
      </c>
      <c r="C14" s="49">
        <v>0.0</v>
      </c>
      <c r="D14" s="49">
        <v>0.0</v>
      </c>
      <c r="E14" s="49">
        <v>0.0</v>
      </c>
      <c r="F14" s="49">
        <v>0.0</v>
      </c>
      <c r="G14" s="49">
        <v>369.0</v>
      </c>
      <c r="H14" s="49">
        <v>0.0</v>
      </c>
      <c r="I14" s="49">
        <v>0.0</v>
      </c>
      <c r="J14" s="49">
        <v>0.0</v>
      </c>
      <c r="K14" s="49">
        <v>0.0</v>
      </c>
      <c r="L14" s="49">
        <v>0.0</v>
      </c>
      <c r="M14" s="49">
        <v>0.0</v>
      </c>
      <c r="N14" s="43">
        <f t="shared" si="3"/>
        <v>369</v>
      </c>
      <c r="O14" s="47"/>
    </row>
    <row r="15">
      <c r="A15" s="11" t="s">
        <v>55</v>
      </c>
      <c r="B15" s="49">
        <v>114.04</v>
      </c>
      <c r="C15" s="49">
        <v>200.0</v>
      </c>
      <c r="D15" s="49">
        <v>200.0</v>
      </c>
      <c r="E15" s="49">
        <v>300.0</v>
      </c>
      <c r="F15" s="49">
        <v>400.0</v>
      </c>
      <c r="G15" s="49">
        <v>500.0</v>
      </c>
      <c r="H15" s="49">
        <v>0.0</v>
      </c>
      <c r="I15" s="49">
        <v>0.0</v>
      </c>
      <c r="J15" s="49">
        <v>0.0</v>
      </c>
      <c r="K15" s="49">
        <v>0.0</v>
      </c>
      <c r="L15" s="49">
        <v>0.0</v>
      </c>
      <c r="M15" s="49">
        <v>0.0</v>
      </c>
      <c r="N15" s="43">
        <f t="shared" si="3"/>
        <v>1714.04</v>
      </c>
      <c r="O15" s="47"/>
    </row>
    <row r="16">
      <c r="A16" s="11" t="s">
        <v>56</v>
      </c>
      <c r="B16" s="49">
        <v>0.0</v>
      </c>
      <c r="C16" s="49">
        <v>0.0</v>
      </c>
      <c r="D16" s="49">
        <v>0.0</v>
      </c>
      <c r="E16" s="49">
        <v>0.0</v>
      </c>
      <c r="F16" s="49">
        <v>110000.0</v>
      </c>
      <c r="G16" s="49">
        <v>110000.0</v>
      </c>
      <c r="H16" s="49">
        <v>5000.0</v>
      </c>
      <c r="I16" s="49">
        <v>0.0</v>
      </c>
      <c r="J16" s="49">
        <v>0.0</v>
      </c>
      <c r="K16" s="49">
        <v>0.0</v>
      </c>
      <c r="L16" s="49">
        <v>0.0</v>
      </c>
      <c r="M16" s="49">
        <v>0.0</v>
      </c>
      <c r="N16" s="43">
        <f t="shared" si="3"/>
        <v>225000</v>
      </c>
      <c r="O16" s="47"/>
    </row>
    <row r="17">
      <c r="A17" s="11" t="s">
        <v>57</v>
      </c>
      <c r="B17" s="49">
        <v>0.0</v>
      </c>
      <c r="C17" s="49">
        <v>0.0</v>
      </c>
      <c r="D17" s="49">
        <v>0.0</v>
      </c>
      <c r="E17" s="49">
        <v>0.0</v>
      </c>
      <c r="F17" s="49">
        <v>0.0</v>
      </c>
      <c r="G17" s="49">
        <v>0.0</v>
      </c>
      <c r="H17" s="49">
        <v>0.0</v>
      </c>
      <c r="I17" s="49">
        <v>0.0</v>
      </c>
      <c r="J17" s="49">
        <v>0.0</v>
      </c>
      <c r="K17" s="49">
        <v>0.0</v>
      </c>
      <c r="L17" s="49">
        <v>0.0</v>
      </c>
      <c r="M17" s="49">
        <v>0.0</v>
      </c>
      <c r="N17" s="43">
        <f t="shared" si="3"/>
        <v>0</v>
      </c>
      <c r="O17" s="47"/>
    </row>
    <row r="18">
      <c r="A18" s="11" t="s">
        <v>58</v>
      </c>
      <c r="B18" s="49">
        <v>0.0</v>
      </c>
      <c r="C18" s="49">
        <v>0.0</v>
      </c>
      <c r="D18" s="49">
        <v>0.0</v>
      </c>
      <c r="E18" s="49">
        <v>1000.0</v>
      </c>
      <c r="F18" s="49">
        <v>0.0</v>
      </c>
      <c r="G18" s="49">
        <v>0.0</v>
      </c>
      <c r="H18" s="49">
        <v>0.0</v>
      </c>
      <c r="I18" s="49">
        <v>0.0</v>
      </c>
      <c r="J18" s="49">
        <v>0.0</v>
      </c>
      <c r="K18" s="49">
        <v>0.0</v>
      </c>
      <c r="L18" s="49">
        <v>0.0</v>
      </c>
      <c r="M18" s="49">
        <v>0.0</v>
      </c>
      <c r="N18" s="43">
        <f t="shared" si="3"/>
        <v>1000</v>
      </c>
      <c r="O18" s="47"/>
    </row>
    <row r="19">
      <c r="A19" s="11" t="s">
        <v>59</v>
      </c>
      <c r="B19" s="49">
        <v>0.0</v>
      </c>
      <c r="C19" s="49">
        <v>0.0</v>
      </c>
      <c r="D19" s="49">
        <v>3370.0</v>
      </c>
      <c r="E19" s="49">
        <v>0.0</v>
      </c>
      <c r="F19" s="49">
        <v>0.0</v>
      </c>
      <c r="G19" s="49">
        <v>45.0</v>
      </c>
      <c r="H19" s="49">
        <v>0.0</v>
      </c>
      <c r="I19" s="49">
        <v>0.0</v>
      </c>
      <c r="J19" s="49">
        <v>0.0</v>
      </c>
      <c r="K19" s="49">
        <v>0.0</v>
      </c>
      <c r="L19" s="49">
        <v>0.0</v>
      </c>
      <c r="M19" s="49">
        <v>0.0</v>
      </c>
      <c r="N19" s="43">
        <f t="shared" si="3"/>
        <v>3415</v>
      </c>
      <c r="O19" s="47"/>
    </row>
    <row r="20">
      <c r="A20" s="11" t="s">
        <v>60</v>
      </c>
      <c r="B20" s="49">
        <v>0.0</v>
      </c>
      <c r="C20" s="49">
        <v>0.0</v>
      </c>
      <c r="D20" s="49">
        <v>0.0</v>
      </c>
      <c r="E20" s="49">
        <v>0.0</v>
      </c>
      <c r="F20" s="49">
        <v>0.0</v>
      </c>
      <c r="G20" s="49">
        <v>0.0</v>
      </c>
      <c r="H20" s="49">
        <v>0.0</v>
      </c>
      <c r="I20" s="49">
        <v>0.0</v>
      </c>
      <c r="J20" s="49">
        <v>0.0</v>
      </c>
      <c r="K20" s="49">
        <v>0.0</v>
      </c>
      <c r="L20" s="49">
        <v>0.0</v>
      </c>
      <c r="M20" s="49">
        <v>0.0</v>
      </c>
      <c r="N20" s="43">
        <f t="shared" si="3"/>
        <v>0</v>
      </c>
      <c r="O20" s="47"/>
    </row>
    <row r="21" ht="15.75" customHeight="1">
      <c r="A21" s="11" t="s">
        <v>61</v>
      </c>
      <c r="B21" s="49">
        <v>0.0</v>
      </c>
      <c r="C21" s="49">
        <v>0.0</v>
      </c>
      <c r="D21" s="49">
        <v>0.0</v>
      </c>
      <c r="E21" s="49">
        <v>0.0</v>
      </c>
      <c r="F21" s="49">
        <v>0.0</v>
      </c>
      <c r="G21" s="49">
        <v>7000.0</v>
      </c>
      <c r="H21" s="49">
        <v>0.0</v>
      </c>
      <c r="I21" s="49">
        <v>0.0</v>
      </c>
      <c r="J21" s="49">
        <v>0.0</v>
      </c>
      <c r="K21" s="49">
        <v>0.0</v>
      </c>
      <c r="L21" s="49">
        <v>0.0</v>
      </c>
      <c r="M21" s="49">
        <v>0.0</v>
      </c>
      <c r="N21" s="43">
        <f t="shared" si="3"/>
        <v>7000</v>
      </c>
      <c r="O21" s="47"/>
    </row>
    <row r="22" ht="15.75" customHeight="1">
      <c r="A22" s="11" t="s">
        <v>62</v>
      </c>
      <c r="B22" s="49">
        <v>0.0</v>
      </c>
      <c r="C22" s="49">
        <v>0.0</v>
      </c>
      <c r="D22" s="49">
        <v>0.0</v>
      </c>
      <c r="E22" s="49">
        <v>1500.0</v>
      </c>
      <c r="F22" s="49">
        <v>1500.0</v>
      </c>
      <c r="G22" s="49">
        <v>300.0</v>
      </c>
      <c r="H22" s="49">
        <v>0.0</v>
      </c>
      <c r="I22" s="49">
        <v>0.0</v>
      </c>
      <c r="J22" s="49">
        <v>0.0</v>
      </c>
      <c r="K22" s="49">
        <v>0.0</v>
      </c>
      <c r="L22" s="49">
        <v>0.0</v>
      </c>
      <c r="M22" s="49">
        <v>0.0</v>
      </c>
      <c r="N22" s="43">
        <f t="shared" si="3"/>
        <v>3300</v>
      </c>
      <c r="O22" s="50" t="s">
        <v>145</v>
      </c>
    </row>
    <row r="23" ht="15.75" customHeight="1">
      <c r="A23" s="11" t="s">
        <v>63</v>
      </c>
      <c r="B23" s="49">
        <v>0.0</v>
      </c>
      <c r="C23" s="49">
        <v>0.0</v>
      </c>
      <c r="D23" s="49">
        <v>0.0</v>
      </c>
      <c r="E23" s="49">
        <v>0.0</v>
      </c>
      <c r="F23" s="49">
        <v>0.0</v>
      </c>
      <c r="G23" s="49">
        <v>50.0</v>
      </c>
      <c r="H23" s="49">
        <v>0.0</v>
      </c>
      <c r="I23" s="49">
        <v>0.0</v>
      </c>
      <c r="J23" s="49">
        <v>0.0</v>
      </c>
      <c r="K23" s="49">
        <v>0.0</v>
      </c>
      <c r="L23" s="49">
        <v>0.0</v>
      </c>
      <c r="M23" s="49">
        <v>0.0</v>
      </c>
      <c r="N23" s="43">
        <f t="shared" si="3"/>
        <v>50</v>
      </c>
      <c r="O23" s="47"/>
    </row>
    <row r="24" ht="15.75" customHeight="1">
      <c r="A24" s="11" t="s">
        <v>64</v>
      </c>
      <c r="B24" s="49">
        <v>1500.0</v>
      </c>
      <c r="C24" s="49">
        <v>0.0</v>
      </c>
      <c r="D24" s="49">
        <v>0.0</v>
      </c>
      <c r="E24" s="49">
        <v>0.0</v>
      </c>
      <c r="F24" s="49">
        <v>0.0</v>
      </c>
      <c r="G24" s="49">
        <v>0.0</v>
      </c>
      <c r="H24" s="49">
        <v>0.0</v>
      </c>
      <c r="I24" s="49">
        <v>0.0</v>
      </c>
      <c r="J24" s="49">
        <v>0.0</v>
      </c>
      <c r="K24" s="49">
        <v>0.0</v>
      </c>
      <c r="L24" s="49">
        <v>0.0</v>
      </c>
      <c r="M24" s="49">
        <v>0.0</v>
      </c>
      <c r="N24" s="43">
        <f t="shared" si="3"/>
        <v>1500</v>
      </c>
      <c r="O24" s="47"/>
    </row>
    <row r="25" ht="15.75" customHeight="1">
      <c r="A25" s="11" t="s">
        <v>65</v>
      </c>
      <c r="B25" s="49">
        <v>0.0</v>
      </c>
      <c r="C25" s="49">
        <v>0.0</v>
      </c>
      <c r="D25" s="49">
        <v>0.0</v>
      </c>
      <c r="E25" s="49">
        <v>0.0</v>
      </c>
      <c r="F25" s="49">
        <v>0.0</v>
      </c>
      <c r="G25" s="49">
        <v>2246.0</v>
      </c>
      <c r="H25" s="49">
        <v>0.0</v>
      </c>
      <c r="I25" s="49">
        <v>0.0</v>
      </c>
      <c r="J25" s="49">
        <v>0.0</v>
      </c>
      <c r="K25" s="49">
        <v>0.0</v>
      </c>
      <c r="L25" s="49">
        <v>0.0</v>
      </c>
      <c r="M25" s="49">
        <v>0.0</v>
      </c>
      <c r="N25" s="43">
        <f t="shared" si="3"/>
        <v>2246</v>
      </c>
      <c r="O25" s="47"/>
    </row>
    <row r="26" ht="15.75" customHeight="1">
      <c r="A26" s="11" t="s">
        <v>66</v>
      </c>
      <c r="B26" s="49">
        <v>0.0</v>
      </c>
      <c r="C26" s="49">
        <v>0.0</v>
      </c>
      <c r="D26" s="49">
        <v>0.0</v>
      </c>
      <c r="E26" s="49">
        <v>0.0</v>
      </c>
      <c r="F26" s="49">
        <v>0.0</v>
      </c>
      <c r="G26" s="49">
        <v>500.0</v>
      </c>
      <c r="H26" s="49">
        <v>0.0</v>
      </c>
      <c r="I26" s="49">
        <v>0.0</v>
      </c>
      <c r="J26" s="49">
        <v>0.0</v>
      </c>
      <c r="K26" s="49">
        <v>0.0</v>
      </c>
      <c r="L26" s="49">
        <v>0.0</v>
      </c>
      <c r="M26" s="49">
        <v>0.0</v>
      </c>
      <c r="N26" s="43">
        <f t="shared" si="3"/>
        <v>500</v>
      </c>
      <c r="O26" s="47"/>
    </row>
    <row r="27" ht="15.75" customHeight="1">
      <c r="A27" s="11" t="s">
        <v>67</v>
      </c>
      <c r="B27" s="49">
        <v>0.0</v>
      </c>
      <c r="C27" s="49">
        <v>0.0</v>
      </c>
      <c r="D27" s="49">
        <v>0.0</v>
      </c>
      <c r="E27" s="49">
        <v>0.0</v>
      </c>
      <c r="F27" s="49">
        <v>2798.4</v>
      </c>
      <c r="G27" s="49">
        <v>0.0</v>
      </c>
      <c r="H27" s="49">
        <v>4200.0</v>
      </c>
      <c r="I27" s="49">
        <v>0.0</v>
      </c>
      <c r="J27" s="49">
        <v>0.0</v>
      </c>
      <c r="K27" s="49">
        <v>0.0</v>
      </c>
      <c r="L27" s="49">
        <v>0.0</v>
      </c>
      <c r="M27" s="49">
        <v>0.0</v>
      </c>
      <c r="N27" s="43">
        <f t="shared" si="3"/>
        <v>6998.4</v>
      </c>
      <c r="O27" s="47"/>
    </row>
    <row r="28" ht="15.75" customHeight="1">
      <c r="A28" s="11" t="s">
        <v>68</v>
      </c>
      <c r="B28" s="49">
        <v>0.0</v>
      </c>
      <c r="C28" s="49">
        <v>0.0</v>
      </c>
      <c r="D28" s="49">
        <v>0.0</v>
      </c>
      <c r="E28" s="49">
        <v>0.0</v>
      </c>
      <c r="F28" s="49">
        <v>300.0</v>
      </c>
      <c r="G28" s="49">
        <v>0.0</v>
      </c>
      <c r="H28" s="49">
        <v>0.0</v>
      </c>
      <c r="I28" s="49">
        <v>0.0</v>
      </c>
      <c r="J28" s="49">
        <v>0.0</v>
      </c>
      <c r="K28" s="49">
        <v>0.0</v>
      </c>
      <c r="L28" s="49">
        <v>0.0</v>
      </c>
      <c r="M28" s="49">
        <v>0.0</v>
      </c>
      <c r="N28" s="43">
        <f t="shared" si="3"/>
        <v>300</v>
      </c>
      <c r="O28" s="47"/>
    </row>
    <row r="29" ht="15.75" customHeight="1">
      <c r="A29" s="11" t="s">
        <v>48</v>
      </c>
      <c r="B29" s="49">
        <v>0.0</v>
      </c>
      <c r="C29" s="49">
        <v>0.0</v>
      </c>
      <c r="D29" s="49">
        <v>0.0</v>
      </c>
      <c r="E29" s="49">
        <v>0.0</v>
      </c>
      <c r="F29" s="49">
        <v>5904.0</v>
      </c>
      <c r="G29" s="49">
        <v>0.0</v>
      </c>
      <c r="H29" s="49">
        <v>0.0</v>
      </c>
      <c r="I29" s="49">
        <v>0.0</v>
      </c>
      <c r="J29" s="49">
        <v>0.0</v>
      </c>
      <c r="K29" s="49">
        <v>0.0</v>
      </c>
      <c r="L29" s="49">
        <v>0.0</v>
      </c>
      <c r="M29" s="49">
        <v>0.0</v>
      </c>
      <c r="N29" s="43">
        <f t="shared" si="3"/>
        <v>5904</v>
      </c>
      <c r="O29" s="47"/>
    </row>
    <row r="30" ht="15.75" customHeight="1">
      <c r="A30" s="11" t="s">
        <v>69</v>
      </c>
      <c r="B30" s="49">
        <v>0.0</v>
      </c>
      <c r="C30" s="49">
        <v>0.0</v>
      </c>
      <c r="D30" s="49">
        <v>0.0</v>
      </c>
      <c r="E30" s="49">
        <v>0.0</v>
      </c>
      <c r="F30" s="49">
        <v>0.0</v>
      </c>
      <c r="G30" s="49">
        <v>0.0</v>
      </c>
      <c r="H30" s="49">
        <v>0.0</v>
      </c>
      <c r="I30" s="49">
        <v>0.0</v>
      </c>
      <c r="J30" s="49">
        <v>0.0</v>
      </c>
      <c r="K30" s="49">
        <v>0.0</v>
      </c>
      <c r="L30" s="49">
        <v>0.0</v>
      </c>
      <c r="M30" s="49">
        <v>0.0</v>
      </c>
      <c r="N30" s="43">
        <f t="shared" si="3"/>
        <v>0</v>
      </c>
      <c r="O30" s="47"/>
    </row>
    <row r="31" ht="15.75" customHeight="1">
      <c r="A31" s="11" t="s">
        <v>22</v>
      </c>
      <c r="B31" s="49">
        <v>0.0</v>
      </c>
      <c r="C31" s="49">
        <v>0.0</v>
      </c>
      <c r="D31" s="49">
        <v>0.0</v>
      </c>
      <c r="E31" s="49">
        <v>0.0</v>
      </c>
      <c r="F31" s="49">
        <v>0.0</v>
      </c>
      <c r="G31" s="49">
        <v>0.0</v>
      </c>
      <c r="H31" s="49">
        <v>100000.0</v>
      </c>
      <c r="I31" s="49">
        <v>0.0</v>
      </c>
      <c r="J31" s="49">
        <v>0.0</v>
      </c>
      <c r="K31" s="49">
        <v>0.0</v>
      </c>
      <c r="L31" s="49">
        <v>0.0</v>
      </c>
      <c r="M31" s="49">
        <v>0.0</v>
      </c>
      <c r="N31" s="43">
        <f t="shared" si="3"/>
        <v>100000</v>
      </c>
      <c r="O31" s="47"/>
    </row>
    <row r="32" ht="15.75" customHeight="1">
      <c r="A32" s="11" t="s">
        <v>49</v>
      </c>
      <c r="B32" s="49">
        <v>0.0</v>
      </c>
      <c r="C32" s="49">
        <v>0.0</v>
      </c>
      <c r="D32" s="49">
        <v>16000.0</v>
      </c>
      <c r="E32" s="49">
        <v>9073.0</v>
      </c>
      <c r="F32" s="49">
        <v>17490.0</v>
      </c>
      <c r="G32" s="49">
        <v>0.0</v>
      </c>
      <c r="H32" s="49">
        <v>32200.0</v>
      </c>
      <c r="I32" s="49">
        <v>0.0</v>
      </c>
      <c r="J32" s="49">
        <v>0.0</v>
      </c>
      <c r="K32" s="49">
        <v>0.0</v>
      </c>
      <c r="L32" s="49">
        <v>0.0</v>
      </c>
      <c r="M32" s="49">
        <v>0.0</v>
      </c>
      <c r="N32" s="43">
        <f t="shared" si="3"/>
        <v>74763</v>
      </c>
      <c r="O32" s="47"/>
    </row>
    <row r="33" ht="15.75" customHeight="1">
      <c r="A33" s="11" t="s">
        <v>70</v>
      </c>
      <c r="B33" s="51">
        <v>0.0</v>
      </c>
      <c r="C33" s="51">
        <v>49200.0</v>
      </c>
      <c r="D33" s="51">
        <v>49200.0</v>
      </c>
      <c r="E33" s="51">
        <v>0.0</v>
      </c>
      <c r="F33" s="51">
        <v>0.0</v>
      </c>
      <c r="G33" s="51">
        <v>0.0</v>
      </c>
      <c r="H33" s="51">
        <v>2500.0</v>
      </c>
      <c r="I33" s="51">
        <v>0.0</v>
      </c>
      <c r="J33" s="51">
        <v>0.0</v>
      </c>
      <c r="K33" s="51">
        <v>0.0</v>
      </c>
      <c r="L33" s="51">
        <v>0.0</v>
      </c>
      <c r="M33" s="51">
        <v>0.0</v>
      </c>
      <c r="N33" s="44">
        <f t="shared" si="3"/>
        <v>100900</v>
      </c>
      <c r="O33" s="47"/>
    </row>
    <row r="34" ht="15.75" customHeight="1">
      <c r="A34" s="11" t="s">
        <v>142</v>
      </c>
      <c r="B34" s="43">
        <f t="shared" ref="B34:M34" si="4">SUM(B12:B33)</f>
        <v>1614.04</v>
      </c>
      <c r="C34" s="43">
        <f t="shared" si="4"/>
        <v>88225</v>
      </c>
      <c r="D34" s="43">
        <f t="shared" si="4"/>
        <v>68770</v>
      </c>
      <c r="E34" s="43">
        <f t="shared" si="4"/>
        <v>13622</v>
      </c>
      <c r="F34" s="43">
        <f t="shared" si="4"/>
        <v>175538.4</v>
      </c>
      <c r="G34" s="43">
        <f t="shared" si="4"/>
        <v>122486</v>
      </c>
      <c r="H34" s="43">
        <f t="shared" si="4"/>
        <v>155470</v>
      </c>
      <c r="I34" s="43">
        <f t="shared" si="4"/>
        <v>0</v>
      </c>
      <c r="J34" s="43">
        <f t="shared" si="4"/>
        <v>0</v>
      </c>
      <c r="K34" s="43">
        <f t="shared" si="4"/>
        <v>0</v>
      </c>
      <c r="L34" s="43">
        <f t="shared" si="4"/>
        <v>0</v>
      </c>
      <c r="M34" s="43">
        <f t="shared" si="4"/>
        <v>0</v>
      </c>
      <c r="N34" s="43">
        <f t="shared" si="3"/>
        <v>625725.44</v>
      </c>
      <c r="O34" s="47"/>
    </row>
    <row r="35" ht="15.75" customHeight="1">
      <c r="O35" s="47"/>
    </row>
    <row r="36" ht="15.75" customHeight="1">
      <c r="O36" s="47"/>
    </row>
    <row r="37" ht="15.75" customHeight="1">
      <c r="O37" s="47"/>
    </row>
    <row r="38" ht="15.75" customHeight="1">
      <c r="O38" s="47"/>
    </row>
    <row r="39" ht="15.75" customHeight="1">
      <c r="O39" s="47"/>
    </row>
    <row r="40" ht="15.75" customHeight="1">
      <c r="O40" s="47"/>
    </row>
    <row r="41" ht="15.75" customHeight="1">
      <c r="O41" s="47"/>
    </row>
    <row r="42" ht="15.75" customHeight="1">
      <c r="O42" s="47"/>
    </row>
    <row r="43" ht="15.75" customHeight="1">
      <c r="O43" s="47"/>
    </row>
    <row r="44" ht="15.75" customHeight="1">
      <c r="O44" s="47"/>
    </row>
    <row r="45" ht="15.75" customHeight="1">
      <c r="O45" s="47"/>
    </row>
    <row r="46" ht="15.75" customHeight="1">
      <c r="O46" s="47"/>
    </row>
    <row r="47" ht="15.75" customHeight="1">
      <c r="O47" s="47"/>
    </row>
    <row r="48" ht="15.75" customHeight="1">
      <c r="O48" s="47"/>
    </row>
    <row r="49" ht="15.75" customHeight="1">
      <c r="O49" s="47"/>
    </row>
    <row r="50" ht="15.75" customHeight="1">
      <c r="O50" s="47"/>
    </row>
    <row r="51" ht="15.75" customHeight="1">
      <c r="O51" s="47"/>
    </row>
    <row r="52" ht="15.75" customHeight="1">
      <c r="O52" s="47"/>
    </row>
    <row r="53" ht="15.75" customHeight="1">
      <c r="O53" s="47"/>
    </row>
    <row r="54" ht="15.75" customHeight="1">
      <c r="O54" s="47"/>
    </row>
    <row r="55" ht="15.75" customHeight="1">
      <c r="O55" s="47"/>
    </row>
    <row r="56" ht="15.75" customHeight="1">
      <c r="O56" s="47"/>
    </row>
    <row r="57" ht="15.75" customHeight="1">
      <c r="O57" s="47"/>
    </row>
    <row r="58" ht="15.75" customHeight="1">
      <c r="O58" s="47"/>
    </row>
    <row r="59" ht="15.75" customHeight="1">
      <c r="O59" s="47"/>
    </row>
    <row r="60" ht="15.75" customHeight="1">
      <c r="O60" s="47"/>
    </row>
    <row r="61" ht="15.75" customHeight="1">
      <c r="O61" s="47"/>
    </row>
    <row r="62" ht="15.75" customHeight="1">
      <c r="O62" s="47"/>
    </row>
    <row r="63" ht="15.75" customHeight="1">
      <c r="O63" s="47"/>
    </row>
    <row r="64" ht="15.75" customHeight="1">
      <c r="O64" s="47"/>
    </row>
    <row r="65" ht="15.75" customHeight="1">
      <c r="O65" s="47"/>
    </row>
    <row r="66" ht="15.75" customHeight="1">
      <c r="O66" s="47"/>
    </row>
    <row r="67" ht="15.75" customHeight="1">
      <c r="O67" s="47"/>
    </row>
    <row r="68" ht="15.75" customHeight="1">
      <c r="O68" s="47"/>
    </row>
    <row r="69" ht="15.75" customHeight="1">
      <c r="O69" s="47"/>
    </row>
    <row r="70" ht="15.75" customHeight="1">
      <c r="O70" s="47"/>
    </row>
    <row r="71" ht="15.75" customHeight="1">
      <c r="O71" s="47"/>
    </row>
    <row r="72" ht="15.75" customHeight="1">
      <c r="O72" s="47"/>
    </row>
    <row r="73" ht="15.75" customHeight="1">
      <c r="O73" s="47"/>
    </row>
    <row r="74" ht="15.75" customHeight="1">
      <c r="O74" s="47"/>
    </row>
    <row r="75" ht="15.75" customHeight="1">
      <c r="O75" s="47"/>
    </row>
    <row r="76" ht="15.75" customHeight="1">
      <c r="O76" s="47"/>
    </row>
    <row r="77" ht="15.75" customHeight="1">
      <c r="O77" s="47"/>
    </row>
    <row r="78" ht="15.75" customHeight="1">
      <c r="O78" s="47"/>
    </row>
    <row r="79" ht="15.75" customHeight="1">
      <c r="O79" s="47"/>
    </row>
    <row r="80" ht="15.75" customHeight="1">
      <c r="O80" s="47"/>
    </row>
    <row r="81" ht="15.75" customHeight="1">
      <c r="O81" s="47"/>
    </row>
    <row r="82" ht="15.75" customHeight="1">
      <c r="O82" s="47"/>
    </row>
    <row r="83" ht="15.75" customHeight="1">
      <c r="O83" s="47"/>
    </row>
    <row r="84" ht="15.75" customHeight="1">
      <c r="O84" s="47"/>
    </row>
    <row r="85" ht="15.75" customHeight="1">
      <c r="O85" s="47"/>
    </row>
    <row r="86" ht="15.75" customHeight="1">
      <c r="O86" s="47"/>
    </row>
    <row r="87" ht="15.75" customHeight="1">
      <c r="O87" s="47"/>
    </row>
    <row r="88" ht="15.75" customHeight="1">
      <c r="O88" s="47"/>
    </row>
    <row r="89" ht="15.75" customHeight="1">
      <c r="O89" s="47"/>
    </row>
    <row r="90" ht="15.75" customHeight="1">
      <c r="O90" s="47"/>
    </row>
    <row r="91" ht="15.75" customHeight="1">
      <c r="O91" s="47"/>
    </row>
    <row r="92" ht="15.75" customHeight="1">
      <c r="O92" s="47"/>
    </row>
    <row r="93" ht="15.75" customHeight="1">
      <c r="O93" s="47"/>
    </row>
    <row r="94" ht="15.75" customHeight="1">
      <c r="O94" s="47"/>
    </row>
    <row r="95" ht="15.75" customHeight="1">
      <c r="O95" s="47"/>
    </row>
    <row r="96" ht="15.75" customHeight="1">
      <c r="O96" s="47"/>
    </row>
    <row r="97" ht="15.75" customHeight="1">
      <c r="O97" s="47"/>
    </row>
    <row r="98" ht="15.75" customHeight="1">
      <c r="O98" s="47"/>
    </row>
    <row r="99" ht="15.75" customHeight="1">
      <c r="O99" s="47"/>
    </row>
    <row r="100" ht="15.75" customHeight="1">
      <c r="O100" s="47"/>
    </row>
    <row r="101" ht="15.75" customHeight="1">
      <c r="O101" s="47"/>
    </row>
    <row r="102" ht="15.75" customHeight="1">
      <c r="O102" s="47"/>
    </row>
    <row r="103" ht="15.75" customHeight="1">
      <c r="O103" s="47"/>
    </row>
    <row r="104" ht="15.75" customHeight="1">
      <c r="O104" s="47"/>
    </row>
    <row r="105" ht="15.75" customHeight="1">
      <c r="O105" s="47"/>
    </row>
    <row r="106" ht="15.75" customHeight="1">
      <c r="O106" s="47"/>
    </row>
    <row r="107" ht="15.75" customHeight="1">
      <c r="O107" s="47"/>
    </row>
    <row r="108" ht="15.75" customHeight="1">
      <c r="O108" s="47"/>
    </row>
    <row r="109" ht="15.75" customHeight="1">
      <c r="O109" s="47"/>
    </row>
    <row r="110" ht="15.75" customHeight="1">
      <c r="O110" s="47"/>
    </row>
    <row r="111" ht="15.75" customHeight="1">
      <c r="O111" s="47"/>
    </row>
    <row r="112" ht="15.75" customHeight="1">
      <c r="O112" s="47"/>
    </row>
    <row r="113" ht="15.75" customHeight="1">
      <c r="O113" s="47"/>
    </row>
    <row r="114" ht="15.75" customHeight="1">
      <c r="O114" s="47"/>
    </row>
    <row r="115" ht="15.75" customHeight="1">
      <c r="O115" s="47"/>
    </row>
    <row r="116" ht="15.75" customHeight="1">
      <c r="O116" s="47"/>
    </row>
    <row r="117" ht="15.75" customHeight="1">
      <c r="O117" s="47"/>
    </row>
    <row r="118" ht="15.75" customHeight="1">
      <c r="O118" s="47"/>
    </row>
    <row r="119" ht="15.75" customHeight="1">
      <c r="O119" s="47"/>
    </row>
    <row r="120" ht="15.75" customHeight="1">
      <c r="O120" s="47"/>
    </row>
    <row r="121" ht="15.75" customHeight="1">
      <c r="O121" s="47"/>
    </row>
    <row r="122" ht="15.75" customHeight="1">
      <c r="O122" s="47"/>
    </row>
    <row r="123" ht="15.75" customHeight="1">
      <c r="O123" s="47"/>
    </row>
    <row r="124" ht="15.75" customHeight="1">
      <c r="O124" s="47"/>
    </row>
    <row r="125" ht="15.75" customHeight="1">
      <c r="O125" s="47"/>
    </row>
    <row r="126" ht="15.75" customHeight="1">
      <c r="O126" s="47"/>
    </row>
    <row r="127" ht="15.75" customHeight="1">
      <c r="O127" s="47"/>
    </row>
    <row r="128" ht="15.75" customHeight="1">
      <c r="O128" s="47"/>
    </row>
    <row r="129" ht="15.75" customHeight="1">
      <c r="O129" s="47"/>
    </row>
    <row r="130" ht="15.75" customHeight="1">
      <c r="O130" s="47"/>
    </row>
    <row r="131" ht="15.75" customHeight="1">
      <c r="O131" s="47"/>
    </row>
    <row r="132" ht="15.75" customHeight="1">
      <c r="O132" s="47"/>
    </row>
    <row r="133" ht="15.75" customHeight="1">
      <c r="O133" s="47"/>
    </row>
    <row r="134" ht="15.75" customHeight="1">
      <c r="O134" s="47"/>
    </row>
    <row r="135" ht="15.75" customHeight="1">
      <c r="O135" s="47"/>
    </row>
    <row r="136" ht="15.75" customHeight="1">
      <c r="O136" s="47"/>
    </row>
    <row r="137" ht="15.75" customHeight="1">
      <c r="O137" s="47"/>
    </row>
    <row r="138" ht="15.75" customHeight="1">
      <c r="O138" s="47"/>
    </row>
    <row r="139" ht="15.75" customHeight="1">
      <c r="O139" s="47"/>
    </row>
    <row r="140" ht="15.75" customHeight="1">
      <c r="O140" s="47"/>
    </row>
    <row r="141" ht="15.75" customHeight="1">
      <c r="O141" s="47"/>
    </row>
    <row r="142" ht="15.75" customHeight="1">
      <c r="O142" s="47"/>
    </row>
    <row r="143" ht="15.75" customHeight="1">
      <c r="O143" s="47"/>
    </row>
    <row r="144" ht="15.75" customHeight="1">
      <c r="O144" s="47"/>
    </row>
    <row r="145" ht="15.75" customHeight="1">
      <c r="O145" s="47"/>
    </row>
    <row r="146" ht="15.75" customHeight="1">
      <c r="O146" s="47"/>
    </row>
    <row r="147" ht="15.75" customHeight="1">
      <c r="O147" s="47"/>
    </row>
    <row r="148" ht="15.75" customHeight="1">
      <c r="O148" s="47"/>
    </row>
    <row r="149" ht="15.75" customHeight="1">
      <c r="O149" s="47"/>
    </row>
    <row r="150" ht="15.75" customHeight="1">
      <c r="O150" s="47"/>
    </row>
    <row r="151" ht="15.75" customHeight="1">
      <c r="O151" s="47"/>
    </row>
    <row r="152" ht="15.75" customHeight="1">
      <c r="O152" s="47"/>
    </row>
    <row r="153" ht="15.75" customHeight="1">
      <c r="O153" s="47"/>
    </row>
    <row r="154" ht="15.75" customHeight="1">
      <c r="O154" s="47"/>
    </row>
    <row r="155" ht="15.75" customHeight="1">
      <c r="O155" s="47"/>
    </row>
    <row r="156" ht="15.75" customHeight="1">
      <c r="O156" s="47"/>
    </row>
    <row r="157" ht="15.75" customHeight="1">
      <c r="O157" s="47"/>
    </row>
    <row r="158" ht="15.75" customHeight="1">
      <c r="O158" s="47"/>
    </row>
    <row r="159" ht="15.75" customHeight="1">
      <c r="O159" s="47"/>
    </row>
    <row r="160" ht="15.75" customHeight="1">
      <c r="O160" s="47"/>
    </row>
    <row r="161" ht="15.75" customHeight="1">
      <c r="O161" s="47"/>
    </row>
    <row r="162" ht="15.75" customHeight="1">
      <c r="O162" s="47"/>
    </row>
    <row r="163" ht="15.75" customHeight="1">
      <c r="O163" s="47"/>
    </row>
    <row r="164" ht="15.75" customHeight="1">
      <c r="O164" s="47"/>
    </row>
    <row r="165" ht="15.75" customHeight="1">
      <c r="O165" s="47"/>
    </row>
    <row r="166" ht="15.75" customHeight="1">
      <c r="O166" s="47"/>
    </row>
    <row r="167" ht="15.75" customHeight="1">
      <c r="O167" s="47"/>
    </row>
    <row r="168" ht="15.75" customHeight="1">
      <c r="O168" s="47"/>
    </row>
    <row r="169" ht="15.75" customHeight="1">
      <c r="O169" s="47"/>
    </row>
    <row r="170" ht="15.75" customHeight="1">
      <c r="O170" s="47"/>
    </row>
    <row r="171" ht="15.75" customHeight="1">
      <c r="O171" s="47"/>
    </row>
    <row r="172" ht="15.75" customHeight="1">
      <c r="O172" s="47"/>
    </row>
    <row r="173" ht="15.75" customHeight="1">
      <c r="O173" s="47"/>
    </row>
    <row r="174" ht="15.75" customHeight="1">
      <c r="O174" s="47"/>
    </row>
    <row r="175" ht="15.75" customHeight="1">
      <c r="O175" s="47"/>
    </row>
    <row r="176" ht="15.75" customHeight="1">
      <c r="O176" s="47"/>
    </row>
    <row r="177" ht="15.75" customHeight="1">
      <c r="O177" s="47"/>
    </row>
    <row r="178" ht="15.75" customHeight="1">
      <c r="O178" s="47"/>
    </row>
    <row r="179" ht="15.75" customHeight="1">
      <c r="O179" s="47"/>
    </row>
    <row r="180" ht="15.75" customHeight="1">
      <c r="O180" s="47"/>
    </row>
    <row r="181" ht="15.75" customHeight="1">
      <c r="O181" s="47"/>
    </row>
    <row r="182" ht="15.75" customHeight="1">
      <c r="O182" s="47"/>
    </row>
    <row r="183" ht="15.75" customHeight="1">
      <c r="O183" s="47"/>
    </row>
    <row r="184" ht="15.75" customHeight="1">
      <c r="O184" s="47"/>
    </row>
    <row r="185" ht="15.75" customHeight="1">
      <c r="O185" s="47"/>
    </row>
    <row r="186" ht="15.75" customHeight="1">
      <c r="O186" s="47"/>
    </row>
    <row r="187" ht="15.75" customHeight="1">
      <c r="O187" s="47"/>
    </row>
    <row r="188" ht="15.75" customHeight="1">
      <c r="O188" s="47"/>
    </row>
    <row r="189" ht="15.75" customHeight="1">
      <c r="O189" s="47"/>
    </row>
    <row r="190" ht="15.75" customHeight="1">
      <c r="O190" s="47"/>
    </row>
    <row r="191" ht="15.75" customHeight="1">
      <c r="O191" s="47"/>
    </row>
    <row r="192" ht="15.75" customHeight="1">
      <c r="O192" s="47"/>
    </row>
    <row r="193" ht="15.75" customHeight="1">
      <c r="O193" s="47"/>
    </row>
    <row r="194" ht="15.75" customHeight="1">
      <c r="O194" s="47"/>
    </row>
    <row r="195" ht="15.75" customHeight="1">
      <c r="O195" s="47"/>
    </row>
    <row r="196" ht="15.75" customHeight="1">
      <c r="O196" s="47"/>
    </row>
    <row r="197" ht="15.75" customHeight="1">
      <c r="O197" s="47"/>
    </row>
    <row r="198" ht="15.75" customHeight="1">
      <c r="O198" s="47"/>
    </row>
    <row r="199" ht="15.75" customHeight="1">
      <c r="O199" s="47"/>
    </row>
    <row r="200" ht="15.75" customHeight="1">
      <c r="O200" s="47"/>
    </row>
    <row r="201" ht="15.75" customHeight="1">
      <c r="O201" s="47"/>
    </row>
    <row r="202" ht="15.75" customHeight="1">
      <c r="O202" s="47"/>
    </row>
    <row r="203" ht="15.75" customHeight="1">
      <c r="O203" s="47"/>
    </row>
    <row r="204" ht="15.75" customHeight="1">
      <c r="O204" s="47"/>
    </row>
    <row r="205" ht="15.75" customHeight="1">
      <c r="O205" s="47"/>
    </row>
    <row r="206" ht="15.75" customHeight="1">
      <c r="O206" s="47"/>
    </row>
    <row r="207" ht="15.75" customHeight="1">
      <c r="O207" s="47"/>
    </row>
    <row r="208" ht="15.75" customHeight="1">
      <c r="O208" s="47"/>
    </row>
    <row r="209" ht="15.75" customHeight="1">
      <c r="O209" s="47"/>
    </row>
    <row r="210" ht="15.75" customHeight="1">
      <c r="O210" s="47"/>
    </row>
    <row r="211" ht="15.75" customHeight="1">
      <c r="O211" s="47"/>
    </row>
    <row r="212" ht="15.75" customHeight="1">
      <c r="O212" s="47"/>
    </row>
    <row r="213" ht="15.75" customHeight="1">
      <c r="O213" s="47"/>
    </row>
    <row r="214" ht="15.75" customHeight="1">
      <c r="O214" s="47"/>
    </row>
    <row r="215" ht="15.75" customHeight="1">
      <c r="O215" s="47"/>
    </row>
    <row r="216" ht="15.75" customHeight="1">
      <c r="O216" s="47"/>
    </row>
    <row r="217" ht="15.75" customHeight="1">
      <c r="O217" s="47"/>
    </row>
    <row r="218" ht="15.75" customHeight="1">
      <c r="O218" s="47"/>
    </row>
    <row r="219" ht="15.75" customHeight="1">
      <c r="O219" s="47"/>
    </row>
    <row r="220" ht="15.75" customHeight="1">
      <c r="O220" s="47"/>
    </row>
    <row r="221" ht="15.75" customHeight="1">
      <c r="O221" s="47"/>
    </row>
    <row r="222" ht="15.75" customHeight="1">
      <c r="O222" s="47"/>
    </row>
    <row r="223" ht="15.75" customHeight="1">
      <c r="O223" s="47"/>
    </row>
    <row r="224" ht="15.75" customHeight="1">
      <c r="O224" s="47"/>
    </row>
    <row r="225" ht="15.75" customHeight="1">
      <c r="O225" s="47"/>
    </row>
    <row r="226" ht="15.75" customHeight="1">
      <c r="O226" s="47"/>
    </row>
    <row r="227" ht="15.75" customHeight="1">
      <c r="O227" s="47"/>
    </row>
    <row r="228" ht="15.75" customHeight="1">
      <c r="O228" s="47"/>
    </row>
    <row r="229" ht="15.75" customHeight="1">
      <c r="O229" s="47"/>
    </row>
    <row r="230" ht="15.75" customHeight="1">
      <c r="O230" s="47"/>
    </row>
    <row r="231" ht="15.75" customHeight="1">
      <c r="O231" s="47"/>
    </row>
    <row r="232" ht="15.75" customHeight="1">
      <c r="O232" s="47"/>
    </row>
    <row r="233" ht="15.75" customHeight="1">
      <c r="O233" s="47"/>
    </row>
    <row r="234" ht="15.75" customHeight="1">
      <c r="O234" s="47"/>
    </row>
    <row r="235" ht="15.75" customHeight="1">
      <c r="O235" s="47"/>
    </row>
    <row r="236" ht="15.75" customHeight="1">
      <c r="O236" s="47"/>
    </row>
    <row r="237" ht="15.75" customHeight="1">
      <c r="O237" s="47"/>
    </row>
    <row r="238" ht="15.75" customHeight="1">
      <c r="O238" s="47"/>
    </row>
    <row r="239" ht="15.75" customHeight="1">
      <c r="O239" s="47"/>
    </row>
    <row r="240" ht="15.75" customHeight="1">
      <c r="O240" s="47"/>
    </row>
    <row r="241" ht="15.75" customHeight="1">
      <c r="O241" s="47"/>
    </row>
    <row r="242" ht="15.75" customHeight="1">
      <c r="O242" s="47"/>
    </row>
    <row r="243" ht="15.75" customHeight="1">
      <c r="O243" s="47"/>
    </row>
    <row r="244" ht="15.75" customHeight="1">
      <c r="O244" s="47"/>
    </row>
    <row r="245" ht="15.75" customHeight="1">
      <c r="O245" s="47"/>
    </row>
    <row r="246" ht="15.75" customHeight="1">
      <c r="O246" s="47"/>
    </row>
    <row r="247" ht="15.75" customHeight="1">
      <c r="O247" s="47"/>
    </row>
    <row r="248" ht="15.75" customHeight="1">
      <c r="O248" s="47"/>
    </row>
    <row r="249" ht="15.75" customHeight="1">
      <c r="O249" s="47"/>
    </row>
    <row r="250" ht="15.75" customHeight="1">
      <c r="O250" s="47"/>
    </row>
    <row r="251" ht="15.75" customHeight="1">
      <c r="O251" s="47"/>
    </row>
    <row r="252" ht="15.75" customHeight="1">
      <c r="O252" s="47"/>
    </row>
    <row r="253" ht="15.75" customHeight="1">
      <c r="O253" s="47"/>
    </row>
    <row r="254" ht="15.75" customHeight="1">
      <c r="O254" s="47"/>
    </row>
    <row r="255" ht="15.75" customHeight="1">
      <c r="O255" s="47"/>
    </row>
    <row r="256" ht="15.75" customHeight="1">
      <c r="O256" s="47"/>
    </row>
    <row r="257" ht="15.75" customHeight="1">
      <c r="O257" s="47"/>
    </row>
    <row r="258" ht="15.75" customHeight="1">
      <c r="O258" s="47"/>
    </row>
    <row r="259" ht="15.75" customHeight="1">
      <c r="O259" s="47"/>
    </row>
    <row r="260" ht="15.75" customHeight="1">
      <c r="O260" s="47"/>
    </row>
    <row r="261" ht="15.75" customHeight="1">
      <c r="O261" s="47"/>
    </row>
    <row r="262" ht="15.75" customHeight="1">
      <c r="O262" s="47"/>
    </row>
    <row r="263" ht="15.75" customHeight="1">
      <c r="O263" s="47"/>
    </row>
    <row r="264" ht="15.75" customHeight="1">
      <c r="O264" s="47"/>
    </row>
    <row r="265" ht="15.75" customHeight="1">
      <c r="O265" s="47"/>
    </row>
    <row r="266" ht="15.75" customHeight="1">
      <c r="O266" s="47"/>
    </row>
    <row r="267" ht="15.75" customHeight="1">
      <c r="O267" s="47"/>
    </row>
    <row r="268" ht="15.75" customHeight="1">
      <c r="O268" s="47"/>
    </row>
    <row r="269" ht="15.75" customHeight="1">
      <c r="O269" s="47"/>
    </row>
    <row r="270" ht="15.75" customHeight="1">
      <c r="O270" s="47"/>
    </row>
    <row r="271" ht="15.75" customHeight="1">
      <c r="O271" s="47"/>
    </row>
    <row r="272" ht="15.75" customHeight="1">
      <c r="O272" s="47"/>
    </row>
    <row r="273" ht="15.75" customHeight="1">
      <c r="O273" s="47"/>
    </row>
    <row r="274" ht="15.75" customHeight="1">
      <c r="O274" s="47"/>
    </row>
    <row r="275" ht="15.75" customHeight="1">
      <c r="O275" s="47"/>
    </row>
    <row r="276" ht="15.75" customHeight="1">
      <c r="O276" s="47"/>
    </row>
    <row r="277" ht="15.75" customHeight="1">
      <c r="O277" s="47"/>
    </row>
    <row r="278" ht="15.75" customHeight="1">
      <c r="O278" s="47"/>
    </row>
    <row r="279" ht="15.75" customHeight="1">
      <c r="O279" s="47"/>
    </row>
    <row r="280" ht="15.75" customHeight="1">
      <c r="O280" s="47"/>
    </row>
    <row r="281" ht="15.75" customHeight="1">
      <c r="O281" s="47"/>
    </row>
    <row r="282" ht="15.75" customHeight="1">
      <c r="O282" s="47"/>
    </row>
    <row r="283" ht="15.75" customHeight="1">
      <c r="O283" s="47"/>
    </row>
    <row r="284" ht="15.75" customHeight="1">
      <c r="O284" s="47"/>
    </row>
    <row r="285" ht="15.75" customHeight="1">
      <c r="O285" s="47"/>
    </row>
    <row r="286" ht="15.75" customHeight="1">
      <c r="O286" s="47"/>
    </row>
    <row r="287" ht="15.75" customHeight="1">
      <c r="O287" s="47"/>
    </row>
    <row r="288" ht="15.75" customHeight="1">
      <c r="O288" s="47"/>
    </row>
    <row r="289" ht="15.75" customHeight="1">
      <c r="O289" s="47"/>
    </row>
    <row r="290" ht="15.75" customHeight="1">
      <c r="O290" s="47"/>
    </row>
    <row r="291" ht="15.75" customHeight="1">
      <c r="O291" s="47"/>
    </row>
    <row r="292" ht="15.75" customHeight="1">
      <c r="O292" s="47"/>
    </row>
    <row r="293" ht="15.75" customHeight="1">
      <c r="O293" s="47"/>
    </row>
    <row r="294" ht="15.75" customHeight="1">
      <c r="O294" s="47"/>
    </row>
    <row r="295" ht="15.75" customHeight="1">
      <c r="O295" s="47"/>
    </row>
    <row r="296" ht="15.75" customHeight="1">
      <c r="O296" s="47"/>
    </row>
    <row r="297" ht="15.75" customHeight="1">
      <c r="O297" s="47"/>
    </row>
    <row r="298" ht="15.75" customHeight="1">
      <c r="O298" s="47"/>
    </row>
    <row r="299" ht="15.75" customHeight="1">
      <c r="O299" s="47"/>
    </row>
    <row r="300" ht="15.75" customHeight="1">
      <c r="O300" s="47"/>
    </row>
    <row r="301" ht="15.75" customHeight="1">
      <c r="O301" s="47"/>
    </row>
    <row r="302" ht="15.75" customHeight="1">
      <c r="O302" s="47"/>
    </row>
    <row r="303" ht="15.75" customHeight="1">
      <c r="O303" s="47"/>
    </row>
    <row r="304" ht="15.75" customHeight="1">
      <c r="O304" s="47"/>
    </row>
    <row r="305" ht="15.75" customHeight="1">
      <c r="O305" s="47"/>
    </row>
    <row r="306" ht="15.75" customHeight="1">
      <c r="O306" s="47"/>
    </row>
    <row r="307" ht="15.75" customHeight="1">
      <c r="O307" s="47"/>
    </row>
    <row r="308" ht="15.75" customHeight="1">
      <c r="O308" s="47"/>
    </row>
    <row r="309" ht="15.75" customHeight="1">
      <c r="O309" s="47"/>
    </row>
    <row r="310" ht="15.75" customHeight="1">
      <c r="O310" s="47"/>
    </row>
    <row r="311" ht="15.75" customHeight="1">
      <c r="O311" s="47"/>
    </row>
    <row r="312" ht="15.75" customHeight="1">
      <c r="O312" s="47"/>
    </row>
    <row r="313" ht="15.75" customHeight="1">
      <c r="O313" s="47"/>
    </row>
    <row r="314" ht="15.75" customHeight="1">
      <c r="O314" s="47"/>
    </row>
    <row r="315" ht="15.75" customHeight="1">
      <c r="O315" s="47"/>
    </row>
    <row r="316" ht="15.75" customHeight="1">
      <c r="O316" s="47"/>
    </row>
    <row r="317" ht="15.75" customHeight="1">
      <c r="O317" s="47"/>
    </row>
    <row r="318" ht="15.75" customHeight="1">
      <c r="O318" s="47"/>
    </row>
    <row r="319" ht="15.75" customHeight="1">
      <c r="O319" s="47"/>
    </row>
    <row r="320" ht="15.75" customHeight="1">
      <c r="O320" s="47"/>
    </row>
    <row r="321" ht="15.75" customHeight="1">
      <c r="O321" s="47"/>
    </row>
    <row r="322" ht="15.75" customHeight="1">
      <c r="O322" s="47"/>
    </row>
    <row r="323" ht="15.75" customHeight="1">
      <c r="O323" s="47"/>
    </row>
    <row r="324" ht="15.75" customHeight="1">
      <c r="O324" s="47"/>
    </row>
    <row r="325" ht="15.75" customHeight="1">
      <c r="O325" s="47"/>
    </row>
    <row r="326" ht="15.75" customHeight="1">
      <c r="O326" s="47"/>
    </row>
    <row r="327" ht="15.75" customHeight="1">
      <c r="O327" s="47"/>
    </row>
    <row r="328" ht="15.75" customHeight="1">
      <c r="O328" s="47"/>
    </row>
    <row r="329" ht="15.75" customHeight="1">
      <c r="O329" s="47"/>
    </row>
    <row r="330" ht="15.75" customHeight="1">
      <c r="O330" s="47"/>
    </row>
    <row r="331" ht="15.75" customHeight="1">
      <c r="O331" s="47"/>
    </row>
    <row r="332" ht="15.75" customHeight="1">
      <c r="O332" s="47"/>
    </row>
    <row r="333" ht="15.75" customHeight="1">
      <c r="O333" s="47"/>
    </row>
    <row r="334" ht="15.75" customHeight="1">
      <c r="O334" s="47"/>
    </row>
    <row r="335" ht="15.75" customHeight="1">
      <c r="O335" s="47"/>
    </row>
    <row r="336" ht="15.75" customHeight="1">
      <c r="O336" s="47"/>
    </row>
    <row r="337" ht="15.75" customHeight="1">
      <c r="O337" s="47"/>
    </row>
    <row r="338" ht="15.75" customHeight="1">
      <c r="O338" s="47"/>
    </row>
    <row r="339" ht="15.75" customHeight="1">
      <c r="O339" s="47"/>
    </row>
    <row r="340" ht="15.75" customHeight="1">
      <c r="O340" s="47"/>
    </row>
    <row r="341" ht="15.75" customHeight="1">
      <c r="O341" s="47"/>
    </row>
    <row r="342" ht="15.75" customHeight="1">
      <c r="O342" s="47"/>
    </row>
    <row r="343" ht="15.75" customHeight="1">
      <c r="O343" s="47"/>
    </row>
    <row r="344" ht="15.75" customHeight="1">
      <c r="O344" s="47"/>
    </row>
    <row r="345" ht="15.75" customHeight="1">
      <c r="O345" s="47"/>
    </row>
    <row r="346" ht="15.75" customHeight="1">
      <c r="O346" s="47"/>
    </row>
    <row r="347" ht="15.75" customHeight="1">
      <c r="O347" s="47"/>
    </row>
    <row r="348" ht="15.75" customHeight="1">
      <c r="O348" s="47"/>
    </row>
    <row r="349" ht="15.75" customHeight="1">
      <c r="O349" s="47"/>
    </row>
    <row r="350" ht="15.75" customHeight="1">
      <c r="O350" s="47"/>
    </row>
    <row r="351" ht="15.75" customHeight="1">
      <c r="O351" s="47"/>
    </row>
    <row r="352" ht="15.75" customHeight="1">
      <c r="O352" s="47"/>
    </row>
    <row r="353" ht="15.75" customHeight="1">
      <c r="O353" s="47"/>
    </row>
    <row r="354" ht="15.75" customHeight="1">
      <c r="O354" s="47"/>
    </row>
    <row r="355" ht="15.75" customHeight="1">
      <c r="O355" s="47"/>
    </row>
    <row r="356" ht="15.75" customHeight="1">
      <c r="O356" s="47"/>
    </row>
    <row r="357" ht="15.75" customHeight="1">
      <c r="O357" s="47"/>
    </row>
    <row r="358" ht="15.75" customHeight="1">
      <c r="O358" s="47"/>
    </row>
    <row r="359" ht="15.75" customHeight="1">
      <c r="O359" s="47"/>
    </row>
    <row r="360" ht="15.75" customHeight="1">
      <c r="O360" s="47"/>
    </row>
    <row r="361" ht="15.75" customHeight="1">
      <c r="O361" s="47"/>
    </row>
    <row r="362" ht="15.75" customHeight="1">
      <c r="O362" s="47"/>
    </row>
    <row r="363" ht="15.75" customHeight="1">
      <c r="O363" s="47"/>
    </row>
    <row r="364" ht="15.75" customHeight="1">
      <c r="O364" s="47"/>
    </row>
    <row r="365" ht="15.75" customHeight="1">
      <c r="O365" s="47"/>
    </row>
    <row r="366" ht="15.75" customHeight="1">
      <c r="O366" s="47"/>
    </row>
    <row r="367" ht="15.75" customHeight="1">
      <c r="O367" s="47"/>
    </row>
    <row r="368" ht="15.75" customHeight="1">
      <c r="O368" s="47"/>
    </row>
    <row r="369" ht="15.75" customHeight="1">
      <c r="O369" s="47"/>
    </row>
    <row r="370" ht="15.75" customHeight="1">
      <c r="O370" s="47"/>
    </row>
    <row r="371" ht="15.75" customHeight="1">
      <c r="O371" s="47"/>
    </row>
    <row r="372" ht="15.75" customHeight="1">
      <c r="O372" s="47"/>
    </row>
    <row r="373" ht="15.75" customHeight="1">
      <c r="O373" s="47"/>
    </row>
    <row r="374" ht="15.75" customHeight="1">
      <c r="O374" s="47"/>
    </row>
    <row r="375" ht="15.75" customHeight="1">
      <c r="O375" s="47"/>
    </row>
    <row r="376" ht="15.75" customHeight="1">
      <c r="O376" s="47"/>
    </row>
    <row r="377" ht="15.75" customHeight="1">
      <c r="O377" s="47"/>
    </row>
    <row r="378" ht="15.75" customHeight="1">
      <c r="O378" s="47"/>
    </row>
    <row r="379" ht="15.75" customHeight="1">
      <c r="O379" s="47"/>
    </row>
    <row r="380" ht="15.75" customHeight="1">
      <c r="O380" s="47"/>
    </row>
    <row r="381" ht="15.75" customHeight="1">
      <c r="O381" s="47"/>
    </row>
    <row r="382" ht="15.75" customHeight="1">
      <c r="O382" s="47"/>
    </row>
    <row r="383" ht="15.75" customHeight="1">
      <c r="O383" s="47"/>
    </row>
    <row r="384" ht="15.75" customHeight="1">
      <c r="O384" s="47"/>
    </row>
    <row r="385" ht="15.75" customHeight="1">
      <c r="O385" s="47"/>
    </row>
    <row r="386" ht="15.75" customHeight="1">
      <c r="O386" s="47"/>
    </row>
    <row r="387" ht="15.75" customHeight="1">
      <c r="O387" s="47"/>
    </row>
    <row r="388" ht="15.75" customHeight="1">
      <c r="O388" s="47"/>
    </row>
    <row r="389" ht="15.75" customHeight="1">
      <c r="O389" s="47"/>
    </row>
    <row r="390" ht="15.75" customHeight="1">
      <c r="O390" s="47"/>
    </row>
    <row r="391" ht="15.75" customHeight="1">
      <c r="O391" s="47"/>
    </row>
    <row r="392" ht="15.75" customHeight="1">
      <c r="O392" s="47"/>
    </row>
    <row r="393" ht="15.75" customHeight="1">
      <c r="O393" s="47"/>
    </row>
    <row r="394" ht="15.75" customHeight="1">
      <c r="O394" s="47"/>
    </row>
    <row r="395" ht="15.75" customHeight="1">
      <c r="O395" s="47"/>
    </row>
    <row r="396" ht="15.75" customHeight="1">
      <c r="O396" s="47"/>
    </row>
    <row r="397" ht="15.75" customHeight="1">
      <c r="O397" s="47"/>
    </row>
    <row r="398" ht="15.75" customHeight="1">
      <c r="O398" s="47"/>
    </row>
    <row r="399" ht="15.75" customHeight="1">
      <c r="O399" s="47"/>
    </row>
    <row r="400" ht="15.75" customHeight="1">
      <c r="O400" s="47"/>
    </row>
    <row r="401" ht="15.75" customHeight="1">
      <c r="O401" s="47"/>
    </row>
    <row r="402" ht="15.75" customHeight="1">
      <c r="O402" s="47"/>
    </row>
    <row r="403" ht="15.75" customHeight="1">
      <c r="O403" s="47"/>
    </row>
    <row r="404" ht="15.75" customHeight="1">
      <c r="O404" s="47"/>
    </row>
    <row r="405" ht="15.75" customHeight="1">
      <c r="O405" s="47"/>
    </row>
    <row r="406" ht="15.75" customHeight="1">
      <c r="O406" s="47"/>
    </row>
    <row r="407" ht="15.75" customHeight="1">
      <c r="O407" s="47"/>
    </row>
    <row r="408" ht="15.75" customHeight="1">
      <c r="O408" s="47"/>
    </row>
    <row r="409" ht="15.75" customHeight="1">
      <c r="O409" s="47"/>
    </row>
    <row r="410" ht="15.75" customHeight="1">
      <c r="O410" s="47"/>
    </row>
    <row r="411" ht="15.75" customHeight="1">
      <c r="O411" s="47"/>
    </row>
    <row r="412" ht="15.75" customHeight="1">
      <c r="O412" s="47"/>
    </row>
    <row r="413" ht="15.75" customHeight="1">
      <c r="O413" s="47"/>
    </row>
    <row r="414" ht="15.75" customHeight="1">
      <c r="O414" s="47"/>
    </row>
    <row r="415" ht="15.75" customHeight="1">
      <c r="O415" s="47"/>
    </row>
    <row r="416" ht="15.75" customHeight="1">
      <c r="O416" s="47"/>
    </row>
    <row r="417" ht="15.75" customHeight="1">
      <c r="O417" s="47"/>
    </row>
    <row r="418" ht="15.75" customHeight="1">
      <c r="O418" s="47"/>
    </row>
    <row r="419" ht="15.75" customHeight="1">
      <c r="O419" s="47"/>
    </row>
    <row r="420" ht="15.75" customHeight="1">
      <c r="O420" s="47"/>
    </row>
    <row r="421" ht="15.75" customHeight="1">
      <c r="O421" s="47"/>
    </row>
    <row r="422" ht="15.75" customHeight="1">
      <c r="O422" s="47"/>
    </row>
    <row r="423" ht="15.75" customHeight="1">
      <c r="O423" s="47"/>
    </row>
    <row r="424" ht="15.75" customHeight="1">
      <c r="O424" s="47"/>
    </row>
    <row r="425" ht="15.75" customHeight="1">
      <c r="O425" s="47"/>
    </row>
    <row r="426" ht="15.75" customHeight="1">
      <c r="O426" s="47"/>
    </row>
    <row r="427" ht="15.75" customHeight="1">
      <c r="O427" s="47"/>
    </row>
    <row r="428" ht="15.75" customHeight="1">
      <c r="O428" s="47"/>
    </row>
    <row r="429" ht="15.75" customHeight="1">
      <c r="O429" s="47"/>
    </row>
    <row r="430" ht="15.75" customHeight="1">
      <c r="O430" s="47"/>
    </row>
    <row r="431" ht="15.75" customHeight="1">
      <c r="O431" s="47"/>
    </row>
    <row r="432" ht="15.75" customHeight="1">
      <c r="O432" s="47"/>
    </row>
    <row r="433" ht="15.75" customHeight="1">
      <c r="O433" s="47"/>
    </row>
    <row r="434" ht="15.75" customHeight="1">
      <c r="O434" s="47"/>
    </row>
    <row r="435" ht="15.75" customHeight="1">
      <c r="O435" s="47"/>
    </row>
    <row r="436" ht="15.75" customHeight="1">
      <c r="O436" s="47"/>
    </row>
    <row r="437" ht="15.75" customHeight="1">
      <c r="O437" s="47"/>
    </row>
    <row r="438" ht="15.75" customHeight="1">
      <c r="O438" s="47"/>
    </row>
    <row r="439" ht="15.75" customHeight="1">
      <c r="O439" s="47"/>
    </row>
    <row r="440" ht="15.75" customHeight="1">
      <c r="O440" s="47"/>
    </row>
    <row r="441" ht="15.75" customHeight="1">
      <c r="O441" s="47"/>
    </row>
    <row r="442" ht="15.75" customHeight="1">
      <c r="O442" s="47"/>
    </row>
    <row r="443" ht="15.75" customHeight="1">
      <c r="O443" s="47"/>
    </row>
    <row r="444" ht="15.75" customHeight="1">
      <c r="O444" s="47"/>
    </row>
    <row r="445" ht="15.75" customHeight="1">
      <c r="O445" s="47"/>
    </row>
    <row r="446" ht="15.75" customHeight="1">
      <c r="O446" s="47"/>
    </row>
    <row r="447" ht="15.75" customHeight="1">
      <c r="O447" s="47"/>
    </row>
    <row r="448" ht="15.75" customHeight="1">
      <c r="O448" s="47"/>
    </row>
    <row r="449" ht="15.75" customHeight="1">
      <c r="O449" s="47"/>
    </row>
    <row r="450" ht="15.75" customHeight="1">
      <c r="O450" s="47"/>
    </row>
    <row r="451" ht="15.75" customHeight="1">
      <c r="O451" s="47"/>
    </row>
    <row r="452" ht="15.75" customHeight="1">
      <c r="O452" s="47"/>
    </row>
    <row r="453" ht="15.75" customHeight="1">
      <c r="O453" s="47"/>
    </row>
    <row r="454" ht="15.75" customHeight="1">
      <c r="O454" s="47"/>
    </row>
    <row r="455" ht="15.75" customHeight="1">
      <c r="O455" s="47"/>
    </row>
    <row r="456" ht="15.75" customHeight="1">
      <c r="O456" s="47"/>
    </row>
    <row r="457" ht="15.75" customHeight="1">
      <c r="O457" s="47"/>
    </row>
    <row r="458" ht="15.75" customHeight="1">
      <c r="O458" s="47"/>
    </row>
    <row r="459" ht="15.75" customHeight="1">
      <c r="O459" s="47"/>
    </row>
    <row r="460" ht="15.75" customHeight="1">
      <c r="O460" s="47"/>
    </row>
    <row r="461" ht="15.75" customHeight="1">
      <c r="O461" s="47"/>
    </row>
    <row r="462" ht="15.75" customHeight="1">
      <c r="O462" s="47"/>
    </row>
    <row r="463" ht="15.75" customHeight="1">
      <c r="O463" s="47"/>
    </row>
    <row r="464" ht="15.75" customHeight="1">
      <c r="O464" s="47"/>
    </row>
    <row r="465" ht="15.75" customHeight="1">
      <c r="O465" s="47"/>
    </row>
    <row r="466" ht="15.75" customHeight="1">
      <c r="O466" s="47"/>
    </row>
    <row r="467" ht="15.75" customHeight="1">
      <c r="O467" s="47"/>
    </row>
    <row r="468" ht="15.75" customHeight="1">
      <c r="O468" s="47"/>
    </row>
    <row r="469" ht="15.75" customHeight="1">
      <c r="O469" s="47"/>
    </row>
    <row r="470" ht="15.75" customHeight="1">
      <c r="O470" s="47"/>
    </row>
    <row r="471" ht="15.75" customHeight="1">
      <c r="O471" s="47"/>
    </row>
    <row r="472" ht="15.75" customHeight="1">
      <c r="O472" s="47"/>
    </row>
    <row r="473" ht="15.75" customHeight="1">
      <c r="O473" s="47"/>
    </row>
    <row r="474" ht="15.75" customHeight="1">
      <c r="O474" s="47"/>
    </row>
    <row r="475" ht="15.75" customHeight="1">
      <c r="O475" s="47"/>
    </row>
    <row r="476" ht="15.75" customHeight="1">
      <c r="O476" s="47"/>
    </row>
    <row r="477" ht="15.75" customHeight="1">
      <c r="O477" s="47"/>
    </row>
    <row r="478" ht="15.75" customHeight="1">
      <c r="O478" s="47"/>
    </row>
    <row r="479" ht="15.75" customHeight="1">
      <c r="O479" s="47"/>
    </row>
    <row r="480" ht="15.75" customHeight="1">
      <c r="O480" s="47"/>
    </row>
    <row r="481" ht="15.75" customHeight="1">
      <c r="O481" s="47"/>
    </row>
    <row r="482" ht="15.75" customHeight="1">
      <c r="O482" s="47"/>
    </row>
    <row r="483" ht="15.75" customHeight="1">
      <c r="O483" s="47"/>
    </row>
    <row r="484" ht="15.75" customHeight="1">
      <c r="O484" s="47"/>
    </row>
    <row r="485" ht="15.75" customHeight="1">
      <c r="O485" s="47"/>
    </row>
    <row r="486" ht="15.75" customHeight="1">
      <c r="O486" s="47"/>
    </row>
    <row r="487" ht="15.75" customHeight="1">
      <c r="O487" s="47"/>
    </row>
    <row r="488" ht="15.75" customHeight="1">
      <c r="O488" s="47"/>
    </row>
    <row r="489" ht="15.75" customHeight="1">
      <c r="O489" s="47"/>
    </row>
    <row r="490" ht="15.75" customHeight="1">
      <c r="O490" s="47"/>
    </row>
    <row r="491" ht="15.75" customHeight="1">
      <c r="O491" s="47"/>
    </row>
    <row r="492" ht="15.75" customHeight="1">
      <c r="O492" s="47"/>
    </row>
    <row r="493" ht="15.75" customHeight="1">
      <c r="O493" s="47"/>
    </row>
    <row r="494" ht="15.75" customHeight="1">
      <c r="O494" s="47"/>
    </row>
    <row r="495" ht="15.75" customHeight="1">
      <c r="O495" s="47"/>
    </row>
    <row r="496" ht="15.75" customHeight="1">
      <c r="O496" s="47"/>
    </row>
    <row r="497" ht="15.75" customHeight="1">
      <c r="O497" s="47"/>
    </row>
    <row r="498" ht="15.75" customHeight="1">
      <c r="O498" s="47"/>
    </row>
    <row r="499" ht="15.75" customHeight="1">
      <c r="O499" s="47"/>
    </row>
    <row r="500" ht="15.75" customHeight="1">
      <c r="O500" s="47"/>
    </row>
    <row r="501" ht="15.75" customHeight="1">
      <c r="O501" s="47"/>
    </row>
    <row r="502" ht="15.75" customHeight="1">
      <c r="O502" s="47"/>
    </row>
    <row r="503" ht="15.75" customHeight="1">
      <c r="O503" s="47"/>
    </row>
    <row r="504" ht="15.75" customHeight="1">
      <c r="O504" s="47"/>
    </row>
    <row r="505" ht="15.75" customHeight="1">
      <c r="O505" s="47"/>
    </row>
    <row r="506" ht="15.75" customHeight="1">
      <c r="O506" s="47"/>
    </row>
    <row r="507" ht="15.75" customHeight="1">
      <c r="O507" s="47"/>
    </row>
    <row r="508" ht="15.75" customHeight="1">
      <c r="O508" s="47"/>
    </row>
    <row r="509" ht="15.75" customHeight="1">
      <c r="O509" s="47"/>
    </row>
    <row r="510" ht="15.75" customHeight="1">
      <c r="O510" s="47"/>
    </row>
    <row r="511" ht="15.75" customHeight="1">
      <c r="O511" s="47"/>
    </row>
    <row r="512" ht="15.75" customHeight="1">
      <c r="O512" s="47"/>
    </row>
    <row r="513" ht="15.75" customHeight="1">
      <c r="O513" s="47"/>
    </row>
    <row r="514" ht="15.75" customHeight="1">
      <c r="O514" s="47"/>
    </row>
    <row r="515" ht="15.75" customHeight="1">
      <c r="O515" s="47"/>
    </row>
    <row r="516" ht="15.75" customHeight="1">
      <c r="O516" s="47"/>
    </row>
    <row r="517" ht="15.75" customHeight="1">
      <c r="O517" s="47"/>
    </row>
    <row r="518" ht="15.75" customHeight="1">
      <c r="O518" s="47"/>
    </row>
    <row r="519" ht="15.75" customHeight="1">
      <c r="O519" s="47"/>
    </row>
    <row r="520" ht="15.75" customHeight="1">
      <c r="O520" s="47"/>
    </row>
    <row r="521" ht="15.75" customHeight="1">
      <c r="O521" s="47"/>
    </row>
    <row r="522" ht="15.75" customHeight="1">
      <c r="O522" s="47"/>
    </row>
    <row r="523" ht="15.75" customHeight="1">
      <c r="O523" s="47"/>
    </row>
    <row r="524" ht="15.75" customHeight="1">
      <c r="O524" s="47"/>
    </row>
    <row r="525" ht="15.75" customHeight="1">
      <c r="O525" s="47"/>
    </row>
    <row r="526" ht="15.75" customHeight="1">
      <c r="O526" s="47"/>
    </row>
    <row r="527" ht="15.75" customHeight="1">
      <c r="O527" s="47"/>
    </row>
    <row r="528" ht="15.75" customHeight="1">
      <c r="O528" s="47"/>
    </row>
    <row r="529" ht="15.75" customHeight="1">
      <c r="O529" s="47"/>
    </row>
    <row r="530" ht="15.75" customHeight="1">
      <c r="O530" s="47"/>
    </row>
    <row r="531" ht="15.75" customHeight="1">
      <c r="O531" s="47"/>
    </row>
    <row r="532" ht="15.75" customHeight="1">
      <c r="O532" s="47"/>
    </row>
    <row r="533" ht="15.75" customHeight="1">
      <c r="O533" s="47"/>
    </row>
    <row r="534" ht="15.75" customHeight="1">
      <c r="O534" s="47"/>
    </row>
    <row r="535" ht="15.75" customHeight="1">
      <c r="O535" s="47"/>
    </row>
    <row r="536" ht="15.75" customHeight="1">
      <c r="O536" s="47"/>
    </row>
    <row r="537" ht="15.75" customHeight="1">
      <c r="O537" s="47"/>
    </row>
    <row r="538" ht="15.75" customHeight="1">
      <c r="O538" s="47"/>
    </row>
    <row r="539" ht="15.75" customHeight="1">
      <c r="O539" s="47"/>
    </row>
    <row r="540" ht="15.75" customHeight="1">
      <c r="O540" s="47"/>
    </row>
    <row r="541" ht="15.75" customHeight="1">
      <c r="O541" s="47"/>
    </row>
    <row r="542" ht="15.75" customHeight="1">
      <c r="O542" s="47"/>
    </row>
    <row r="543" ht="15.75" customHeight="1">
      <c r="O543" s="47"/>
    </row>
    <row r="544" ht="15.75" customHeight="1">
      <c r="O544" s="47"/>
    </row>
    <row r="545" ht="15.75" customHeight="1">
      <c r="O545" s="47"/>
    </row>
    <row r="546" ht="15.75" customHeight="1">
      <c r="O546" s="47"/>
    </row>
    <row r="547" ht="15.75" customHeight="1">
      <c r="O547" s="47"/>
    </row>
    <row r="548" ht="15.75" customHeight="1">
      <c r="O548" s="47"/>
    </row>
    <row r="549" ht="15.75" customHeight="1">
      <c r="O549" s="47"/>
    </row>
    <row r="550" ht="15.75" customHeight="1">
      <c r="O550" s="47"/>
    </row>
    <row r="551" ht="15.75" customHeight="1">
      <c r="O551" s="47"/>
    </row>
    <row r="552" ht="15.75" customHeight="1">
      <c r="O552" s="47"/>
    </row>
    <row r="553" ht="15.75" customHeight="1">
      <c r="O553" s="47"/>
    </row>
    <row r="554" ht="15.75" customHeight="1">
      <c r="O554" s="47"/>
    </row>
    <row r="555" ht="15.75" customHeight="1">
      <c r="O555" s="47"/>
    </row>
    <row r="556" ht="15.75" customHeight="1">
      <c r="O556" s="47"/>
    </row>
    <row r="557" ht="15.75" customHeight="1">
      <c r="O557" s="47"/>
    </row>
    <row r="558" ht="15.75" customHeight="1">
      <c r="O558" s="47"/>
    </row>
    <row r="559" ht="15.75" customHeight="1">
      <c r="O559" s="47"/>
    </row>
    <row r="560" ht="15.75" customHeight="1">
      <c r="O560" s="47"/>
    </row>
    <row r="561" ht="15.75" customHeight="1">
      <c r="O561" s="47"/>
    </row>
    <row r="562" ht="15.75" customHeight="1">
      <c r="O562" s="47"/>
    </row>
    <row r="563" ht="15.75" customHeight="1">
      <c r="O563" s="47"/>
    </row>
    <row r="564" ht="15.75" customHeight="1">
      <c r="O564" s="47"/>
    </row>
    <row r="565" ht="15.75" customHeight="1">
      <c r="O565" s="47"/>
    </row>
    <row r="566" ht="15.75" customHeight="1">
      <c r="O566" s="47"/>
    </row>
    <row r="567" ht="15.75" customHeight="1">
      <c r="O567" s="47"/>
    </row>
    <row r="568" ht="15.75" customHeight="1">
      <c r="O568" s="47"/>
    </row>
    <row r="569" ht="15.75" customHeight="1">
      <c r="O569" s="47"/>
    </row>
    <row r="570" ht="15.75" customHeight="1">
      <c r="O570" s="47"/>
    </row>
    <row r="571" ht="15.75" customHeight="1">
      <c r="O571" s="47"/>
    </row>
    <row r="572" ht="15.75" customHeight="1">
      <c r="O572" s="47"/>
    </row>
    <row r="573" ht="15.75" customHeight="1">
      <c r="O573" s="47"/>
    </row>
    <row r="574" ht="15.75" customHeight="1">
      <c r="O574" s="47"/>
    </row>
    <row r="575" ht="15.75" customHeight="1">
      <c r="O575" s="47"/>
    </row>
    <row r="576" ht="15.75" customHeight="1">
      <c r="O576" s="47"/>
    </row>
    <row r="577" ht="15.75" customHeight="1">
      <c r="O577" s="47"/>
    </row>
    <row r="578" ht="15.75" customHeight="1">
      <c r="O578" s="47"/>
    </row>
    <row r="579" ht="15.75" customHeight="1">
      <c r="O579" s="47"/>
    </row>
    <row r="580" ht="15.75" customHeight="1">
      <c r="O580" s="47"/>
    </row>
    <row r="581" ht="15.75" customHeight="1">
      <c r="O581" s="47"/>
    </row>
    <row r="582" ht="15.75" customHeight="1">
      <c r="O582" s="47"/>
    </row>
    <row r="583" ht="15.75" customHeight="1">
      <c r="O583" s="47"/>
    </row>
    <row r="584" ht="15.75" customHeight="1">
      <c r="O584" s="47"/>
    </row>
    <row r="585" ht="15.75" customHeight="1">
      <c r="O585" s="47"/>
    </row>
    <row r="586" ht="15.75" customHeight="1">
      <c r="O586" s="47"/>
    </row>
    <row r="587" ht="15.75" customHeight="1">
      <c r="O587" s="47"/>
    </row>
    <row r="588" ht="15.75" customHeight="1">
      <c r="O588" s="47"/>
    </row>
    <row r="589" ht="15.75" customHeight="1">
      <c r="O589" s="47"/>
    </row>
    <row r="590" ht="15.75" customHeight="1">
      <c r="O590" s="47"/>
    </row>
    <row r="591" ht="15.75" customHeight="1">
      <c r="O591" s="47"/>
    </row>
    <row r="592" ht="15.75" customHeight="1">
      <c r="O592" s="47"/>
    </row>
    <row r="593" ht="15.75" customHeight="1">
      <c r="O593" s="47"/>
    </row>
    <row r="594" ht="15.75" customHeight="1">
      <c r="O594" s="47"/>
    </row>
    <row r="595" ht="15.75" customHeight="1">
      <c r="O595" s="47"/>
    </row>
    <row r="596" ht="15.75" customHeight="1">
      <c r="O596" s="47"/>
    </row>
    <row r="597" ht="15.75" customHeight="1">
      <c r="O597" s="47"/>
    </row>
    <row r="598" ht="15.75" customHeight="1">
      <c r="O598" s="47"/>
    </row>
    <row r="599" ht="15.75" customHeight="1">
      <c r="O599" s="47"/>
    </row>
    <row r="600" ht="15.75" customHeight="1">
      <c r="O600" s="47"/>
    </row>
    <row r="601" ht="15.75" customHeight="1">
      <c r="O601" s="47"/>
    </row>
    <row r="602" ht="15.75" customHeight="1">
      <c r="O602" s="47"/>
    </row>
    <row r="603" ht="15.75" customHeight="1">
      <c r="O603" s="47"/>
    </row>
    <row r="604" ht="15.75" customHeight="1">
      <c r="O604" s="47"/>
    </row>
    <row r="605" ht="15.75" customHeight="1">
      <c r="O605" s="47"/>
    </row>
    <row r="606" ht="15.75" customHeight="1">
      <c r="O606" s="47"/>
    </row>
    <row r="607" ht="15.75" customHeight="1">
      <c r="O607" s="47"/>
    </row>
    <row r="608" ht="15.75" customHeight="1">
      <c r="O608" s="47"/>
    </row>
    <row r="609" ht="15.75" customHeight="1">
      <c r="O609" s="47"/>
    </row>
    <row r="610" ht="15.75" customHeight="1">
      <c r="O610" s="47"/>
    </row>
    <row r="611" ht="15.75" customHeight="1">
      <c r="O611" s="47"/>
    </row>
    <row r="612" ht="15.75" customHeight="1">
      <c r="O612" s="47"/>
    </row>
    <row r="613" ht="15.75" customHeight="1">
      <c r="O613" s="47"/>
    </row>
    <row r="614" ht="15.75" customHeight="1">
      <c r="O614" s="47"/>
    </row>
    <row r="615" ht="15.75" customHeight="1">
      <c r="O615" s="47"/>
    </row>
    <row r="616" ht="15.75" customHeight="1">
      <c r="O616" s="47"/>
    </row>
    <row r="617" ht="15.75" customHeight="1">
      <c r="O617" s="47"/>
    </row>
    <row r="618" ht="15.75" customHeight="1">
      <c r="O618" s="47"/>
    </row>
    <row r="619" ht="15.75" customHeight="1">
      <c r="O619" s="47"/>
    </row>
    <row r="620" ht="15.75" customHeight="1">
      <c r="O620" s="47"/>
    </row>
    <row r="621" ht="15.75" customHeight="1">
      <c r="O621" s="47"/>
    </row>
    <row r="622" ht="15.75" customHeight="1">
      <c r="O622" s="47"/>
    </row>
    <row r="623" ht="15.75" customHeight="1">
      <c r="O623" s="47"/>
    </row>
    <row r="624" ht="15.75" customHeight="1">
      <c r="O624" s="47"/>
    </row>
    <row r="625" ht="15.75" customHeight="1">
      <c r="O625" s="47"/>
    </row>
    <row r="626" ht="15.75" customHeight="1">
      <c r="O626" s="47"/>
    </row>
    <row r="627" ht="15.75" customHeight="1">
      <c r="O627" s="47"/>
    </row>
    <row r="628" ht="15.75" customHeight="1">
      <c r="O628" s="47"/>
    </row>
    <row r="629" ht="15.75" customHeight="1">
      <c r="O629" s="47"/>
    </row>
    <row r="630" ht="15.75" customHeight="1">
      <c r="O630" s="47"/>
    </row>
    <row r="631" ht="15.75" customHeight="1">
      <c r="O631" s="47"/>
    </row>
    <row r="632" ht="15.75" customHeight="1">
      <c r="O632" s="47"/>
    </row>
    <row r="633" ht="15.75" customHeight="1">
      <c r="O633" s="47"/>
    </row>
    <row r="634" ht="15.75" customHeight="1">
      <c r="O634" s="47"/>
    </row>
    <row r="635" ht="15.75" customHeight="1">
      <c r="O635" s="47"/>
    </row>
    <row r="636" ht="15.75" customHeight="1">
      <c r="O636" s="47"/>
    </row>
    <row r="637" ht="15.75" customHeight="1">
      <c r="O637" s="47"/>
    </row>
    <row r="638" ht="15.75" customHeight="1">
      <c r="O638" s="47"/>
    </row>
    <row r="639" ht="15.75" customHeight="1">
      <c r="O639" s="47"/>
    </row>
    <row r="640" ht="15.75" customHeight="1">
      <c r="O640" s="47"/>
    </row>
    <row r="641" ht="15.75" customHeight="1">
      <c r="O641" s="47"/>
    </row>
    <row r="642" ht="15.75" customHeight="1">
      <c r="O642" s="47"/>
    </row>
    <row r="643" ht="15.75" customHeight="1">
      <c r="O643" s="47"/>
    </row>
    <row r="644" ht="15.75" customHeight="1">
      <c r="O644" s="47"/>
    </row>
    <row r="645" ht="15.75" customHeight="1">
      <c r="O645" s="47"/>
    </row>
    <row r="646" ht="15.75" customHeight="1">
      <c r="O646" s="47"/>
    </row>
    <row r="647" ht="15.75" customHeight="1">
      <c r="O647" s="47"/>
    </row>
    <row r="648" ht="15.75" customHeight="1">
      <c r="O648" s="47"/>
    </row>
    <row r="649" ht="15.75" customHeight="1">
      <c r="O649" s="47"/>
    </row>
    <row r="650" ht="15.75" customHeight="1">
      <c r="O650" s="47"/>
    </row>
    <row r="651" ht="15.75" customHeight="1">
      <c r="O651" s="47"/>
    </row>
    <row r="652" ht="15.75" customHeight="1">
      <c r="O652" s="47"/>
    </row>
    <row r="653" ht="15.75" customHeight="1">
      <c r="O653" s="47"/>
    </row>
    <row r="654" ht="15.75" customHeight="1">
      <c r="O654" s="47"/>
    </row>
    <row r="655" ht="15.75" customHeight="1">
      <c r="O655" s="47"/>
    </row>
    <row r="656" ht="15.75" customHeight="1">
      <c r="O656" s="47"/>
    </row>
    <row r="657" ht="15.75" customHeight="1">
      <c r="O657" s="47"/>
    </row>
    <row r="658" ht="15.75" customHeight="1">
      <c r="O658" s="47"/>
    </row>
    <row r="659" ht="15.75" customHeight="1">
      <c r="O659" s="47"/>
    </row>
    <row r="660" ht="15.75" customHeight="1">
      <c r="O660" s="47"/>
    </row>
    <row r="661" ht="15.75" customHeight="1">
      <c r="O661" s="47"/>
    </row>
    <row r="662" ht="15.75" customHeight="1">
      <c r="O662" s="47"/>
    </row>
    <row r="663" ht="15.75" customHeight="1">
      <c r="O663" s="47"/>
    </row>
    <row r="664" ht="15.75" customHeight="1">
      <c r="O664" s="47"/>
    </row>
    <row r="665" ht="15.75" customHeight="1">
      <c r="O665" s="47"/>
    </row>
    <row r="666" ht="15.75" customHeight="1">
      <c r="O666" s="47"/>
    </row>
    <row r="667" ht="15.75" customHeight="1">
      <c r="O667" s="47"/>
    </row>
    <row r="668" ht="15.75" customHeight="1">
      <c r="O668" s="47"/>
    </row>
    <row r="669" ht="15.75" customHeight="1">
      <c r="O669" s="47"/>
    </row>
    <row r="670" ht="15.75" customHeight="1">
      <c r="O670" s="47"/>
    </row>
    <row r="671" ht="15.75" customHeight="1">
      <c r="O671" s="47"/>
    </row>
    <row r="672" ht="15.75" customHeight="1">
      <c r="O672" s="47"/>
    </row>
    <row r="673" ht="15.75" customHeight="1">
      <c r="O673" s="47"/>
    </row>
    <row r="674" ht="15.75" customHeight="1">
      <c r="O674" s="47"/>
    </row>
    <row r="675" ht="15.75" customHeight="1">
      <c r="O675" s="47"/>
    </row>
    <row r="676" ht="15.75" customHeight="1">
      <c r="O676" s="47"/>
    </row>
    <row r="677" ht="15.75" customHeight="1">
      <c r="O677" s="47"/>
    </row>
    <row r="678" ht="15.75" customHeight="1">
      <c r="O678" s="47"/>
    </row>
    <row r="679" ht="15.75" customHeight="1">
      <c r="O679" s="47"/>
    </row>
    <row r="680" ht="15.75" customHeight="1">
      <c r="O680" s="47"/>
    </row>
    <row r="681" ht="15.75" customHeight="1">
      <c r="O681" s="47"/>
    </row>
    <row r="682" ht="15.75" customHeight="1">
      <c r="O682" s="47"/>
    </row>
    <row r="683" ht="15.75" customHeight="1">
      <c r="O683" s="47"/>
    </row>
    <row r="684" ht="15.75" customHeight="1">
      <c r="O684" s="47"/>
    </row>
    <row r="685" ht="15.75" customHeight="1">
      <c r="O685" s="47"/>
    </row>
    <row r="686" ht="15.75" customHeight="1">
      <c r="O686" s="47"/>
    </row>
    <row r="687" ht="15.75" customHeight="1">
      <c r="O687" s="47"/>
    </row>
    <row r="688" ht="15.75" customHeight="1">
      <c r="O688" s="47"/>
    </row>
    <row r="689" ht="15.75" customHeight="1">
      <c r="O689" s="47"/>
    </row>
    <row r="690" ht="15.75" customHeight="1">
      <c r="O690" s="47"/>
    </row>
    <row r="691" ht="15.75" customHeight="1">
      <c r="O691" s="47"/>
    </row>
    <row r="692" ht="15.75" customHeight="1">
      <c r="O692" s="47"/>
    </row>
    <row r="693" ht="15.75" customHeight="1">
      <c r="O693" s="47"/>
    </row>
    <row r="694" ht="15.75" customHeight="1">
      <c r="O694" s="47"/>
    </row>
    <row r="695" ht="15.75" customHeight="1">
      <c r="O695" s="47"/>
    </row>
    <row r="696" ht="15.75" customHeight="1">
      <c r="O696" s="47"/>
    </row>
    <row r="697" ht="15.75" customHeight="1">
      <c r="O697" s="47"/>
    </row>
    <row r="698" ht="15.75" customHeight="1">
      <c r="O698" s="47"/>
    </row>
    <row r="699" ht="15.75" customHeight="1">
      <c r="O699" s="47"/>
    </row>
    <row r="700" ht="15.75" customHeight="1">
      <c r="O700" s="47"/>
    </row>
    <row r="701" ht="15.75" customHeight="1">
      <c r="O701" s="47"/>
    </row>
    <row r="702" ht="15.75" customHeight="1">
      <c r="O702" s="47"/>
    </row>
    <row r="703" ht="15.75" customHeight="1">
      <c r="O703" s="47"/>
    </row>
    <row r="704" ht="15.75" customHeight="1">
      <c r="O704" s="47"/>
    </row>
    <row r="705" ht="15.75" customHeight="1">
      <c r="O705" s="47"/>
    </row>
    <row r="706" ht="15.75" customHeight="1">
      <c r="O706" s="47"/>
    </row>
    <row r="707" ht="15.75" customHeight="1">
      <c r="O707" s="47"/>
    </row>
    <row r="708" ht="15.75" customHeight="1">
      <c r="O708" s="47"/>
    </row>
    <row r="709" ht="15.75" customHeight="1">
      <c r="O709" s="47"/>
    </row>
    <row r="710" ht="15.75" customHeight="1">
      <c r="O710" s="47"/>
    </row>
    <row r="711" ht="15.75" customHeight="1">
      <c r="O711" s="47"/>
    </row>
    <row r="712" ht="15.75" customHeight="1">
      <c r="O712" s="47"/>
    </row>
    <row r="713" ht="15.75" customHeight="1">
      <c r="O713" s="47"/>
    </row>
    <row r="714" ht="15.75" customHeight="1">
      <c r="O714" s="47"/>
    </row>
    <row r="715" ht="15.75" customHeight="1">
      <c r="O715" s="47"/>
    </row>
    <row r="716" ht="15.75" customHeight="1">
      <c r="O716" s="47"/>
    </row>
    <row r="717" ht="15.75" customHeight="1">
      <c r="O717" s="47"/>
    </row>
    <row r="718" ht="15.75" customHeight="1">
      <c r="O718" s="47"/>
    </row>
    <row r="719" ht="15.75" customHeight="1">
      <c r="O719" s="47"/>
    </row>
    <row r="720" ht="15.75" customHeight="1">
      <c r="O720" s="47"/>
    </row>
    <row r="721" ht="15.75" customHeight="1">
      <c r="O721" s="47"/>
    </row>
    <row r="722" ht="15.75" customHeight="1">
      <c r="O722" s="47"/>
    </row>
    <row r="723" ht="15.75" customHeight="1">
      <c r="O723" s="47"/>
    </row>
    <row r="724" ht="15.75" customHeight="1">
      <c r="O724" s="47"/>
    </row>
    <row r="725" ht="15.75" customHeight="1">
      <c r="O725" s="47"/>
    </row>
    <row r="726" ht="15.75" customHeight="1">
      <c r="O726" s="47"/>
    </row>
    <row r="727" ht="15.75" customHeight="1">
      <c r="O727" s="47"/>
    </row>
    <row r="728" ht="15.75" customHeight="1">
      <c r="O728" s="47"/>
    </row>
    <row r="729" ht="15.75" customHeight="1">
      <c r="O729" s="47"/>
    </row>
    <row r="730" ht="15.75" customHeight="1">
      <c r="O730" s="47"/>
    </row>
    <row r="731" ht="15.75" customHeight="1">
      <c r="O731" s="47"/>
    </row>
    <row r="732" ht="15.75" customHeight="1">
      <c r="O732" s="47"/>
    </row>
    <row r="733" ht="15.75" customHeight="1">
      <c r="O733" s="47"/>
    </row>
    <row r="734" ht="15.75" customHeight="1">
      <c r="O734" s="47"/>
    </row>
    <row r="735" ht="15.75" customHeight="1">
      <c r="O735" s="47"/>
    </row>
    <row r="736" ht="15.75" customHeight="1">
      <c r="O736" s="47"/>
    </row>
    <row r="737" ht="15.75" customHeight="1">
      <c r="O737" s="47"/>
    </row>
    <row r="738" ht="15.75" customHeight="1">
      <c r="O738" s="47"/>
    </row>
    <row r="739" ht="15.75" customHeight="1">
      <c r="O739" s="47"/>
    </row>
    <row r="740" ht="15.75" customHeight="1">
      <c r="O740" s="47"/>
    </row>
    <row r="741" ht="15.75" customHeight="1">
      <c r="O741" s="47"/>
    </row>
    <row r="742" ht="15.75" customHeight="1">
      <c r="O742" s="47"/>
    </row>
    <row r="743" ht="15.75" customHeight="1">
      <c r="O743" s="47"/>
    </row>
    <row r="744" ht="15.75" customHeight="1">
      <c r="O744" s="47"/>
    </row>
    <row r="745" ht="15.75" customHeight="1">
      <c r="O745" s="47"/>
    </row>
    <row r="746" ht="15.75" customHeight="1">
      <c r="O746" s="47"/>
    </row>
    <row r="747" ht="15.75" customHeight="1">
      <c r="O747" s="47"/>
    </row>
    <row r="748" ht="15.75" customHeight="1">
      <c r="O748" s="47"/>
    </row>
    <row r="749" ht="15.75" customHeight="1">
      <c r="O749" s="47"/>
    </row>
    <row r="750" ht="15.75" customHeight="1">
      <c r="O750" s="47"/>
    </row>
    <row r="751" ht="15.75" customHeight="1">
      <c r="O751" s="47"/>
    </row>
    <row r="752" ht="15.75" customHeight="1">
      <c r="O752" s="47"/>
    </row>
    <row r="753" ht="15.75" customHeight="1">
      <c r="O753" s="47"/>
    </row>
    <row r="754" ht="15.75" customHeight="1">
      <c r="O754" s="47"/>
    </row>
    <row r="755" ht="15.75" customHeight="1">
      <c r="O755" s="47"/>
    </row>
    <row r="756" ht="15.75" customHeight="1">
      <c r="O756" s="47"/>
    </row>
    <row r="757" ht="15.75" customHeight="1">
      <c r="O757" s="47"/>
    </row>
    <row r="758" ht="15.75" customHeight="1">
      <c r="O758" s="47"/>
    </row>
    <row r="759" ht="15.75" customHeight="1">
      <c r="O759" s="47"/>
    </row>
    <row r="760" ht="15.75" customHeight="1">
      <c r="O760" s="47"/>
    </row>
    <row r="761" ht="15.75" customHeight="1">
      <c r="O761" s="47"/>
    </row>
    <row r="762" ht="15.75" customHeight="1">
      <c r="O762" s="47"/>
    </row>
    <row r="763" ht="15.75" customHeight="1">
      <c r="O763" s="47"/>
    </row>
    <row r="764" ht="15.75" customHeight="1">
      <c r="O764" s="47"/>
    </row>
    <row r="765" ht="15.75" customHeight="1">
      <c r="O765" s="47"/>
    </row>
    <row r="766" ht="15.75" customHeight="1">
      <c r="O766" s="47"/>
    </row>
    <row r="767" ht="15.75" customHeight="1">
      <c r="O767" s="47"/>
    </row>
    <row r="768" ht="15.75" customHeight="1">
      <c r="O768" s="47"/>
    </row>
    <row r="769" ht="15.75" customHeight="1">
      <c r="O769" s="47"/>
    </row>
    <row r="770" ht="15.75" customHeight="1">
      <c r="O770" s="47"/>
    </row>
    <row r="771" ht="15.75" customHeight="1">
      <c r="O771" s="47"/>
    </row>
    <row r="772" ht="15.75" customHeight="1">
      <c r="O772" s="47"/>
    </row>
    <row r="773" ht="15.75" customHeight="1">
      <c r="O773" s="47"/>
    </row>
    <row r="774" ht="15.75" customHeight="1">
      <c r="O774" s="47"/>
    </row>
    <row r="775" ht="15.75" customHeight="1">
      <c r="O775" s="47"/>
    </row>
    <row r="776" ht="15.75" customHeight="1">
      <c r="O776" s="47"/>
    </row>
    <row r="777" ht="15.75" customHeight="1">
      <c r="O777" s="47"/>
    </row>
    <row r="778" ht="15.75" customHeight="1">
      <c r="O778" s="47"/>
    </row>
    <row r="779" ht="15.75" customHeight="1">
      <c r="O779" s="47"/>
    </row>
    <row r="780" ht="15.75" customHeight="1">
      <c r="O780" s="47"/>
    </row>
    <row r="781" ht="15.75" customHeight="1">
      <c r="O781" s="47"/>
    </row>
    <row r="782" ht="15.75" customHeight="1">
      <c r="O782" s="47"/>
    </row>
    <row r="783" ht="15.75" customHeight="1">
      <c r="O783" s="47"/>
    </row>
    <row r="784" ht="15.75" customHeight="1">
      <c r="O784" s="47"/>
    </row>
    <row r="785" ht="15.75" customHeight="1">
      <c r="O785" s="47"/>
    </row>
    <row r="786" ht="15.75" customHeight="1">
      <c r="O786" s="47"/>
    </row>
    <row r="787" ht="15.75" customHeight="1">
      <c r="O787" s="47"/>
    </row>
    <row r="788" ht="15.75" customHeight="1">
      <c r="O788" s="47"/>
    </row>
    <row r="789" ht="15.75" customHeight="1">
      <c r="O789" s="47"/>
    </row>
    <row r="790" ht="15.75" customHeight="1">
      <c r="O790" s="47"/>
    </row>
    <row r="791" ht="15.75" customHeight="1">
      <c r="O791" s="47"/>
    </row>
    <row r="792" ht="15.75" customHeight="1">
      <c r="O792" s="47"/>
    </row>
    <row r="793" ht="15.75" customHeight="1">
      <c r="O793" s="47"/>
    </row>
    <row r="794" ht="15.75" customHeight="1">
      <c r="O794" s="47"/>
    </row>
    <row r="795" ht="15.75" customHeight="1">
      <c r="O795" s="47"/>
    </row>
    <row r="796" ht="15.75" customHeight="1">
      <c r="O796" s="47"/>
    </row>
    <row r="797" ht="15.75" customHeight="1">
      <c r="O797" s="47"/>
    </row>
    <row r="798" ht="15.75" customHeight="1">
      <c r="O798" s="47"/>
    </row>
    <row r="799" ht="15.75" customHeight="1">
      <c r="O799" s="47"/>
    </row>
    <row r="800" ht="15.75" customHeight="1">
      <c r="O800" s="47"/>
    </row>
    <row r="801" ht="15.75" customHeight="1">
      <c r="O801" s="47"/>
    </row>
    <row r="802" ht="15.75" customHeight="1">
      <c r="O802" s="47"/>
    </row>
    <row r="803" ht="15.75" customHeight="1">
      <c r="O803" s="47"/>
    </row>
    <row r="804" ht="15.75" customHeight="1">
      <c r="O804" s="47"/>
    </row>
    <row r="805" ht="15.75" customHeight="1">
      <c r="O805" s="47"/>
    </row>
    <row r="806" ht="15.75" customHeight="1">
      <c r="O806" s="47"/>
    </row>
    <row r="807" ht="15.75" customHeight="1">
      <c r="O807" s="47"/>
    </row>
    <row r="808" ht="15.75" customHeight="1">
      <c r="O808" s="47"/>
    </row>
    <row r="809" ht="15.75" customHeight="1">
      <c r="O809" s="47"/>
    </row>
    <row r="810" ht="15.75" customHeight="1">
      <c r="O810" s="47"/>
    </row>
    <row r="811" ht="15.75" customHeight="1">
      <c r="O811" s="47"/>
    </row>
    <row r="812" ht="15.75" customHeight="1">
      <c r="O812" s="47"/>
    </row>
    <row r="813" ht="15.75" customHeight="1">
      <c r="O813" s="47"/>
    </row>
    <row r="814" ht="15.75" customHeight="1">
      <c r="O814" s="47"/>
    </row>
    <row r="815" ht="15.75" customHeight="1">
      <c r="O815" s="47"/>
    </row>
    <row r="816" ht="15.75" customHeight="1">
      <c r="O816" s="47"/>
    </row>
    <row r="817" ht="15.75" customHeight="1">
      <c r="O817" s="47"/>
    </row>
    <row r="818" ht="15.75" customHeight="1">
      <c r="O818" s="47"/>
    </row>
    <row r="819" ht="15.75" customHeight="1">
      <c r="O819" s="47"/>
    </row>
    <row r="820" ht="15.75" customHeight="1">
      <c r="O820" s="47"/>
    </row>
    <row r="821" ht="15.75" customHeight="1">
      <c r="O821" s="47"/>
    </row>
    <row r="822" ht="15.75" customHeight="1">
      <c r="O822" s="47"/>
    </row>
    <row r="823" ht="15.75" customHeight="1">
      <c r="O823" s="47"/>
    </row>
    <row r="824" ht="15.75" customHeight="1">
      <c r="O824" s="47"/>
    </row>
    <row r="825" ht="15.75" customHeight="1">
      <c r="O825" s="47"/>
    </row>
    <row r="826" ht="15.75" customHeight="1">
      <c r="O826" s="47"/>
    </row>
    <row r="827" ht="15.75" customHeight="1">
      <c r="O827" s="47"/>
    </row>
    <row r="828" ht="15.75" customHeight="1">
      <c r="O828" s="47"/>
    </row>
    <row r="829" ht="15.75" customHeight="1">
      <c r="O829" s="47"/>
    </row>
    <row r="830" ht="15.75" customHeight="1">
      <c r="O830" s="47"/>
    </row>
    <row r="831" ht="15.75" customHeight="1">
      <c r="O831" s="47"/>
    </row>
    <row r="832" ht="15.75" customHeight="1">
      <c r="O832" s="47"/>
    </row>
    <row r="833" ht="15.75" customHeight="1">
      <c r="O833" s="47"/>
    </row>
    <row r="834" ht="15.75" customHeight="1">
      <c r="O834" s="47"/>
    </row>
    <row r="835" ht="15.75" customHeight="1">
      <c r="O835" s="47"/>
    </row>
    <row r="836" ht="15.75" customHeight="1">
      <c r="O836" s="47"/>
    </row>
    <row r="837" ht="15.75" customHeight="1">
      <c r="O837" s="47"/>
    </row>
    <row r="838" ht="15.75" customHeight="1">
      <c r="O838" s="47"/>
    </row>
    <row r="839" ht="15.75" customHeight="1">
      <c r="O839" s="47"/>
    </row>
    <row r="840" ht="15.75" customHeight="1">
      <c r="O840" s="47"/>
    </row>
    <row r="841" ht="15.75" customHeight="1">
      <c r="O841" s="47"/>
    </row>
    <row r="842" ht="15.75" customHeight="1">
      <c r="O842" s="47"/>
    </row>
    <row r="843" ht="15.75" customHeight="1">
      <c r="O843" s="47"/>
    </row>
    <row r="844" ht="15.75" customHeight="1">
      <c r="O844" s="47"/>
    </row>
    <row r="845" ht="15.75" customHeight="1">
      <c r="O845" s="47"/>
    </row>
    <row r="846" ht="15.75" customHeight="1">
      <c r="O846" s="47"/>
    </row>
    <row r="847" ht="15.75" customHeight="1">
      <c r="O847" s="47"/>
    </row>
    <row r="848" ht="15.75" customHeight="1">
      <c r="O848" s="47"/>
    </row>
    <row r="849" ht="15.75" customHeight="1">
      <c r="O849" s="47"/>
    </row>
    <row r="850" ht="15.75" customHeight="1">
      <c r="O850" s="47"/>
    </row>
    <row r="851" ht="15.75" customHeight="1">
      <c r="O851" s="47"/>
    </row>
    <row r="852" ht="15.75" customHeight="1">
      <c r="O852" s="47"/>
    </row>
    <row r="853" ht="15.75" customHeight="1">
      <c r="O853" s="47"/>
    </row>
    <row r="854" ht="15.75" customHeight="1">
      <c r="O854" s="47"/>
    </row>
    <row r="855" ht="15.75" customHeight="1">
      <c r="O855" s="47"/>
    </row>
    <row r="856" ht="15.75" customHeight="1">
      <c r="O856" s="47"/>
    </row>
    <row r="857" ht="15.75" customHeight="1">
      <c r="O857" s="47"/>
    </row>
    <row r="858" ht="15.75" customHeight="1">
      <c r="O858" s="47"/>
    </row>
    <row r="859" ht="15.75" customHeight="1">
      <c r="O859" s="47"/>
    </row>
    <row r="860" ht="15.75" customHeight="1">
      <c r="O860" s="47"/>
    </row>
    <row r="861" ht="15.75" customHeight="1">
      <c r="O861" s="47"/>
    </row>
    <row r="862" ht="15.75" customHeight="1">
      <c r="O862" s="47"/>
    </row>
    <row r="863" ht="15.75" customHeight="1">
      <c r="O863" s="47"/>
    </row>
    <row r="864" ht="15.75" customHeight="1">
      <c r="O864" s="47"/>
    </row>
    <row r="865" ht="15.75" customHeight="1">
      <c r="O865" s="47"/>
    </row>
    <row r="866" ht="15.75" customHeight="1">
      <c r="O866" s="47"/>
    </row>
    <row r="867" ht="15.75" customHeight="1">
      <c r="O867" s="47"/>
    </row>
    <row r="868" ht="15.75" customHeight="1">
      <c r="O868" s="47"/>
    </row>
    <row r="869" ht="15.75" customHeight="1">
      <c r="O869" s="47"/>
    </row>
    <row r="870" ht="15.75" customHeight="1">
      <c r="O870" s="47"/>
    </row>
    <row r="871" ht="15.75" customHeight="1">
      <c r="O871" s="47"/>
    </row>
    <row r="872" ht="15.75" customHeight="1">
      <c r="O872" s="47"/>
    </row>
    <row r="873" ht="15.75" customHeight="1">
      <c r="O873" s="47"/>
    </row>
    <row r="874" ht="15.75" customHeight="1">
      <c r="O874" s="47"/>
    </row>
    <row r="875" ht="15.75" customHeight="1">
      <c r="O875" s="47"/>
    </row>
    <row r="876" ht="15.75" customHeight="1">
      <c r="O876" s="47"/>
    </row>
    <row r="877" ht="15.75" customHeight="1">
      <c r="O877" s="47"/>
    </row>
    <row r="878" ht="15.75" customHeight="1">
      <c r="O878" s="47"/>
    </row>
    <row r="879" ht="15.75" customHeight="1">
      <c r="O879" s="47"/>
    </row>
    <row r="880" ht="15.75" customHeight="1">
      <c r="O880" s="47"/>
    </row>
    <row r="881" ht="15.75" customHeight="1">
      <c r="O881" s="47"/>
    </row>
    <row r="882" ht="15.75" customHeight="1">
      <c r="O882" s="47"/>
    </row>
    <row r="883" ht="15.75" customHeight="1">
      <c r="O883" s="47"/>
    </row>
    <row r="884" ht="15.75" customHeight="1">
      <c r="O884" s="47"/>
    </row>
    <row r="885" ht="15.75" customHeight="1">
      <c r="O885" s="47"/>
    </row>
    <row r="886" ht="15.75" customHeight="1">
      <c r="O886" s="47"/>
    </row>
    <row r="887" ht="15.75" customHeight="1">
      <c r="O887" s="47"/>
    </row>
    <row r="888" ht="15.75" customHeight="1">
      <c r="O888" s="47"/>
    </row>
    <row r="889" ht="15.75" customHeight="1">
      <c r="O889" s="47"/>
    </row>
    <row r="890" ht="15.75" customHeight="1">
      <c r="O890" s="47"/>
    </row>
    <row r="891" ht="15.75" customHeight="1">
      <c r="O891" s="47"/>
    </row>
    <row r="892" ht="15.75" customHeight="1">
      <c r="O892" s="47"/>
    </row>
    <row r="893" ht="15.75" customHeight="1">
      <c r="O893" s="47"/>
    </row>
    <row r="894" ht="15.75" customHeight="1">
      <c r="O894" s="47"/>
    </row>
    <row r="895" ht="15.75" customHeight="1">
      <c r="O895" s="47"/>
    </row>
    <row r="896" ht="15.75" customHeight="1">
      <c r="O896" s="47"/>
    </row>
    <row r="897" ht="15.75" customHeight="1">
      <c r="O897" s="47"/>
    </row>
    <row r="898" ht="15.75" customHeight="1">
      <c r="O898" s="47"/>
    </row>
    <row r="899" ht="15.75" customHeight="1">
      <c r="O899" s="47"/>
    </row>
    <row r="900" ht="15.75" customHeight="1">
      <c r="O900" s="47"/>
    </row>
    <row r="901" ht="15.75" customHeight="1">
      <c r="O901" s="47"/>
    </row>
    <row r="902" ht="15.75" customHeight="1">
      <c r="O902" s="47"/>
    </row>
    <row r="903" ht="15.75" customHeight="1">
      <c r="O903" s="47"/>
    </row>
    <row r="904" ht="15.75" customHeight="1">
      <c r="O904" s="47"/>
    </row>
    <row r="905" ht="15.75" customHeight="1">
      <c r="O905" s="47"/>
    </row>
    <row r="906" ht="15.75" customHeight="1">
      <c r="O906" s="47"/>
    </row>
    <row r="907" ht="15.75" customHeight="1">
      <c r="O907" s="47"/>
    </row>
    <row r="908" ht="15.75" customHeight="1">
      <c r="O908" s="47"/>
    </row>
    <row r="909" ht="15.75" customHeight="1">
      <c r="O909" s="47"/>
    </row>
    <row r="910" ht="15.75" customHeight="1">
      <c r="O910" s="47"/>
    </row>
    <row r="911" ht="15.75" customHeight="1">
      <c r="O911" s="47"/>
    </row>
    <row r="912" ht="15.75" customHeight="1">
      <c r="O912" s="47"/>
    </row>
    <row r="913" ht="15.75" customHeight="1">
      <c r="O913" s="47"/>
    </row>
    <row r="914" ht="15.75" customHeight="1">
      <c r="O914" s="47"/>
    </row>
    <row r="915" ht="15.75" customHeight="1">
      <c r="O915" s="47"/>
    </row>
    <row r="916" ht="15.75" customHeight="1">
      <c r="O916" s="47"/>
    </row>
    <row r="917" ht="15.75" customHeight="1">
      <c r="O917" s="47"/>
    </row>
    <row r="918" ht="15.75" customHeight="1">
      <c r="O918" s="47"/>
    </row>
    <row r="919" ht="15.75" customHeight="1">
      <c r="O919" s="47"/>
    </row>
    <row r="920" ht="15.75" customHeight="1">
      <c r="O920" s="47"/>
    </row>
    <row r="921" ht="15.75" customHeight="1">
      <c r="O921" s="47"/>
    </row>
    <row r="922" ht="15.75" customHeight="1">
      <c r="O922" s="47"/>
    </row>
    <row r="923" ht="15.75" customHeight="1">
      <c r="O923" s="47"/>
    </row>
    <row r="924" ht="15.75" customHeight="1">
      <c r="O924" s="47"/>
    </row>
    <row r="925" ht="15.75" customHeight="1">
      <c r="O925" s="47"/>
    </row>
    <row r="926" ht="15.75" customHeight="1">
      <c r="O926" s="47"/>
    </row>
    <row r="927" ht="15.75" customHeight="1">
      <c r="O927" s="47"/>
    </row>
    <row r="928" ht="15.75" customHeight="1">
      <c r="O928" s="47"/>
    </row>
    <row r="929" ht="15.75" customHeight="1">
      <c r="O929" s="47"/>
    </row>
    <row r="930" ht="15.75" customHeight="1">
      <c r="O930" s="47"/>
    </row>
    <row r="931" ht="15.75" customHeight="1">
      <c r="O931" s="47"/>
    </row>
    <row r="932" ht="15.75" customHeight="1">
      <c r="O932" s="47"/>
    </row>
    <row r="933" ht="15.75" customHeight="1">
      <c r="O933" s="47"/>
    </row>
    <row r="934" ht="15.75" customHeight="1">
      <c r="O934" s="47"/>
    </row>
    <row r="935" ht="15.75" customHeight="1">
      <c r="O935" s="47"/>
    </row>
    <row r="936" ht="15.75" customHeight="1">
      <c r="O936" s="47"/>
    </row>
    <row r="937" ht="15.75" customHeight="1">
      <c r="O937" s="47"/>
    </row>
    <row r="938" ht="15.75" customHeight="1">
      <c r="O938" s="47"/>
    </row>
    <row r="939" ht="15.75" customHeight="1">
      <c r="O939" s="47"/>
    </row>
    <row r="940" ht="15.75" customHeight="1">
      <c r="O940" s="47"/>
    </row>
    <row r="941" ht="15.75" customHeight="1">
      <c r="O941" s="47"/>
    </row>
    <row r="942" ht="15.75" customHeight="1">
      <c r="O942" s="47"/>
    </row>
    <row r="943" ht="15.75" customHeight="1">
      <c r="O943" s="47"/>
    </row>
    <row r="944" ht="15.75" customHeight="1">
      <c r="O944" s="47"/>
    </row>
    <row r="945" ht="15.75" customHeight="1">
      <c r="O945" s="47"/>
    </row>
    <row r="946" ht="15.75" customHeight="1">
      <c r="O946" s="47"/>
    </row>
    <row r="947" ht="15.75" customHeight="1">
      <c r="O947" s="47"/>
    </row>
    <row r="948" ht="15.75" customHeight="1">
      <c r="O948" s="47"/>
    </row>
    <row r="949" ht="15.75" customHeight="1">
      <c r="O949" s="47"/>
    </row>
    <row r="950" ht="15.75" customHeight="1">
      <c r="O950" s="47"/>
    </row>
    <row r="951" ht="15.75" customHeight="1">
      <c r="O951" s="47"/>
    </row>
    <row r="952" ht="15.75" customHeight="1">
      <c r="O952" s="47"/>
    </row>
    <row r="953" ht="15.75" customHeight="1">
      <c r="O953" s="47"/>
    </row>
    <row r="954" ht="15.75" customHeight="1">
      <c r="O954" s="47"/>
    </row>
    <row r="955" ht="15.75" customHeight="1">
      <c r="O955" s="47"/>
    </row>
    <row r="956" ht="15.75" customHeight="1">
      <c r="O956" s="47"/>
    </row>
    <row r="957" ht="15.75" customHeight="1">
      <c r="O957" s="47"/>
    </row>
    <row r="958" ht="15.75" customHeight="1">
      <c r="O958" s="47"/>
    </row>
    <row r="959" ht="15.75" customHeight="1">
      <c r="O959" s="47"/>
    </row>
    <row r="960" ht="15.75" customHeight="1">
      <c r="O960" s="47"/>
    </row>
    <row r="961" ht="15.75" customHeight="1">
      <c r="O961" s="47"/>
    </row>
    <row r="962" ht="15.75" customHeight="1">
      <c r="O962" s="47"/>
    </row>
    <row r="963" ht="15.75" customHeight="1">
      <c r="O963" s="47"/>
    </row>
    <row r="964" ht="15.75" customHeight="1">
      <c r="O964" s="47"/>
    </row>
    <row r="965" ht="15.75" customHeight="1">
      <c r="O965" s="47"/>
    </row>
    <row r="966" ht="15.75" customHeight="1">
      <c r="O966" s="47"/>
    </row>
    <row r="967" ht="15.75" customHeight="1">
      <c r="O967" s="47"/>
    </row>
    <row r="968" ht="15.75" customHeight="1">
      <c r="O968" s="47"/>
    </row>
    <row r="969" ht="15.75" customHeight="1">
      <c r="O969" s="47"/>
    </row>
    <row r="970" ht="15.75" customHeight="1">
      <c r="O970" s="47"/>
    </row>
    <row r="971" ht="15.75" customHeight="1">
      <c r="O971" s="47"/>
    </row>
    <row r="972" ht="15.75" customHeight="1">
      <c r="O972" s="47"/>
    </row>
    <row r="973" ht="15.75" customHeight="1">
      <c r="O973" s="47"/>
    </row>
    <row r="974" ht="15.75" customHeight="1">
      <c r="O974" s="47"/>
    </row>
    <row r="975" ht="15.75" customHeight="1">
      <c r="O975" s="47"/>
    </row>
    <row r="976" ht="15.75" customHeight="1">
      <c r="O976" s="47"/>
    </row>
    <row r="977" ht="15.75" customHeight="1">
      <c r="O977" s="47"/>
    </row>
    <row r="978" ht="15.75" customHeight="1">
      <c r="O978" s="47"/>
    </row>
    <row r="979" ht="15.75" customHeight="1">
      <c r="O979" s="47"/>
    </row>
    <row r="980" ht="15.75" customHeight="1">
      <c r="O980" s="47"/>
    </row>
    <row r="981" ht="15.75" customHeight="1">
      <c r="O981" s="47"/>
    </row>
    <row r="982" ht="15.75" customHeight="1">
      <c r="O982" s="47"/>
    </row>
    <row r="983" ht="15.75" customHeight="1">
      <c r="O983" s="47"/>
    </row>
    <row r="984" ht="15.75" customHeight="1">
      <c r="O984" s="47"/>
    </row>
    <row r="985" ht="15.75" customHeight="1">
      <c r="O985" s="47"/>
    </row>
    <row r="986" ht="15.75" customHeight="1">
      <c r="O986" s="47"/>
    </row>
    <row r="987" ht="15.75" customHeight="1">
      <c r="O987" s="47"/>
    </row>
    <row r="988" ht="15.75" customHeight="1">
      <c r="O988" s="47"/>
    </row>
    <row r="989" ht="15.75" customHeight="1">
      <c r="O989" s="47"/>
    </row>
    <row r="990" ht="15.75" customHeight="1">
      <c r="O990" s="47"/>
    </row>
    <row r="991" ht="15.75" customHeight="1">
      <c r="O991" s="47"/>
    </row>
    <row r="992" ht="15.75" customHeight="1">
      <c r="O992" s="47"/>
    </row>
    <row r="993" ht="15.75" customHeight="1">
      <c r="O993" s="47"/>
    </row>
    <row r="994" ht="15.75" customHeight="1">
      <c r="O994" s="47"/>
    </row>
    <row r="995" ht="15.75" customHeight="1">
      <c r="O995" s="47"/>
    </row>
    <row r="996" ht="15.75" customHeight="1">
      <c r="O996" s="47"/>
    </row>
    <row r="997" ht="15.75" customHeight="1">
      <c r="O997" s="47"/>
    </row>
    <row r="998" ht="15.75" customHeight="1">
      <c r="O998" s="47"/>
    </row>
    <row r="999" ht="15.75" customHeight="1">
      <c r="O999" s="47"/>
    </row>
    <row r="1000" ht="15.75" customHeight="1">
      <c r="O1000" s="47"/>
    </row>
  </sheetData>
  <mergeCells count="1">
    <mergeCell ref="B2:N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12" width="8.86"/>
    <col customWidth="1" min="13" max="13" width="9.86"/>
    <col customWidth="1" min="14" max="14" width="15.14"/>
    <col customWidth="1" min="15" max="15" width="24.14"/>
    <col customWidth="1" min="16" max="26" width="8.86"/>
  </cols>
  <sheetData>
    <row r="2">
      <c r="B2" s="4" t="s">
        <v>146</v>
      </c>
    </row>
    <row r="4"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9">
        <v>45231.0</v>
      </c>
      <c r="M4" s="9">
        <v>45261.0</v>
      </c>
      <c r="N4" s="8" t="s">
        <v>15</v>
      </c>
      <c r="O4" s="10" t="s">
        <v>16</v>
      </c>
    </row>
    <row r="5">
      <c r="A5" s="11" t="s">
        <v>140</v>
      </c>
    </row>
    <row r="6">
      <c r="A6" s="11" t="s">
        <v>19</v>
      </c>
      <c r="B6" s="52">
        <v>0.0</v>
      </c>
      <c r="C6" s="52">
        <v>0.0</v>
      </c>
      <c r="D6" s="52">
        <v>0.0</v>
      </c>
      <c r="E6" s="52">
        <v>0.0</v>
      </c>
      <c r="F6" s="52">
        <v>0.0</v>
      </c>
      <c r="G6" s="52">
        <v>0.0</v>
      </c>
      <c r="H6" s="52">
        <v>0.0</v>
      </c>
      <c r="I6" s="52">
        <v>0.0</v>
      </c>
      <c r="J6" s="52">
        <v>0.0</v>
      </c>
      <c r="K6" s="52">
        <v>541975.0</v>
      </c>
      <c r="L6" s="52">
        <v>0.0</v>
      </c>
      <c r="M6" s="52">
        <v>0.0</v>
      </c>
      <c r="N6" s="43">
        <f t="shared" ref="N6:N9" si="1">SUM(B6:M6)</f>
        <v>541975</v>
      </c>
    </row>
    <row r="7">
      <c r="A7" s="11" t="s">
        <v>21</v>
      </c>
      <c r="B7" s="52">
        <v>0.0</v>
      </c>
      <c r="C7" s="52">
        <v>20000.0</v>
      </c>
      <c r="D7" s="52">
        <v>20000.0</v>
      </c>
      <c r="E7" s="52">
        <v>50000.0</v>
      </c>
      <c r="F7" s="52">
        <v>50000.0</v>
      </c>
      <c r="G7" s="52">
        <v>100000.0</v>
      </c>
      <c r="H7" s="52">
        <v>200000.0</v>
      </c>
      <c r="I7" s="52">
        <v>355000.0</v>
      </c>
      <c r="J7" s="52">
        <v>160000.0</v>
      </c>
      <c r="K7" s="52">
        <v>10000.0</v>
      </c>
      <c r="L7" s="52">
        <v>0.0</v>
      </c>
      <c r="M7" s="52">
        <v>0.0</v>
      </c>
      <c r="N7" s="43">
        <f t="shared" si="1"/>
        <v>965000</v>
      </c>
    </row>
    <row r="8">
      <c r="A8" s="11" t="s">
        <v>22</v>
      </c>
      <c r="B8" s="53">
        <v>0.0</v>
      </c>
      <c r="C8" s="53">
        <v>0.0</v>
      </c>
      <c r="D8" s="53">
        <v>0.0</v>
      </c>
      <c r="E8" s="53">
        <v>0.0</v>
      </c>
      <c r="F8" s="53">
        <v>0.0</v>
      </c>
      <c r="G8" s="53">
        <v>0.0</v>
      </c>
      <c r="H8" s="53">
        <v>0.0</v>
      </c>
      <c r="I8" s="53">
        <v>0.0</v>
      </c>
      <c r="J8" s="53">
        <v>0.0</v>
      </c>
      <c r="K8" s="53">
        <v>153850.0</v>
      </c>
      <c r="L8" s="53">
        <v>0.0</v>
      </c>
      <c r="M8" s="53">
        <v>0.0</v>
      </c>
      <c r="N8" s="44">
        <f t="shared" si="1"/>
        <v>153850</v>
      </c>
    </row>
    <row r="9">
      <c r="A9" s="11" t="s">
        <v>141</v>
      </c>
      <c r="B9" s="43">
        <f t="shared" ref="B9:M9" si="2">SUM(B6:B8)</f>
        <v>0</v>
      </c>
      <c r="C9" s="43">
        <f t="shared" si="2"/>
        <v>20000</v>
      </c>
      <c r="D9" s="43">
        <f t="shared" si="2"/>
        <v>20000</v>
      </c>
      <c r="E9" s="43">
        <f t="shared" si="2"/>
        <v>50000</v>
      </c>
      <c r="F9" s="43">
        <f t="shared" si="2"/>
        <v>50000</v>
      </c>
      <c r="G9" s="43">
        <f t="shared" si="2"/>
        <v>100000</v>
      </c>
      <c r="H9" s="43">
        <f t="shared" si="2"/>
        <v>200000</v>
      </c>
      <c r="I9" s="43">
        <f t="shared" si="2"/>
        <v>355000</v>
      </c>
      <c r="J9" s="43">
        <f t="shared" si="2"/>
        <v>160000</v>
      </c>
      <c r="K9" s="43">
        <f t="shared" si="2"/>
        <v>705825</v>
      </c>
      <c r="L9" s="43">
        <f t="shared" si="2"/>
        <v>0</v>
      </c>
      <c r="M9" s="43">
        <f t="shared" si="2"/>
        <v>0</v>
      </c>
      <c r="N9" s="43">
        <f t="shared" si="1"/>
        <v>1660825</v>
      </c>
    </row>
    <row r="11">
      <c r="A11" s="11" t="s">
        <v>51</v>
      </c>
    </row>
    <row r="12">
      <c r="A12" s="11" t="s">
        <v>52</v>
      </c>
      <c r="B12" s="54">
        <v>0.0</v>
      </c>
      <c r="C12" s="54">
        <v>0.0</v>
      </c>
      <c r="D12" s="54">
        <v>0.0</v>
      </c>
      <c r="E12" s="54">
        <v>0.0</v>
      </c>
      <c r="F12" s="54">
        <v>0.0</v>
      </c>
      <c r="G12" s="54">
        <v>0.0</v>
      </c>
      <c r="H12" s="54">
        <v>50000.0</v>
      </c>
      <c r="I12" s="54">
        <v>0.0</v>
      </c>
      <c r="J12" s="54">
        <v>0.0</v>
      </c>
      <c r="K12" s="54">
        <v>83500.0</v>
      </c>
      <c r="L12" s="54">
        <v>0.0</v>
      </c>
      <c r="M12" s="54">
        <v>0.0</v>
      </c>
      <c r="N12" s="43">
        <f t="shared" ref="N12:N34" si="3">SUM(B12:M12)</f>
        <v>133500</v>
      </c>
    </row>
    <row r="13">
      <c r="A13" s="11" t="s">
        <v>53</v>
      </c>
      <c r="B13" s="54">
        <v>0.0</v>
      </c>
      <c r="C13" s="54">
        <v>2761.0</v>
      </c>
      <c r="D13" s="54">
        <v>0.0</v>
      </c>
      <c r="E13" s="54">
        <v>0.0</v>
      </c>
      <c r="F13" s="54">
        <v>0.0</v>
      </c>
      <c r="G13" s="54">
        <v>0.0</v>
      </c>
      <c r="H13" s="54">
        <v>0.0</v>
      </c>
      <c r="I13" s="54">
        <v>16500.0</v>
      </c>
      <c r="J13" s="54">
        <v>0.0</v>
      </c>
      <c r="K13" s="54">
        <v>12000.0</v>
      </c>
      <c r="L13" s="54">
        <v>0.0</v>
      </c>
      <c r="M13" s="54">
        <v>0.0</v>
      </c>
      <c r="N13" s="43">
        <f t="shared" si="3"/>
        <v>31261</v>
      </c>
    </row>
    <row r="14">
      <c r="A14" s="11" t="s">
        <v>54</v>
      </c>
      <c r="B14" s="54">
        <v>0.0</v>
      </c>
      <c r="C14" s="54">
        <v>0.0</v>
      </c>
      <c r="D14" s="54">
        <v>0.0</v>
      </c>
      <c r="E14" s="54">
        <v>0.0</v>
      </c>
      <c r="F14" s="54">
        <v>0.0</v>
      </c>
      <c r="G14" s="54">
        <v>0.0</v>
      </c>
      <c r="H14" s="54">
        <v>0.0</v>
      </c>
      <c r="I14" s="54">
        <v>0.0</v>
      </c>
      <c r="J14" s="54">
        <v>600.0</v>
      </c>
      <c r="K14" s="54">
        <v>0.0</v>
      </c>
      <c r="L14" s="54">
        <v>0.0</v>
      </c>
      <c r="M14" s="54">
        <v>0.0</v>
      </c>
      <c r="N14" s="43">
        <f t="shared" si="3"/>
        <v>600</v>
      </c>
    </row>
    <row r="15">
      <c r="A15" s="11" t="s">
        <v>55</v>
      </c>
      <c r="B15" s="54">
        <v>50.0</v>
      </c>
      <c r="C15" s="54">
        <v>50.0</v>
      </c>
      <c r="D15" s="54">
        <v>50.0</v>
      </c>
      <c r="E15" s="54">
        <v>100.0</v>
      </c>
      <c r="F15" s="54">
        <v>200.0</v>
      </c>
      <c r="G15" s="54">
        <v>300.0</v>
      </c>
      <c r="H15" s="54">
        <v>400.0</v>
      </c>
      <c r="I15" s="54">
        <v>500.0</v>
      </c>
      <c r="J15" s="54">
        <v>500.0</v>
      </c>
      <c r="K15" s="54">
        <v>0.0</v>
      </c>
      <c r="L15" s="54">
        <v>0.0</v>
      </c>
      <c r="M15" s="54">
        <v>0.0</v>
      </c>
      <c r="N15" s="43">
        <f t="shared" si="3"/>
        <v>2150</v>
      </c>
    </row>
    <row r="16">
      <c r="A16" s="11" t="s">
        <v>56</v>
      </c>
      <c r="B16" s="54">
        <v>0.0</v>
      </c>
      <c r="C16" s="54">
        <v>0.0</v>
      </c>
      <c r="D16" s="54">
        <v>0.0</v>
      </c>
      <c r="E16" s="54">
        <v>0.0</v>
      </c>
      <c r="F16" s="54">
        <v>0.0</v>
      </c>
      <c r="G16" s="54">
        <v>0.0</v>
      </c>
      <c r="H16" s="54">
        <v>0.0</v>
      </c>
      <c r="I16" s="54">
        <v>200000.0</v>
      </c>
      <c r="J16" s="54">
        <v>0.0</v>
      </c>
      <c r="K16" s="54">
        <v>200000.0</v>
      </c>
      <c r="L16" s="54">
        <v>0.0</v>
      </c>
      <c r="M16" s="54">
        <v>0.0</v>
      </c>
      <c r="N16" s="43">
        <f t="shared" si="3"/>
        <v>400000</v>
      </c>
    </row>
    <row r="17">
      <c r="A17" s="11" t="s">
        <v>57</v>
      </c>
      <c r="B17" s="54">
        <v>0.0</v>
      </c>
      <c r="C17" s="54">
        <v>0.0</v>
      </c>
      <c r="D17" s="54">
        <v>0.0</v>
      </c>
      <c r="E17" s="54">
        <v>0.0</v>
      </c>
      <c r="F17" s="54">
        <v>0.0</v>
      </c>
      <c r="G17" s="54">
        <v>0.0</v>
      </c>
      <c r="H17" s="54">
        <v>0.0</v>
      </c>
      <c r="I17" s="54">
        <v>0.0</v>
      </c>
      <c r="J17" s="54">
        <v>0.0</v>
      </c>
      <c r="K17" s="54">
        <v>0.0</v>
      </c>
      <c r="L17" s="54">
        <v>0.0</v>
      </c>
      <c r="M17" s="54">
        <v>0.0</v>
      </c>
      <c r="N17" s="43">
        <f t="shared" si="3"/>
        <v>0</v>
      </c>
    </row>
    <row r="18">
      <c r="A18" s="11" t="s">
        <v>58</v>
      </c>
      <c r="B18" s="54">
        <v>0.0</v>
      </c>
      <c r="C18" s="54">
        <v>0.0</v>
      </c>
      <c r="D18" s="54">
        <v>0.0</v>
      </c>
      <c r="E18" s="54">
        <v>0.0</v>
      </c>
      <c r="F18" s="54">
        <v>1000.0</v>
      </c>
      <c r="G18" s="54">
        <v>0.0</v>
      </c>
      <c r="H18" s="54">
        <v>0.0</v>
      </c>
      <c r="I18" s="54">
        <v>0.0</v>
      </c>
      <c r="J18" s="54">
        <v>0.0</v>
      </c>
      <c r="K18" s="54">
        <v>0.0</v>
      </c>
      <c r="L18" s="54">
        <v>0.0</v>
      </c>
      <c r="M18" s="54">
        <v>0.0</v>
      </c>
      <c r="N18" s="43">
        <f t="shared" si="3"/>
        <v>1000</v>
      </c>
    </row>
    <row r="19">
      <c r="A19" s="11" t="s">
        <v>59</v>
      </c>
      <c r="B19" s="54">
        <v>0.0</v>
      </c>
      <c r="C19" s="54">
        <v>0.0</v>
      </c>
      <c r="D19" s="54">
        <v>0.0</v>
      </c>
      <c r="E19" s="54">
        <v>0.0</v>
      </c>
      <c r="F19" s="54">
        <v>0.0</v>
      </c>
      <c r="G19" s="54">
        <v>0.0</v>
      </c>
      <c r="H19" s="54">
        <v>0.0</v>
      </c>
      <c r="I19" s="54">
        <v>1402.9</v>
      </c>
      <c r="J19" s="54">
        <v>4689.25</v>
      </c>
      <c r="K19" s="54">
        <v>0.0</v>
      </c>
      <c r="L19" s="54">
        <v>0.0</v>
      </c>
      <c r="M19" s="54">
        <v>0.0</v>
      </c>
      <c r="N19" s="43">
        <f t="shared" si="3"/>
        <v>6092.15</v>
      </c>
    </row>
    <row r="20">
      <c r="A20" s="11" t="s">
        <v>60</v>
      </c>
      <c r="B20" s="54">
        <v>0.0</v>
      </c>
      <c r="C20" s="54">
        <v>0.0</v>
      </c>
      <c r="D20" s="54">
        <v>0.0</v>
      </c>
      <c r="E20" s="54">
        <v>0.0</v>
      </c>
      <c r="F20" s="54">
        <v>0.0</v>
      </c>
      <c r="G20" s="54">
        <v>0.0</v>
      </c>
      <c r="H20" s="54">
        <v>0.0</v>
      </c>
      <c r="I20" s="54">
        <v>0.0</v>
      </c>
      <c r="J20" s="54">
        <v>0.0</v>
      </c>
      <c r="K20" s="54">
        <v>0.0</v>
      </c>
      <c r="L20" s="54">
        <v>0.0</v>
      </c>
      <c r="M20" s="54">
        <v>0.0</v>
      </c>
      <c r="N20" s="43">
        <f t="shared" si="3"/>
        <v>0</v>
      </c>
    </row>
    <row r="21" ht="15.75" customHeight="1">
      <c r="A21" s="11" t="s">
        <v>61</v>
      </c>
      <c r="B21" s="54">
        <v>0.0</v>
      </c>
      <c r="C21" s="54">
        <v>0.0</v>
      </c>
      <c r="D21" s="54">
        <v>0.0</v>
      </c>
      <c r="E21" s="54">
        <v>0.0</v>
      </c>
      <c r="F21" s="54">
        <v>0.0</v>
      </c>
      <c r="G21" s="54">
        <v>0.0</v>
      </c>
      <c r="H21" s="54">
        <v>0.0</v>
      </c>
      <c r="I21" s="54">
        <v>0.0</v>
      </c>
      <c r="J21" s="54">
        <v>1000.0</v>
      </c>
      <c r="K21" s="54">
        <v>0.0</v>
      </c>
      <c r="L21" s="54">
        <v>0.0</v>
      </c>
      <c r="M21" s="54">
        <v>0.0</v>
      </c>
      <c r="N21" s="43">
        <f t="shared" si="3"/>
        <v>1000</v>
      </c>
    </row>
    <row r="22" ht="15.75" customHeight="1">
      <c r="A22" s="11" t="s">
        <v>62</v>
      </c>
      <c r="B22" s="54">
        <v>0.0</v>
      </c>
      <c r="C22" s="54">
        <v>0.0</v>
      </c>
      <c r="D22" s="54">
        <v>0.0</v>
      </c>
      <c r="E22" s="54">
        <v>0.0</v>
      </c>
      <c r="F22" s="54">
        <v>0.0</v>
      </c>
      <c r="G22" s="54">
        <v>0.0</v>
      </c>
      <c r="H22" s="54">
        <v>3000.0</v>
      </c>
      <c r="I22" s="54">
        <v>3000.0</v>
      </c>
      <c r="J22" s="54">
        <v>250.0</v>
      </c>
      <c r="K22" s="54">
        <v>0.0</v>
      </c>
      <c r="L22" s="54">
        <v>0.0</v>
      </c>
      <c r="M22" s="54">
        <v>0.0</v>
      </c>
      <c r="N22" s="43">
        <f t="shared" si="3"/>
        <v>6250</v>
      </c>
    </row>
    <row r="23" ht="15.75" customHeight="1">
      <c r="A23" s="11" t="s">
        <v>63</v>
      </c>
      <c r="B23" s="54">
        <v>0.0</v>
      </c>
      <c r="C23" s="54">
        <v>0.0</v>
      </c>
      <c r="D23" s="54">
        <v>0.0</v>
      </c>
      <c r="E23" s="54">
        <v>0.0</v>
      </c>
      <c r="F23" s="54">
        <v>0.0</v>
      </c>
      <c r="G23" s="54">
        <v>0.0</v>
      </c>
      <c r="H23" s="54">
        <v>0.0</v>
      </c>
      <c r="I23" s="54">
        <v>0.0</v>
      </c>
      <c r="J23" s="54">
        <v>100.0</v>
      </c>
      <c r="K23" s="54">
        <v>0.0</v>
      </c>
      <c r="L23" s="54">
        <v>0.0</v>
      </c>
      <c r="M23" s="54">
        <v>0.0</v>
      </c>
      <c r="N23" s="43">
        <f t="shared" si="3"/>
        <v>100</v>
      </c>
    </row>
    <row r="24" ht="15.75" customHeight="1">
      <c r="A24" s="11" t="s">
        <v>64</v>
      </c>
      <c r="B24" s="54">
        <v>2000.0</v>
      </c>
      <c r="C24" s="54">
        <v>0.0</v>
      </c>
      <c r="D24" s="54">
        <v>0.0</v>
      </c>
      <c r="E24" s="54">
        <v>0.0</v>
      </c>
      <c r="F24" s="54">
        <v>0.0</v>
      </c>
      <c r="G24" s="54">
        <v>0.0</v>
      </c>
      <c r="H24" s="54">
        <v>0.0</v>
      </c>
      <c r="I24" s="54">
        <v>0.0</v>
      </c>
      <c r="J24" s="54">
        <v>0.0</v>
      </c>
      <c r="K24" s="54">
        <v>0.0</v>
      </c>
      <c r="L24" s="54">
        <v>0.0</v>
      </c>
      <c r="M24" s="54">
        <v>0.0</v>
      </c>
      <c r="N24" s="43">
        <f t="shared" si="3"/>
        <v>2000</v>
      </c>
    </row>
    <row r="25" ht="15.75" customHeight="1">
      <c r="A25" s="11" t="s">
        <v>65</v>
      </c>
      <c r="B25" s="54">
        <v>0.0</v>
      </c>
      <c r="C25" s="54">
        <v>0.0</v>
      </c>
      <c r="D25" s="54">
        <v>0.0</v>
      </c>
      <c r="E25" s="54">
        <v>0.0</v>
      </c>
      <c r="F25" s="54">
        <v>0.0</v>
      </c>
      <c r="G25" s="54">
        <v>0.0</v>
      </c>
      <c r="H25" s="54">
        <v>0.0</v>
      </c>
      <c r="I25" s="54">
        <v>0.0</v>
      </c>
      <c r="J25" s="54">
        <v>1450.0</v>
      </c>
      <c r="K25" s="54">
        <v>0.0</v>
      </c>
      <c r="L25" s="54">
        <v>0.0</v>
      </c>
      <c r="M25" s="54">
        <v>0.0</v>
      </c>
      <c r="N25" s="43">
        <f t="shared" si="3"/>
        <v>1450</v>
      </c>
    </row>
    <row r="26" ht="15.75" customHeight="1">
      <c r="A26" s="11" t="s">
        <v>66</v>
      </c>
      <c r="B26" s="54">
        <v>0.0</v>
      </c>
      <c r="C26" s="54">
        <v>0.0</v>
      </c>
      <c r="D26" s="54">
        <v>0.0</v>
      </c>
      <c r="E26" s="54">
        <v>0.0</v>
      </c>
      <c r="F26" s="54">
        <v>0.0</v>
      </c>
      <c r="G26" s="54">
        <v>0.0</v>
      </c>
      <c r="H26" s="54">
        <v>0.0</v>
      </c>
      <c r="I26" s="54">
        <v>0.0</v>
      </c>
      <c r="J26" s="54">
        <v>500.0</v>
      </c>
      <c r="K26" s="54">
        <v>0.0</v>
      </c>
      <c r="L26" s="54">
        <v>0.0</v>
      </c>
      <c r="M26" s="54">
        <v>0.0</v>
      </c>
      <c r="N26" s="43">
        <f t="shared" si="3"/>
        <v>500</v>
      </c>
    </row>
    <row r="27" ht="15.75" customHeight="1">
      <c r="A27" s="11" t="s">
        <v>67</v>
      </c>
      <c r="B27" s="54">
        <v>0.0</v>
      </c>
      <c r="C27" s="54">
        <v>0.0</v>
      </c>
      <c r="D27" s="54">
        <v>0.0</v>
      </c>
      <c r="E27" s="54">
        <v>0.0</v>
      </c>
      <c r="F27" s="54">
        <v>0.0</v>
      </c>
      <c r="G27" s="54">
        <v>0.0</v>
      </c>
      <c r="H27" s="54">
        <v>0.0</v>
      </c>
      <c r="I27" s="54">
        <v>0.0</v>
      </c>
      <c r="J27" s="54">
        <v>0.0</v>
      </c>
      <c r="K27" s="54">
        <v>6246.0</v>
      </c>
      <c r="L27" s="54">
        <v>0.0</v>
      </c>
      <c r="M27" s="54">
        <v>0.0</v>
      </c>
      <c r="N27" s="43">
        <f t="shared" si="3"/>
        <v>6246</v>
      </c>
    </row>
    <row r="28" ht="15.75" customHeight="1">
      <c r="A28" s="11" t="s">
        <v>68</v>
      </c>
      <c r="B28" s="54">
        <v>0.0</v>
      </c>
      <c r="C28" s="54">
        <v>0.0</v>
      </c>
      <c r="D28" s="54">
        <v>0.0</v>
      </c>
      <c r="E28" s="54">
        <v>0.0</v>
      </c>
      <c r="F28" s="54">
        <v>0.0</v>
      </c>
      <c r="G28" s="54">
        <v>0.0</v>
      </c>
      <c r="H28" s="54">
        <v>0.0</v>
      </c>
      <c r="I28" s="54">
        <v>250.0</v>
      </c>
      <c r="J28" s="54">
        <v>0.0</v>
      </c>
      <c r="K28" s="54">
        <v>0.0</v>
      </c>
      <c r="L28" s="54">
        <v>0.0</v>
      </c>
      <c r="M28" s="54">
        <v>0.0</v>
      </c>
      <c r="N28" s="43">
        <f t="shared" si="3"/>
        <v>250</v>
      </c>
    </row>
    <row r="29" ht="15.75" customHeight="1">
      <c r="A29" s="11" t="s">
        <v>48</v>
      </c>
      <c r="B29" s="54">
        <v>0.0</v>
      </c>
      <c r="C29" s="54">
        <v>0.0</v>
      </c>
      <c r="D29" s="54">
        <v>0.0</v>
      </c>
      <c r="E29" s="54">
        <v>0.0</v>
      </c>
      <c r="F29" s="54">
        <v>0.0</v>
      </c>
      <c r="G29" s="54">
        <v>0.0</v>
      </c>
      <c r="H29" s="54">
        <v>0.0</v>
      </c>
      <c r="I29" s="54">
        <v>7080.0</v>
      </c>
      <c r="J29" s="54">
        <v>0.0</v>
      </c>
      <c r="K29" s="54">
        <v>0.0</v>
      </c>
      <c r="L29" s="54">
        <v>0.0</v>
      </c>
      <c r="M29" s="54">
        <v>0.0</v>
      </c>
      <c r="N29" s="43">
        <f t="shared" si="3"/>
        <v>7080</v>
      </c>
    </row>
    <row r="30" ht="15.75" customHeight="1">
      <c r="A30" s="11" t="s">
        <v>69</v>
      </c>
      <c r="B30" s="54">
        <v>0.0</v>
      </c>
      <c r="C30" s="54">
        <v>0.0</v>
      </c>
      <c r="D30" s="54">
        <v>0.0</v>
      </c>
      <c r="E30" s="54">
        <v>0.0</v>
      </c>
      <c r="F30" s="54">
        <v>0.0</v>
      </c>
      <c r="G30" s="54">
        <v>0.0</v>
      </c>
      <c r="H30" s="54">
        <v>0.0</v>
      </c>
      <c r="I30" s="54">
        <v>0.0</v>
      </c>
      <c r="J30" s="54">
        <v>0.0</v>
      </c>
      <c r="K30" s="54">
        <v>0.0</v>
      </c>
      <c r="L30" s="54">
        <v>0.0</v>
      </c>
      <c r="M30" s="54">
        <v>0.0</v>
      </c>
      <c r="N30" s="43">
        <f t="shared" si="3"/>
        <v>0</v>
      </c>
    </row>
    <row r="31" ht="15.75" customHeight="1">
      <c r="A31" s="11" t="s">
        <v>22</v>
      </c>
      <c r="B31" s="54">
        <v>0.0</v>
      </c>
      <c r="C31" s="54">
        <v>0.0</v>
      </c>
      <c r="D31" s="54">
        <v>0.0</v>
      </c>
      <c r="E31" s="54">
        <v>0.0</v>
      </c>
      <c r="F31" s="54">
        <v>0.0</v>
      </c>
      <c r="G31" s="54">
        <v>0.0</v>
      </c>
      <c r="H31" s="54">
        <v>0.0</v>
      </c>
      <c r="I31" s="54">
        <v>0.0</v>
      </c>
      <c r="J31" s="54">
        <v>0.0</v>
      </c>
      <c r="K31" s="54">
        <v>100000.0</v>
      </c>
      <c r="L31" s="54">
        <v>0.0</v>
      </c>
      <c r="M31" s="54">
        <v>0.0</v>
      </c>
      <c r="N31" s="43">
        <f t="shared" si="3"/>
        <v>100000</v>
      </c>
    </row>
    <row r="32" ht="15.75" customHeight="1">
      <c r="A32" s="11" t="s">
        <v>49</v>
      </c>
      <c r="B32" s="54">
        <v>0.0</v>
      </c>
      <c r="C32" s="54">
        <v>0.0</v>
      </c>
      <c r="D32" s="54">
        <v>0.0</v>
      </c>
      <c r="E32" s="54">
        <v>0.0</v>
      </c>
      <c r="F32" s="54">
        <v>0.0</v>
      </c>
      <c r="G32" s="54">
        <v>4000.0</v>
      </c>
      <c r="H32" s="54">
        <v>0.0</v>
      </c>
      <c r="I32" s="54">
        <v>0.0</v>
      </c>
      <c r="J32" s="54">
        <v>0.0</v>
      </c>
      <c r="K32" s="54">
        <v>47414.6</v>
      </c>
      <c r="L32" s="54">
        <v>0.0</v>
      </c>
      <c r="M32" s="54">
        <v>0.0</v>
      </c>
      <c r="N32" s="43">
        <f t="shared" si="3"/>
        <v>51414.6</v>
      </c>
    </row>
    <row r="33" ht="15.75" customHeight="1">
      <c r="A33" s="11" t="s">
        <v>70</v>
      </c>
      <c r="B33" s="55">
        <v>0.0</v>
      </c>
      <c r="C33" s="55">
        <v>0.0</v>
      </c>
      <c r="D33" s="55">
        <v>0.0</v>
      </c>
      <c r="E33" s="55">
        <v>0.0</v>
      </c>
      <c r="F33" s="55">
        <v>0.0</v>
      </c>
      <c r="G33" s="55">
        <v>0.0</v>
      </c>
      <c r="H33" s="55">
        <v>0.0</v>
      </c>
      <c r="I33" s="55">
        <v>0.0</v>
      </c>
      <c r="J33" s="55">
        <v>0.0</v>
      </c>
      <c r="K33" s="55">
        <v>10000.0</v>
      </c>
      <c r="L33" s="55">
        <v>0.0</v>
      </c>
      <c r="M33" s="55">
        <v>0.0</v>
      </c>
      <c r="N33" s="44">
        <f t="shared" si="3"/>
        <v>10000</v>
      </c>
    </row>
    <row r="34" ht="15.75" customHeight="1">
      <c r="A34" s="11" t="s">
        <v>142</v>
      </c>
      <c r="B34" s="43">
        <f t="shared" ref="B34:M34" si="4">SUM(B12:B33)</f>
        <v>2050</v>
      </c>
      <c r="C34" s="43">
        <f t="shared" si="4"/>
        <v>2811</v>
      </c>
      <c r="D34" s="43">
        <f t="shared" si="4"/>
        <v>50</v>
      </c>
      <c r="E34" s="43">
        <f t="shared" si="4"/>
        <v>100</v>
      </c>
      <c r="F34" s="43">
        <f t="shared" si="4"/>
        <v>1200</v>
      </c>
      <c r="G34" s="43">
        <f t="shared" si="4"/>
        <v>4300</v>
      </c>
      <c r="H34" s="43">
        <f t="shared" si="4"/>
        <v>53400</v>
      </c>
      <c r="I34" s="43">
        <f t="shared" si="4"/>
        <v>228732.9</v>
      </c>
      <c r="J34" s="43">
        <f t="shared" si="4"/>
        <v>9089.25</v>
      </c>
      <c r="K34" s="43">
        <f t="shared" si="4"/>
        <v>459160.6</v>
      </c>
      <c r="L34" s="43">
        <f t="shared" si="4"/>
        <v>0</v>
      </c>
      <c r="M34" s="43">
        <f t="shared" si="4"/>
        <v>0</v>
      </c>
      <c r="N34" s="43">
        <f t="shared" si="3"/>
        <v>760893.75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N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12" width="8.86"/>
    <col customWidth="1" min="13" max="13" width="9.86"/>
    <col customWidth="1" min="14" max="14" width="15.14"/>
    <col customWidth="1" min="15" max="15" width="24.14"/>
    <col customWidth="1" min="16" max="26" width="8.86"/>
  </cols>
  <sheetData>
    <row r="2">
      <c r="B2" s="4" t="s">
        <v>147</v>
      </c>
    </row>
    <row r="4"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9">
        <v>45231.0</v>
      </c>
      <c r="M4" s="9">
        <v>45261.0</v>
      </c>
      <c r="N4" s="8" t="s">
        <v>15</v>
      </c>
      <c r="O4" s="10" t="s">
        <v>16</v>
      </c>
    </row>
    <row r="5">
      <c r="A5" s="11" t="s">
        <v>140</v>
      </c>
    </row>
    <row r="6">
      <c r="A6" s="11" t="s">
        <v>19</v>
      </c>
      <c r="B6" s="52">
        <v>0.0</v>
      </c>
      <c r="C6" s="52">
        <v>0.0</v>
      </c>
      <c r="D6" s="52">
        <v>0.0</v>
      </c>
      <c r="E6" s="52">
        <v>0.0</v>
      </c>
      <c r="F6" s="52">
        <v>0.0</v>
      </c>
      <c r="G6" s="52">
        <v>0.0</v>
      </c>
      <c r="H6" s="52">
        <v>0.0</v>
      </c>
      <c r="I6" s="52">
        <v>0.0</v>
      </c>
      <c r="J6" s="52">
        <v>0.0</v>
      </c>
      <c r="K6" s="52">
        <v>0.0</v>
      </c>
      <c r="L6" s="52">
        <v>25000.0</v>
      </c>
      <c r="M6" s="52">
        <v>0.0</v>
      </c>
      <c r="N6" s="43">
        <f t="shared" ref="N6:N9" si="1">SUM(B6:M6)</f>
        <v>25000</v>
      </c>
    </row>
    <row r="7">
      <c r="A7" s="11" t="s">
        <v>21</v>
      </c>
      <c r="B7" s="52">
        <v>0.0</v>
      </c>
      <c r="C7" s="52">
        <v>0.0</v>
      </c>
      <c r="D7" s="52">
        <v>0.0</v>
      </c>
      <c r="E7" s="52">
        <v>0.0</v>
      </c>
      <c r="F7" s="52">
        <v>2000.0</v>
      </c>
      <c r="G7" s="52">
        <v>3750.0</v>
      </c>
      <c r="H7" s="52">
        <v>3750.0</v>
      </c>
      <c r="I7" s="52">
        <v>3750.0</v>
      </c>
      <c r="J7" s="52">
        <v>3160.0</v>
      </c>
      <c r="K7" s="52">
        <v>7555.0</v>
      </c>
      <c r="L7" s="52">
        <v>3760.0</v>
      </c>
      <c r="M7" s="52">
        <v>0.0</v>
      </c>
      <c r="N7" s="43">
        <f t="shared" si="1"/>
        <v>27725</v>
      </c>
    </row>
    <row r="8">
      <c r="A8" s="11" t="s">
        <v>22</v>
      </c>
      <c r="B8" s="53">
        <v>0.0</v>
      </c>
      <c r="C8" s="53">
        <v>0.0</v>
      </c>
      <c r="D8" s="53">
        <v>0.0</v>
      </c>
      <c r="E8" s="53">
        <v>0.0</v>
      </c>
      <c r="F8" s="53">
        <v>0.0</v>
      </c>
      <c r="G8" s="53">
        <v>0.0</v>
      </c>
      <c r="H8" s="53">
        <v>0.0</v>
      </c>
      <c r="I8" s="53">
        <v>0.0</v>
      </c>
      <c r="J8" s="53">
        <v>0.0</v>
      </c>
      <c r="K8" s="53">
        <v>0.0</v>
      </c>
      <c r="L8" s="53">
        <v>40000.0</v>
      </c>
      <c r="M8" s="53">
        <v>0.0</v>
      </c>
      <c r="N8" s="44">
        <f t="shared" si="1"/>
        <v>40000</v>
      </c>
    </row>
    <row r="9">
      <c r="A9" s="11" t="s">
        <v>141</v>
      </c>
      <c r="B9" s="43">
        <f t="shared" ref="B9:M9" si="2">SUM(B6:B8)</f>
        <v>0</v>
      </c>
      <c r="C9" s="43">
        <f t="shared" si="2"/>
        <v>0</v>
      </c>
      <c r="D9" s="43">
        <f t="shared" si="2"/>
        <v>0</v>
      </c>
      <c r="E9" s="43">
        <f t="shared" si="2"/>
        <v>0</v>
      </c>
      <c r="F9" s="43">
        <f t="shared" si="2"/>
        <v>2000</v>
      </c>
      <c r="G9" s="43">
        <f t="shared" si="2"/>
        <v>3750</v>
      </c>
      <c r="H9" s="43">
        <f t="shared" si="2"/>
        <v>3750</v>
      </c>
      <c r="I9" s="43">
        <f t="shared" si="2"/>
        <v>3750</v>
      </c>
      <c r="J9" s="43">
        <f t="shared" si="2"/>
        <v>3160</v>
      </c>
      <c r="K9" s="43">
        <f t="shared" si="2"/>
        <v>7555</v>
      </c>
      <c r="L9" s="43">
        <f t="shared" si="2"/>
        <v>68760</v>
      </c>
      <c r="M9" s="43">
        <f t="shared" si="2"/>
        <v>0</v>
      </c>
      <c r="N9" s="43">
        <f t="shared" si="1"/>
        <v>92725</v>
      </c>
    </row>
    <row r="11">
      <c r="A11" s="11" t="s">
        <v>51</v>
      </c>
    </row>
    <row r="12">
      <c r="A12" s="11" t="s">
        <v>52</v>
      </c>
      <c r="B12" s="54">
        <v>0.0</v>
      </c>
      <c r="C12" s="54">
        <v>0.0</v>
      </c>
      <c r="D12" s="54">
        <v>0.0</v>
      </c>
      <c r="E12" s="54">
        <v>0.0</v>
      </c>
      <c r="F12" s="54">
        <v>0.0</v>
      </c>
      <c r="G12" s="54">
        <v>0.0</v>
      </c>
      <c r="H12" s="54">
        <v>0.0</v>
      </c>
      <c r="I12" s="54">
        <v>0.0</v>
      </c>
      <c r="J12" s="54">
        <v>0.0</v>
      </c>
      <c r="K12" s="54">
        <v>0.0</v>
      </c>
      <c r="L12" s="54">
        <v>3500.0</v>
      </c>
      <c r="M12" s="54">
        <v>0.0</v>
      </c>
      <c r="N12" s="43">
        <f t="shared" ref="N12:N34" si="3">SUM(B12:M12)</f>
        <v>3500</v>
      </c>
    </row>
    <row r="13">
      <c r="A13" s="11" t="s">
        <v>53</v>
      </c>
      <c r="B13" s="54">
        <v>0.0</v>
      </c>
      <c r="C13" s="54">
        <v>0.0</v>
      </c>
      <c r="D13" s="54">
        <v>0.0</v>
      </c>
      <c r="E13" s="54">
        <v>0.0</v>
      </c>
      <c r="F13" s="54">
        <v>0.0</v>
      </c>
      <c r="G13" s="54">
        <v>0.0</v>
      </c>
      <c r="H13" s="54">
        <v>0.0</v>
      </c>
      <c r="I13" s="54">
        <v>300.0</v>
      </c>
      <c r="J13" s="54">
        <v>0.0</v>
      </c>
      <c r="K13" s="54">
        <v>450.0</v>
      </c>
      <c r="L13" s="54">
        <v>0.0</v>
      </c>
      <c r="M13" s="54">
        <v>0.0</v>
      </c>
      <c r="N13" s="43">
        <f t="shared" si="3"/>
        <v>750</v>
      </c>
    </row>
    <row r="14">
      <c r="A14" s="11" t="s">
        <v>54</v>
      </c>
      <c r="B14" s="54">
        <v>0.0</v>
      </c>
      <c r="C14" s="54">
        <v>0.0</v>
      </c>
      <c r="D14" s="54">
        <v>0.0</v>
      </c>
      <c r="E14" s="54">
        <v>0.0</v>
      </c>
      <c r="F14" s="54">
        <v>0.0</v>
      </c>
      <c r="G14" s="54">
        <v>0.0</v>
      </c>
      <c r="H14" s="54">
        <v>0.0</v>
      </c>
      <c r="I14" s="54">
        <v>0.0</v>
      </c>
      <c r="J14" s="54">
        <v>0.0</v>
      </c>
      <c r="K14" s="54">
        <v>150.0</v>
      </c>
      <c r="L14" s="54">
        <v>0.0</v>
      </c>
      <c r="M14" s="54">
        <v>0.0</v>
      </c>
      <c r="N14" s="43">
        <f t="shared" si="3"/>
        <v>150</v>
      </c>
    </row>
    <row r="15">
      <c r="A15" s="11" t="s">
        <v>55</v>
      </c>
      <c r="B15" s="54">
        <v>0.0</v>
      </c>
      <c r="C15" s="54">
        <v>0.0</v>
      </c>
      <c r="D15" s="54">
        <v>50.0</v>
      </c>
      <c r="E15" s="54">
        <v>10.0</v>
      </c>
      <c r="F15" s="54">
        <v>10.0</v>
      </c>
      <c r="G15" s="54">
        <v>20.0</v>
      </c>
      <c r="H15" s="54">
        <v>20.0</v>
      </c>
      <c r="I15" s="54">
        <v>25.0</v>
      </c>
      <c r="J15" s="54">
        <v>30.0</v>
      </c>
      <c r="K15" s="54">
        <v>30.0</v>
      </c>
      <c r="L15" s="54">
        <v>2000.0</v>
      </c>
      <c r="M15" s="54">
        <v>0.0</v>
      </c>
      <c r="N15" s="43">
        <f t="shared" si="3"/>
        <v>2195</v>
      </c>
    </row>
    <row r="16">
      <c r="A16" s="11" t="s">
        <v>56</v>
      </c>
      <c r="B16" s="54">
        <v>0.0</v>
      </c>
      <c r="C16" s="54">
        <v>0.0</v>
      </c>
      <c r="D16" s="54">
        <v>0.0</v>
      </c>
      <c r="E16" s="54">
        <v>0.0</v>
      </c>
      <c r="F16" s="54">
        <v>0.0</v>
      </c>
      <c r="G16" s="54">
        <v>0.0</v>
      </c>
      <c r="H16" s="54">
        <v>0.0</v>
      </c>
      <c r="I16" s="54">
        <v>0.0</v>
      </c>
      <c r="J16" s="54">
        <v>25000.0</v>
      </c>
      <c r="K16" s="54">
        <v>0.0</v>
      </c>
      <c r="L16" s="54">
        <v>0.0</v>
      </c>
      <c r="M16" s="54">
        <v>0.0</v>
      </c>
      <c r="N16" s="43">
        <f t="shared" si="3"/>
        <v>25000</v>
      </c>
    </row>
    <row r="17">
      <c r="A17" s="11" t="s">
        <v>57</v>
      </c>
      <c r="B17" s="54">
        <v>0.0</v>
      </c>
      <c r="C17" s="54">
        <v>0.0</v>
      </c>
      <c r="D17" s="54">
        <v>250.0</v>
      </c>
      <c r="E17" s="54">
        <v>0.0</v>
      </c>
      <c r="F17" s="54">
        <v>0.0</v>
      </c>
      <c r="G17" s="54">
        <v>0.0</v>
      </c>
      <c r="H17" s="54">
        <v>0.0</v>
      </c>
      <c r="I17" s="54">
        <v>0.0</v>
      </c>
      <c r="J17" s="54">
        <v>0.0</v>
      </c>
      <c r="K17" s="54">
        <v>0.0</v>
      </c>
      <c r="L17" s="54">
        <v>0.0</v>
      </c>
      <c r="M17" s="54">
        <v>0.0</v>
      </c>
      <c r="N17" s="43">
        <f t="shared" si="3"/>
        <v>250</v>
      </c>
    </row>
    <row r="18">
      <c r="A18" s="11" t="s">
        <v>58</v>
      </c>
      <c r="B18" s="54">
        <v>0.0</v>
      </c>
      <c r="C18" s="54">
        <v>0.0</v>
      </c>
      <c r="D18" s="54">
        <v>0.0</v>
      </c>
      <c r="E18" s="54">
        <v>0.0</v>
      </c>
      <c r="F18" s="54">
        <v>0.0</v>
      </c>
      <c r="G18" s="54">
        <v>0.0</v>
      </c>
      <c r="H18" s="54">
        <v>1000.0</v>
      </c>
      <c r="I18" s="54">
        <v>0.0</v>
      </c>
      <c r="J18" s="54">
        <v>0.0</v>
      </c>
      <c r="K18" s="54">
        <v>0.0</v>
      </c>
      <c r="L18" s="54">
        <v>0.0</v>
      </c>
      <c r="M18" s="54">
        <v>0.0</v>
      </c>
      <c r="N18" s="43">
        <f t="shared" si="3"/>
        <v>1000</v>
      </c>
    </row>
    <row r="19">
      <c r="A19" s="11" t="s">
        <v>59</v>
      </c>
      <c r="B19" s="54">
        <v>0.0</v>
      </c>
      <c r="C19" s="54">
        <v>0.0</v>
      </c>
      <c r="D19" s="54">
        <v>0.0</v>
      </c>
      <c r="E19" s="54">
        <v>0.0</v>
      </c>
      <c r="F19" s="54">
        <v>0.0</v>
      </c>
      <c r="G19" s="54">
        <v>0.0</v>
      </c>
      <c r="H19" s="54">
        <v>0.0</v>
      </c>
      <c r="I19" s="54">
        <v>0.0</v>
      </c>
      <c r="J19" s="54">
        <v>200.0</v>
      </c>
      <c r="K19" s="54">
        <v>0.0</v>
      </c>
      <c r="L19" s="54">
        <v>0.0</v>
      </c>
      <c r="M19" s="54">
        <v>0.0</v>
      </c>
      <c r="N19" s="43">
        <f t="shared" si="3"/>
        <v>200</v>
      </c>
    </row>
    <row r="20">
      <c r="A20" s="11" t="s">
        <v>60</v>
      </c>
      <c r="B20" s="54">
        <v>0.0</v>
      </c>
      <c r="C20" s="54">
        <v>0.0</v>
      </c>
      <c r="D20" s="54">
        <v>0.0</v>
      </c>
      <c r="E20" s="54">
        <v>0.0</v>
      </c>
      <c r="F20" s="54">
        <v>0.0</v>
      </c>
      <c r="G20" s="54">
        <v>0.0</v>
      </c>
      <c r="H20" s="54">
        <v>0.0</v>
      </c>
      <c r="I20" s="54">
        <v>0.0</v>
      </c>
      <c r="J20" s="54">
        <v>0.0</v>
      </c>
      <c r="K20" s="54">
        <v>0.0</v>
      </c>
      <c r="L20" s="54">
        <v>0.0</v>
      </c>
      <c r="M20" s="54">
        <v>0.0</v>
      </c>
      <c r="N20" s="43">
        <f t="shared" si="3"/>
        <v>0</v>
      </c>
    </row>
    <row r="21" ht="15.75" customHeight="1">
      <c r="A21" s="11" t="s">
        <v>61</v>
      </c>
      <c r="B21" s="54">
        <v>0.0</v>
      </c>
      <c r="C21" s="54">
        <v>0.0</v>
      </c>
      <c r="D21" s="54">
        <v>200.0</v>
      </c>
      <c r="E21" s="54">
        <v>300.0</v>
      </c>
      <c r="F21" s="54">
        <v>0.0</v>
      </c>
      <c r="G21" s="54">
        <v>0.0</v>
      </c>
      <c r="H21" s="54">
        <v>0.0</v>
      </c>
      <c r="I21" s="54">
        <v>500.0</v>
      </c>
      <c r="J21" s="54">
        <v>0.0</v>
      </c>
      <c r="K21" s="54">
        <v>500.0</v>
      </c>
      <c r="L21" s="54">
        <v>0.0</v>
      </c>
      <c r="M21" s="54">
        <v>0.0</v>
      </c>
      <c r="N21" s="43">
        <f t="shared" si="3"/>
        <v>1500</v>
      </c>
    </row>
    <row r="22" ht="15.75" customHeight="1">
      <c r="A22" s="11" t="s">
        <v>62</v>
      </c>
      <c r="B22" s="54">
        <v>0.0</v>
      </c>
      <c r="C22" s="54">
        <v>0.0</v>
      </c>
      <c r="D22" s="54">
        <v>0.0</v>
      </c>
      <c r="E22" s="54">
        <v>0.0</v>
      </c>
      <c r="F22" s="54">
        <v>0.0</v>
      </c>
      <c r="G22" s="54">
        <v>0.0</v>
      </c>
      <c r="H22" s="54">
        <v>0.0</v>
      </c>
      <c r="I22" s="54">
        <v>0.0</v>
      </c>
      <c r="J22" s="54">
        <v>0.0</v>
      </c>
      <c r="K22" s="54">
        <v>200.0</v>
      </c>
      <c r="L22" s="54">
        <v>0.0</v>
      </c>
      <c r="M22" s="54">
        <v>0.0</v>
      </c>
      <c r="N22" s="43">
        <f t="shared" si="3"/>
        <v>200</v>
      </c>
    </row>
    <row r="23" ht="15.75" customHeight="1">
      <c r="A23" s="11" t="s">
        <v>63</v>
      </c>
      <c r="B23" s="54">
        <v>0.0</v>
      </c>
      <c r="C23" s="54">
        <v>0.0</v>
      </c>
      <c r="D23" s="54">
        <v>0.0</v>
      </c>
      <c r="E23" s="54">
        <v>0.0</v>
      </c>
      <c r="F23" s="54">
        <v>0.0</v>
      </c>
      <c r="G23" s="54">
        <v>0.0</v>
      </c>
      <c r="H23" s="54">
        <v>0.0</v>
      </c>
      <c r="I23" s="54">
        <v>0.0</v>
      </c>
      <c r="J23" s="54">
        <v>500.0</v>
      </c>
      <c r="K23" s="54">
        <v>0.0</v>
      </c>
      <c r="L23" s="54">
        <v>0.0</v>
      </c>
      <c r="M23" s="54">
        <v>0.0</v>
      </c>
      <c r="N23" s="43">
        <f t="shared" si="3"/>
        <v>500</v>
      </c>
    </row>
    <row r="24" ht="15.75" customHeight="1">
      <c r="A24" s="11" t="s">
        <v>64</v>
      </c>
      <c r="B24" s="54">
        <v>0.0</v>
      </c>
      <c r="C24" s="54">
        <v>0.0</v>
      </c>
      <c r="D24" s="54">
        <v>0.0</v>
      </c>
      <c r="E24" s="54">
        <v>0.0</v>
      </c>
      <c r="F24" s="54">
        <v>0.0</v>
      </c>
      <c r="G24" s="54">
        <v>0.0</v>
      </c>
      <c r="H24" s="54">
        <v>0.0</v>
      </c>
      <c r="I24" s="54">
        <v>0.0</v>
      </c>
      <c r="J24" s="54">
        <v>0.0</v>
      </c>
      <c r="K24" s="54">
        <v>0.0</v>
      </c>
      <c r="L24" s="54">
        <v>0.0</v>
      </c>
      <c r="M24" s="54">
        <v>0.0</v>
      </c>
      <c r="N24" s="43">
        <f t="shared" si="3"/>
        <v>0</v>
      </c>
    </row>
    <row r="25" ht="15.75" customHeight="1">
      <c r="A25" s="11" t="s">
        <v>65</v>
      </c>
      <c r="B25" s="54">
        <v>0.0</v>
      </c>
      <c r="C25" s="54">
        <v>0.0</v>
      </c>
      <c r="D25" s="54">
        <v>0.0</v>
      </c>
      <c r="E25" s="54">
        <v>0.0</v>
      </c>
      <c r="F25" s="54">
        <v>0.0</v>
      </c>
      <c r="G25" s="54">
        <v>0.0</v>
      </c>
      <c r="H25" s="54">
        <v>0.0</v>
      </c>
      <c r="I25" s="54">
        <v>0.0</v>
      </c>
      <c r="J25" s="54">
        <v>0.0</v>
      </c>
      <c r="K25" s="54">
        <v>0.0</v>
      </c>
      <c r="L25" s="54">
        <v>0.0</v>
      </c>
      <c r="M25" s="54">
        <v>0.0</v>
      </c>
      <c r="N25" s="43">
        <f t="shared" si="3"/>
        <v>0</v>
      </c>
    </row>
    <row r="26" ht="15.75" customHeight="1">
      <c r="A26" s="11" t="s">
        <v>66</v>
      </c>
      <c r="B26" s="54">
        <v>0.0</v>
      </c>
      <c r="C26" s="54">
        <v>0.0</v>
      </c>
      <c r="D26" s="54">
        <v>0.0</v>
      </c>
      <c r="E26" s="54">
        <v>0.0</v>
      </c>
      <c r="F26" s="54">
        <v>0.0</v>
      </c>
      <c r="G26" s="54">
        <v>0.0</v>
      </c>
      <c r="H26" s="54">
        <v>0.0</v>
      </c>
      <c r="I26" s="54">
        <v>0.0</v>
      </c>
      <c r="J26" s="54">
        <v>0.0</v>
      </c>
      <c r="K26" s="54">
        <v>0.0</v>
      </c>
      <c r="L26" s="54">
        <v>0.0</v>
      </c>
      <c r="M26" s="54">
        <v>0.0</v>
      </c>
      <c r="N26" s="43">
        <f t="shared" si="3"/>
        <v>0</v>
      </c>
    </row>
    <row r="27" ht="15.75" customHeight="1">
      <c r="A27" s="11" t="s">
        <v>67</v>
      </c>
      <c r="B27" s="54">
        <v>0.0</v>
      </c>
      <c r="C27" s="54">
        <v>0.0</v>
      </c>
      <c r="D27" s="54">
        <v>0.0</v>
      </c>
      <c r="E27" s="54">
        <v>0.0</v>
      </c>
      <c r="F27" s="54">
        <v>0.0</v>
      </c>
      <c r="G27" s="54">
        <v>0.0</v>
      </c>
      <c r="H27" s="54">
        <v>0.0</v>
      </c>
      <c r="I27" s="54">
        <v>0.0</v>
      </c>
      <c r="J27" s="54">
        <v>0.0</v>
      </c>
      <c r="K27" s="54">
        <v>0.0</v>
      </c>
      <c r="L27" s="54">
        <v>0.0</v>
      </c>
      <c r="M27" s="54">
        <v>0.0</v>
      </c>
      <c r="N27" s="43">
        <f t="shared" si="3"/>
        <v>0</v>
      </c>
    </row>
    <row r="28" ht="15.75" customHeight="1">
      <c r="A28" s="11" t="s">
        <v>68</v>
      </c>
      <c r="B28" s="54">
        <v>0.0</v>
      </c>
      <c r="C28" s="54">
        <v>0.0</v>
      </c>
      <c r="D28" s="54">
        <v>0.0</v>
      </c>
      <c r="E28" s="54">
        <v>0.0</v>
      </c>
      <c r="F28" s="54">
        <v>0.0</v>
      </c>
      <c r="G28" s="54">
        <v>0.0</v>
      </c>
      <c r="H28" s="54">
        <v>0.0</v>
      </c>
      <c r="I28" s="54">
        <v>0.0</v>
      </c>
      <c r="J28" s="54">
        <v>100.0</v>
      </c>
      <c r="K28" s="54">
        <v>0.0</v>
      </c>
      <c r="L28" s="54">
        <v>0.0</v>
      </c>
      <c r="M28" s="54">
        <v>0.0</v>
      </c>
      <c r="N28" s="43">
        <f t="shared" si="3"/>
        <v>100</v>
      </c>
    </row>
    <row r="29" ht="15.75" customHeight="1">
      <c r="A29" s="11" t="s">
        <v>48</v>
      </c>
      <c r="B29" s="54">
        <v>0.0</v>
      </c>
      <c r="C29" s="54">
        <v>0.0</v>
      </c>
      <c r="D29" s="54">
        <v>0.0</v>
      </c>
      <c r="E29" s="54">
        <v>0.0</v>
      </c>
      <c r="F29" s="54">
        <v>0.0</v>
      </c>
      <c r="G29" s="54">
        <v>0.0</v>
      </c>
      <c r="H29" s="54">
        <v>0.0</v>
      </c>
      <c r="I29" s="54">
        <v>0.0</v>
      </c>
      <c r="J29" s="54">
        <v>0.0</v>
      </c>
      <c r="K29" s="54">
        <v>0.0</v>
      </c>
      <c r="L29" s="54">
        <v>0.0</v>
      </c>
      <c r="M29" s="54">
        <v>0.0</v>
      </c>
      <c r="N29" s="43">
        <f t="shared" si="3"/>
        <v>0</v>
      </c>
    </row>
    <row r="30" ht="15.75" customHeight="1">
      <c r="A30" s="11" t="s">
        <v>69</v>
      </c>
      <c r="B30" s="54">
        <v>0.0</v>
      </c>
      <c r="C30" s="54">
        <v>0.0</v>
      </c>
      <c r="D30" s="54">
        <v>0.0</v>
      </c>
      <c r="E30" s="54">
        <v>0.0</v>
      </c>
      <c r="F30" s="54">
        <v>0.0</v>
      </c>
      <c r="G30" s="54">
        <v>0.0</v>
      </c>
      <c r="H30" s="54">
        <v>0.0</v>
      </c>
      <c r="I30" s="54">
        <v>0.0</v>
      </c>
      <c r="J30" s="54">
        <v>0.0</v>
      </c>
      <c r="K30" s="54">
        <v>0.0</v>
      </c>
      <c r="L30" s="54">
        <v>0.0</v>
      </c>
      <c r="M30" s="54">
        <v>0.0</v>
      </c>
      <c r="N30" s="43">
        <f t="shared" si="3"/>
        <v>0</v>
      </c>
    </row>
    <row r="31" ht="15.75" customHeight="1">
      <c r="A31" s="11" t="s">
        <v>22</v>
      </c>
      <c r="B31" s="54">
        <v>0.0</v>
      </c>
      <c r="C31" s="54">
        <v>0.0</v>
      </c>
      <c r="D31" s="54">
        <v>0.0</v>
      </c>
      <c r="E31" s="54">
        <v>0.0</v>
      </c>
      <c r="F31" s="54">
        <v>0.0</v>
      </c>
      <c r="G31" s="54">
        <v>0.0</v>
      </c>
      <c r="H31" s="54">
        <v>0.0</v>
      </c>
      <c r="I31" s="54">
        <v>0.0</v>
      </c>
      <c r="J31" s="54">
        <v>0.0</v>
      </c>
      <c r="K31" s="54">
        <v>0.0</v>
      </c>
      <c r="L31" s="54">
        <v>35000.0</v>
      </c>
      <c r="M31" s="54">
        <v>0.0</v>
      </c>
      <c r="N31" s="43">
        <f t="shared" si="3"/>
        <v>35000</v>
      </c>
    </row>
    <row r="32" ht="15.75" customHeight="1">
      <c r="A32" s="11" t="s">
        <v>49</v>
      </c>
      <c r="B32" s="54">
        <v>0.0</v>
      </c>
      <c r="C32" s="54">
        <v>0.0</v>
      </c>
      <c r="D32" s="54">
        <v>0.0</v>
      </c>
      <c r="E32" s="54">
        <v>0.0</v>
      </c>
      <c r="F32" s="54">
        <v>0.0</v>
      </c>
      <c r="G32" s="54">
        <v>0.0</v>
      </c>
      <c r="H32" s="54">
        <v>0.0</v>
      </c>
      <c r="I32" s="54">
        <v>0.0</v>
      </c>
      <c r="J32" s="54">
        <v>0.0</v>
      </c>
      <c r="K32" s="54">
        <v>2000.0</v>
      </c>
      <c r="L32" s="54">
        <v>200.0</v>
      </c>
      <c r="M32" s="54">
        <v>0.0</v>
      </c>
      <c r="N32" s="43">
        <f t="shared" si="3"/>
        <v>2200</v>
      </c>
    </row>
    <row r="33" ht="15.75" customHeight="1">
      <c r="A33" s="11" t="s">
        <v>70</v>
      </c>
      <c r="B33" s="55">
        <v>0.0</v>
      </c>
      <c r="C33" s="55">
        <v>0.0</v>
      </c>
      <c r="D33" s="55">
        <v>0.0</v>
      </c>
      <c r="E33" s="55">
        <v>17500.0</v>
      </c>
      <c r="F33" s="55">
        <v>0.0</v>
      </c>
      <c r="G33" s="55">
        <v>0.0</v>
      </c>
      <c r="H33" s="55">
        <v>0.0</v>
      </c>
      <c r="I33" s="55">
        <v>0.0</v>
      </c>
      <c r="J33" s="55">
        <v>1000.0</v>
      </c>
      <c r="K33" s="55">
        <v>0.0</v>
      </c>
      <c r="L33" s="55">
        <v>0.0</v>
      </c>
      <c r="M33" s="55">
        <v>0.0</v>
      </c>
      <c r="N33" s="44">
        <f t="shared" si="3"/>
        <v>18500</v>
      </c>
    </row>
    <row r="34" ht="15.75" customHeight="1">
      <c r="A34" s="11" t="s">
        <v>142</v>
      </c>
      <c r="B34" s="43">
        <f t="shared" ref="B34:M34" si="4">SUM(B12:B33)</f>
        <v>0</v>
      </c>
      <c r="C34" s="43">
        <f t="shared" si="4"/>
        <v>0</v>
      </c>
      <c r="D34" s="43">
        <f t="shared" si="4"/>
        <v>500</v>
      </c>
      <c r="E34" s="43">
        <f t="shared" si="4"/>
        <v>17810</v>
      </c>
      <c r="F34" s="43">
        <f t="shared" si="4"/>
        <v>10</v>
      </c>
      <c r="G34" s="43">
        <f t="shared" si="4"/>
        <v>20</v>
      </c>
      <c r="H34" s="43">
        <f t="shared" si="4"/>
        <v>1020</v>
      </c>
      <c r="I34" s="43">
        <f t="shared" si="4"/>
        <v>825</v>
      </c>
      <c r="J34" s="43">
        <f t="shared" si="4"/>
        <v>26830</v>
      </c>
      <c r="K34" s="43">
        <f t="shared" si="4"/>
        <v>3330</v>
      </c>
      <c r="L34" s="43">
        <f t="shared" si="4"/>
        <v>40700</v>
      </c>
      <c r="M34" s="43">
        <f t="shared" si="4"/>
        <v>0</v>
      </c>
      <c r="N34" s="43">
        <f t="shared" si="3"/>
        <v>91045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N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7.0"/>
  </cols>
  <sheetData>
    <row r="2">
      <c r="C2" s="56" t="s">
        <v>148</v>
      </c>
    </row>
    <row r="4"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9">
        <v>45231.0</v>
      </c>
      <c r="N4" s="9">
        <v>45261.0</v>
      </c>
      <c r="O4" s="8" t="s">
        <v>15</v>
      </c>
      <c r="P4" s="10" t="s">
        <v>16</v>
      </c>
    </row>
    <row r="5">
      <c r="B5" s="11" t="s">
        <v>140</v>
      </c>
    </row>
    <row r="6">
      <c r="B6" s="11" t="s">
        <v>19</v>
      </c>
      <c r="C6" s="52">
        <v>0.0</v>
      </c>
      <c r="D6" s="52">
        <v>0.0</v>
      </c>
      <c r="E6" s="52">
        <v>0.0</v>
      </c>
      <c r="F6" s="52">
        <v>0.0</v>
      </c>
      <c r="G6" s="52">
        <v>0.0</v>
      </c>
      <c r="H6" s="52">
        <v>0.0</v>
      </c>
      <c r="I6" s="52">
        <v>0.0</v>
      </c>
      <c r="J6" s="52">
        <v>0.0</v>
      </c>
      <c r="K6" s="52">
        <v>0.0</v>
      </c>
      <c r="L6" s="52">
        <v>0.0</v>
      </c>
      <c r="M6" s="52">
        <v>0.0</v>
      </c>
      <c r="N6" s="52">
        <v>0.0</v>
      </c>
      <c r="O6" s="43">
        <f t="shared" ref="O6:O9" si="1">SUM(C6:N6)</f>
        <v>0</v>
      </c>
    </row>
    <row r="7">
      <c r="B7" s="11" t="s">
        <v>21</v>
      </c>
      <c r="C7" s="52">
        <v>0.0</v>
      </c>
      <c r="D7" s="52">
        <v>0.0</v>
      </c>
      <c r="E7" s="52">
        <v>0.0</v>
      </c>
      <c r="F7" s="52">
        <v>2000.0</v>
      </c>
      <c r="G7" s="52">
        <v>2000.0</v>
      </c>
      <c r="H7" s="52">
        <v>6000.0</v>
      </c>
      <c r="I7" s="52">
        <v>6000.0</v>
      </c>
      <c r="J7" s="52">
        <v>10000.0</v>
      </c>
      <c r="K7" s="52">
        <v>10000.0</v>
      </c>
      <c r="L7" s="52">
        <v>23000.0</v>
      </c>
      <c r="M7" s="52">
        <v>4000.0</v>
      </c>
      <c r="N7" s="52">
        <v>3000.0</v>
      </c>
      <c r="O7" s="43">
        <f t="shared" si="1"/>
        <v>66000</v>
      </c>
    </row>
    <row r="8">
      <c r="B8" s="11" t="s">
        <v>22</v>
      </c>
      <c r="C8" s="53">
        <v>0.0</v>
      </c>
      <c r="D8" s="53">
        <v>0.0</v>
      </c>
      <c r="E8" s="53">
        <v>0.0</v>
      </c>
      <c r="F8" s="53">
        <v>0.0</v>
      </c>
      <c r="G8" s="53">
        <v>0.0</v>
      </c>
      <c r="H8" s="53">
        <v>0.0</v>
      </c>
      <c r="I8" s="53">
        <v>0.0</v>
      </c>
      <c r="J8" s="53">
        <v>0.0</v>
      </c>
      <c r="K8" s="53">
        <v>0.0</v>
      </c>
      <c r="L8" s="53">
        <v>0.0</v>
      </c>
      <c r="M8" s="53">
        <v>0.0</v>
      </c>
      <c r="N8" s="53">
        <v>0.0</v>
      </c>
      <c r="O8" s="44">
        <f t="shared" si="1"/>
        <v>0</v>
      </c>
    </row>
    <row r="9">
      <c r="B9" s="11" t="s">
        <v>141</v>
      </c>
      <c r="C9" s="43">
        <f t="shared" ref="C9:N9" si="2">SUM(C6:C8)</f>
        <v>0</v>
      </c>
      <c r="D9" s="43">
        <f t="shared" si="2"/>
        <v>0</v>
      </c>
      <c r="E9" s="43">
        <f t="shared" si="2"/>
        <v>0</v>
      </c>
      <c r="F9" s="43">
        <f t="shared" si="2"/>
        <v>2000</v>
      </c>
      <c r="G9" s="43">
        <f t="shared" si="2"/>
        <v>2000</v>
      </c>
      <c r="H9" s="43">
        <f t="shared" si="2"/>
        <v>6000</v>
      </c>
      <c r="I9" s="43">
        <f t="shared" si="2"/>
        <v>6000</v>
      </c>
      <c r="J9" s="43">
        <f t="shared" si="2"/>
        <v>10000</v>
      </c>
      <c r="K9" s="43">
        <f t="shared" si="2"/>
        <v>10000</v>
      </c>
      <c r="L9" s="43">
        <f t="shared" si="2"/>
        <v>23000</v>
      </c>
      <c r="M9" s="43">
        <f t="shared" si="2"/>
        <v>4000</v>
      </c>
      <c r="N9" s="43">
        <f t="shared" si="2"/>
        <v>3000</v>
      </c>
      <c r="O9" s="43">
        <f t="shared" si="1"/>
        <v>66000</v>
      </c>
    </row>
    <row r="11">
      <c r="B11" s="11" t="s">
        <v>51</v>
      </c>
    </row>
    <row r="12">
      <c r="B12" s="11" t="s">
        <v>52</v>
      </c>
      <c r="C12" s="54">
        <v>0.0</v>
      </c>
      <c r="D12" s="54">
        <v>0.0</v>
      </c>
      <c r="E12" s="54">
        <v>0.0</v>
      </c>
      <c r="F12" s="54">
        <v>0.0</v>
      </c>
      <c r="G12" s="54">
        <v>0.0</v>
      </c>
      <c r="H12" s="54">
        <v>0.0</v>
      </c>
      <c r="I12" s="54">
        <v>0.0</v>
      </c>
      <c r="J12" s="54">
        <v>0.0</v>
      </c>
      <c r="K12" s="54">
        <v>0.0</v>
      </c>
      <c r="L12" s="54">
        <v>0.0</v>
      </c>
      <c r="M12" s="54">
        <v>500.0</v>
      </c>
      <c r="N12" s="54">
        <v>0.0</v>
      </c>
      <c r="O12" s="43">
        <f t="shared" ref="O12:O33" si="3">SUM(C12:N12)</f>
        <v>500</v>
      </c>
    </row>
    <row r="13">
      <c r="B13" s="11" t="s">
        <v>53</v>
      </c>
      <c r="C13" s="54">
        <v>0.0</v>
      </c>
      <c r="D13" s="54">
        <v>0.0</v>
      </c>
      <c r="E13" s="54">
        <v>0.0</v>
      </c>
      <c r="F13" s="54">
        <v>0.0</v>
      </c>
      <c r="G13" s="54">
        <v>0.0</v>
      </c>
      <c r="H13" s="54">
        <v>0.0</v>
      </c>
      <c r="I13" s="54">
        <v>0.0</v>
      </c>
      <c r="J13" s="54">
        <v>0.0</v>
      </c>
      <c r="K13" s="54">
        <v>1500.0</v>
      </c>
      <c r="L13" s="54">
        <v>0.0</v>
      </c>
      <c r="M13" s="54">
        <v>0.0</v>
      </c>
      <c r="N13" s="54">
        <v>0.0</v>
      </c>
      <c r="O13" s="43">
        <f t="shared" si="3"/>
        <v>1500</v>
      </c>
    </row>
    <row r="14">
      <c r="B14" s="11" t="s">
        <v>54</v>
      </c>
      <c r="C14" s="54">
        <v>0.0</v>
      </c>
      <c r="D14" s="54">
        <v>0.0</v>
      </c>
      <c r="E14" s="54">
        <v>0.0</v>
      </c>
      <c r="F14" s="54">
        <v>0.0</v>
      </c>
      <c r="G14" s="54">
        <v>0.0</v>
      </c>
      <c r="H14" s="54">
        <v>0.0</v>
      </c>
      <c r="I14" s="54">
        <v>0.0</v>
      </c>
      <c r="J14" s="54">
        <v>0.0</v>
      </c>
      <c r="K14" s="54">
        <v>0.0</v>
      </c>
      <c r="L14" s="54">
        <v>360.0</v>
      </c>
      <c r="M14" s="54">
        <v>0.0</v>
      </c>
      <c r="N14" s="54">
        <v>0.0</v>
      </c>
      <c r="O14" s="43">
        <f t="shared" si="3"/>
        <v>360</v>
      </c>
    </row>
    <row r="15">
      <c r="B15" s="11" t="s">
        <v>55</v>
      </c>
      <c r="C15" s="54">
        <v>0.0</v>
      </c>
      <c r="D15" s="54">
        <v>0.0</v>
      </c>
      <c r="E15" s="54">
        <v>0.0</v>
      </c>
      <c r="F15" s="54">
        <v>0.0</v>
      </c>
      <c r="G15" s="54">
        <v>0.0</v>
      </c>
      <c r="H15" s="54">
        <v>0.0</v>
      </c>
      <c r="I15" s="54">
        <v>0.0</v>
      </c>
      <c r="J15" s="54">
        <v>0.0</v>
      </c>
      <c r="K15" s="54">
        <v>0.0</v>
      </c>
      <c r="L15" s="54">
        <v>0.0</v>
      </c>
      <c r="M15" s="54">
        <v>0.0</v>
      </c>
      <c r="N15" s="54">
        <v>0.0</v>
      </c>
      <c r="O15" s="43">
        <f t="shared" si="3"/>
        <v>0</v>
      </c>
    </row>
    <row r="16">
      <c r="B16" s="11" t="s">
        <v>56</v>
      </c>
      <c r="C16" s="54">
        <v>0.0</v>
      </c>
      <c r="D16" s="54">
        <v>0.0</v>
      </c>
      <c r="E16" s="54">
        <v>0.0</v>
      </c>
      <c r="F16" s="54">
        <v>0.0</v>
      </c>
      <c r="G16" s="54">
        <v>0.0</v>
      </c>
      <c r="H16" s="54">
        <v>0.0</v>
      </c>
      <c r="I16" s="54">
        <v>0.0</v>
      </c>
      <c r="J16" s="54">
        <v>0.0</v>
      </c>
      <c r="K16" s="54">
        <v>0.0</v>
      </c>
      <c r="L16" s="54">
        <v>0.0</v>
      </c>
      <c r="M16" s="54">
        <v>5400.0</v>
      </c>
      <c r="N16" s="54">
        <v>0.0</v>
      </c>
      <c r="O16" s="43">
        <f t="shared" si="3"/>
        <v>5400</v>
      </c>
    </row>
    <row r="17">
      <c r="B17" s="11" t="s">
        <v>57</v>
      </c>
      <c r="C17" s="54">
        <v>0.0</v>
      </c>
      <c r="D17" s="54">
        <v>0.0</v>
      </c>
      <c r="E17" s="54">
        <v>0.0</v>
      </c>
      <c r="F17" s="54">
        <v>0.0</v>
      </c>
      <c r="G17" s="54">
        <v>0.0</v>
      </c>
      <c r="H17" s="54">
        <v>0.0</v>
      </c>
      <c r="I17" s="54">
        <v>0.0</v>
      </c>
      <c r="J17" s="54">
        <v>0.0</v>
      </c>
      <c r="K17" s="54">
        <v>0.0</v>
      </c>
      <c r="L17" s="54">
        <v>0.0</v>
      </c>
      <c r="M17" s="54">
        <v>0.0</v>
      </c>
      <c r="N17" s="54">
        <v>0.0</v>
      </c>
      <c r="O17" s="43">
        <f t="shared" si="3"/>
        <v>0</v>
      </c>
    </row>
    <row r="18">
      <c r="B18" s="11" t="s">
        <v>58</v>
      </c>
      <c r="C18" s="54">
        <v>0.0</v>
      </c>
      <c r="D18" s="54">
        <v>0.0</v>
      </c>
      <c r="E18" s="54">
        <v>0.0</v>
      </c>
      <c r="F18" s="54">
        <v>0.0</v>
      </c>
      <c r="G18" s="54">
        <v>0.0</v>
      </c>
      <c r="H18" s="54">
        <v>0.0</v>
      </c>
      <c r="I18" s="54">
        <v>0.0</v>
      </c>
      <c r="J18" s="54">
        <v>750.0</v>
      </c>
      <c r="K18" s="54">
        <v>0.0</v>
      </c>
      <c r="L18" s="54">
        <v>0.0</v>
      </c>
      <c r="M18" s="54">
        <v>0.0</v>
      </c>
      <c r="N18" s="54">
        <v>0.0</v>
      </c>
      <c r="O18" s="43">
        <f t="shared" si="3"/>
        <v>750</v>
      </c>
    </row>
    <row r="19">
      <c r="B19" s="11" t="s">
        <v>59</v>
      </c>
      <c r="C19" s="54">
        <v>0.0</v>
      </c>
      <c r="D19" s="54">
        <v>0.0</v>
      </c>
      <c r="E19" s="54">
        <v>0.0</v>
      </c>
      <c r="F19" s="54">
        <v>0.0</v>
      </c>
      <c r="G19" s="54">
        <v>0.0</v>
      </c>
      <c r="H19" s="54">
        <v>0.0</v>
      </c>
      <c r="I19" s="54">
        <v>0.0</v>
      </c>
      <c r="J19" s="54">
        <v>0.0</v>
      </c>
      <c r="K19" s="54">
        <v>0.0</v>
      </c>
      <c r="L19" s="54">
        <v>0.0</v>
      </c>
      <c r="M19" s="54">
        <v>0.0</v>
      </c>
      <c r="N19" s="54">
        <v>0.0</v>
      </c>
      <c r="O19" s="43">
        <f t="shared" si="3"/>
        <v>0</v>
      </c>
    </row>
    <row r="20">
      <c r="B20" s="11" t="s">
        <v>60</v>
      </c>
      <c r="C20" s="54">
        <v>0.0</v>
      </c>
      <c r="D20" s="54">
        <v>0.0</v>
      </c>
      <c r="E20" s="54">
        <v>0.0</v>
      </c>
      <c r="F20" s="54">
        <v>0.0</v>
      </c>
      <c r="G20" s="54">
        <v>0.0</v>
      </c>
      <c r="H20" s="54">
        <v>0.0</v>
      </c>
      <c r="I20" s="54">
        <v>0.0</v>
      </c>
      <c r="J20" s="54">
        <v>0.0</v>
      </c>
      <c r="K20" s="54">
        <v>0.0</v>
      </c>
      <c r="L20" s="54">
        <v>0.0</v>
      </c>
      <c r="M20" s="54">
        <v>0.0</v>
      </c>
      <c r="N20" s="54">
        <v>0.0</v>
      </c>
      <c r="O20" s="43">
        <f t="shared" si="3"/>
        <v>0</v>
      </c>
    </row>
    <row r="21">
      <c r="B21" s="11" t="s">
        <v>61</v>
      </c>
      <c r="C21" s="54">
        <v>0.0</v>
      </c>
      <c r="D21" s="54">
        <v>0.0</v>
      </c>
      <c r="E21" s="54">
        <v>0.0</v>
      </c>
      <c r="F21" s="54">
        <v>0.0</v>
      </c>
      <c r="G21" s="54">
        <v>0.0</v>
      </c>
      <c r="H21" s="54">
        <v>0.0</v>
      </c>
      <c r="I21" s="54">
        <v>1500.0</v>
      </c>
      <c r="J21" s="54">
        <v>0.0</v>
      </c>
      <c r="K21" s="54">
        <v>0.0</v>
      </c>
      <c r="L21" s="54">
        <v>0.0</v>
      </c>
      <c r="M21" s="54">
        <v>0.0</v>
      </c>
      <c r="N21" s="54">
        <v>0.0</v>
      </c>
      <c r="O21" s="43">
        <f t="shared" si="3"/>
        <v>1500</v>
      </c>
    </row>
    <row r="22">
      <c r="B22" s="11" t="s">
        <v>62</v>
      </c>
      <c r="C22" s="54">
        <v>0.0</v>
      </c>
      <c r="D22" s="54">
        <v>0.0</v>
      </c>
      <c r="E22" s="54">
        <v>0.0</v>
      </c>
      <c r="F22" s="54">
        <v>0.0</v>
      </c>
      <c r="G22" s="54">
        <v>0.0</v>
      </c>
      <c r="H22" s="54">
        <v>0.0</v>
      </c>
      <c r="I22" s="54">
        <v>0.0</v>
      </c>
      <c r="J22" s="54">
        <v>0.0</v>
      </c>
      <c r="K22" s="54">
        <v>0.0</v>
      </c>
      <c r="L22" s="54">
        <v>0.0</v>
      </c>
      <c r="M22" s="54">
        <v>150.0</v>
      </c>
      <c r="N22" s="54">
        <v>0.0</v>
      </c>
      <c r="O22" s="43">
        <f t="shared" si="3"/>
        <v>150</v>
      </c>
    </row>
    <row r="23">
      <c r="B23" s="11" t="s">
        <v>63</v>
      </c>
      <c r="C23" s="54">
        <v>0.0</v>
      </c>
      <c r="D23" s="54">
        <v>0.0</v>
      </c>
      <c r="E23" s="54">
        <v>0.0</v>
      </c>
      <c r="F23" s="54">
        <v>0.0</v>
      </c>
      <c r="G23" s="54">
        <v>0.0</v>
      </c>
      <c r="H23" s="54">
        <v>0.0</v>
      </c>
      <c r="I23" s="54">
        <v>0.0</v>
      </c>
      <c r="J23" s="54">
        <v>0.0</v>
      </c>
      <c r="K23" s="54">
        <v>0.0</v>
      </c>
      <c r="L23" s="54">
        <v>0.0</v>
      </c>
      <c r="M23" s="54">
        <v>0.0</v>
      </c>
      <c r="N23" s="54">
        <v>0.0</v>
      </c>
      <c r="O23" s="43">
        <f t="shared" si="3"/>
        <v>0</v>
      </c>
    </row>
    <row r="24">
      <c r="B24" s="11" t="s">
        <v>64</v>
      </c>
      <c r="C24" s="54">
        <v>0.0</v>
      </c>
      <c r="D24" s="54">
        <v>0.0</v>
      </c>
      <c r="E24" s="54">
        <v>0.0</v>
      </c>
      <c r="F24" s="54">
        <v>0.0</v>
      </c>
      <c r="G24" s="54">
        <v>0.0</v>
      </c>
      <c r="H24" s="54">
        <v>0.0</v>
      </c>
      <c r="I24" s="54">
        <v>0.0</v>
      </c>
      <c r="J24" s="54">
        <v>0.0</v>
      </c>
      <c r="K24" s="54">
        <v>0.0</v>
      </c>
      <c r="L24" s="54">
        <v>0.0</v>
      </c>
      <c r="M24" s="54">
        <v>0.0</v>
      </c>
      <c r="N24" s="54">
        <v>0.0</v>
      </c>
      <c r="O24" s="43">
        <f t="shared" si="3"/>
        <v>0</v>
      </c>
    </row>
    <row r="25">
      <c r="B25" s="11" t="s">
        <v>65</v>
      </c>
      <c r="C25" s="54">
        <v>0.0</v>
      </c>
      <c r="D25" s="54">
        <v>0.0</v>
      </c>
      <c r="E25" s="54">
        <v>0.0</v>
      </c>
      <c r="F25" s="54">
        <v>0.0</v>
      </c>
      <c r="G25" s="54">
        <v>0.0</v>
      </c>
      <c r="H25" s="54">
        <v>0.0</v>
      </c>
      <c r="I25" s="54">
        <v>0.0</v>
      </c>
      <c r="J25" s="54">
        <v>0.0</v>
      </c>
      <c r="K25" s="54">
        <v>0.0</v>
      </c>
      <c r="L25" s="54">
        <v>240.0</v>
      </c>
      <c r="M25" s="54">
        <v>0.0</v>
      </c>
      <c r="N25" s="54">
        <v>0.0</v>
      </c>
      <c r="O25" s="43">
        <f t="shared" si="3"/>
        <v>240</v>
      </c>
    </row>
    <row r="26">
      <c r="B26" s="11" t="s">
        <v>66</v>
      </c>
      <c r="C26" s="54">
        <v>0.0</v>
      </c>
      <c r="D26" s="54">
        <v>0.0</v>
      </c>
      <c r="E26" s="54">
        <v>0.0</v>
      </c>
      <c r="F26" s="54">
        <v>0.0</v>
      </c>
      <c r="G26" s="54">
        <v>0.0</v>
      </c>
      <c r="H26" s="54">
        <v>0.0</v>
      </c>
      <c r="I26" s="54">
        <v>0.0</v>
      </c>
      <c r="J26" s="54">
        <v>0.0</v>
      </c>
      <c r="K26" s="54">
        <v>0.0</v>
      </c>
      <c r="L26" s="54">
        <v>0.0</v>
      </c>
      <c r="M26" s="54">
        <v>0.0</v>
      </c>
      <c r="N26" s="54">
        <v>0.0</v>
      </c>
      <c r="O26" s="43">
        <f t="shared" si="3"/>
        <v>0</v>
      </c>
    </row>
    <row r="27">
      <c r="B27" s="11" t="s">
        <v>67</v>
      </c>
      <c r="C27" s="54">
        <v>0.0</v>
      </c>
      <c r="D27" s="54">
        <v>0.0</v>
      </c>
      <c r="E27" s="54">
        <v>0.0</v>
      </c>
      <c r="F27" s="54">
        <v>0.0</v>
      </c>
      <c r="G27" s="54">
        <v>0.0</v>
      </c>
      <c r="H27" s="54">
        <v>0.0</v>
      </c>
      <c r="I27" s="54">
        <v>0.0</v>
      </c>
      <c r="J27" s="54">
        <v>0.0</v>
      </c>
      <c r="K27" s="54">
        <v>0.0</v>
      </c>
      <c r="L27" s="54">
        <v>0.0</v>
      </c>
      <c r="M27" s="54">
        <v>0.0</v>
      </c>
      <c r="N27" s="54">
        <v>0.0</v>
      </c>
      <c r="O27" s="43">
        <f t="shared" si="3"/>
        <v>0</v>
      </c>
    </row>
    <row r="28">
      <c r="B28" s="11" t="s">
        <v>68</v>
      </c>
      <c r="C28" s="54">
        <v>0.0</v>
      </c>
      <c r="D28" s="54">
        <v>0.0</v>
      </c>
      <c r="E28" s="54">
        <v>0.0</v>
      </c>
      <c r="F28" s="54">
        <v>0.0</v>
      </c>
      <c r="G28" s="54">
        <v>0.0</v>
      </c>
      <c r="H28" s="54">
        <v>0.0</v>
      </c>
      <c r="I28" s="54">
        <v>0.0</v>
      </c>
      <c r="J28" s="54">
        <v>0.0</v>
      </c>
      <c r="K28" s="54">
        <v>0.0</v>
      </c>
      <c r="L28" s="54">
        <v>0.0</v>
      </c>
      <c r="M28" s="54">
        <v>0.0</v>
      </c>
      <c r="N28" s="54">
        <v>0.0</v>
      </c>
      <c r="O28" s="43">
        <f t="shared" si="3"/>
        <v>0</v>
      </c>
    </row>
    <row r="29">
      <c r="B29" s="11" t="s">
        <v>48</v>
      </c>
      <c r="C29" s="54">
        <v>0.0</v>
      </c>
      <c r="D29" s="54">
        <v>0.0</v>
      </c>
      <c r="E29" s="54">
        <v>0.0</v>
      </c>
      <c r="F29" s="54">
        <v>0.0</v>
      </c>
      <c r="G29" s="54">
        <v>0.0</v>
      </c>
      <c r="H29" s="54">
        <v>0.0</v>
      </c>
      <c r="I29" s="54">
        <v>0.0</v>
      </c>
      <c r="J29" s="54">
        <v>0.0</v>
      </c>
      <c r="K29" s="54">
        <v>504.0</v>
      </c>
      <c r="L29" s="54">
        <v>0.0</v>
      </c>
      <c r="M29" s="54">
        <v>0.0</v>
      </c>
      <c r="N29" s="54">
        <v>0.0</v>
      </c>
      <c r="O29" s="43">
        <f t="shared" si="3"/>
        <v>504</v>
      </c>
    </row>
    <row r="30">
      <c r="B30" s="11" t="s">
        <v>69</v>
      </c>
      <c r="C30" s="54">
        <v>0.0</v>
      </c>
      <c r="D30" s="54">
        <v>0.0</v>
      </c>
      <c r="E30" s="54">
        <v>0.0</v>
      </c>
      <c r="F30" s="54">
        <v>0.0</v>
      </c>
      <c r="G30" s="54">
        <v>0.0</v>
      </c>
      <c r="H30" s="54">
        <v>0.0</v>
      </c>
      <c r="I30" s="54">
        <v>0.0</v>
      </c>
      <c r="J30" s="54">
        <v>0.0</v>
      </c>
      <c r="K30" s="54">
        <v>0.0</v>
      </c>
      <c r="L30" s="54">
        <v>0.0</v>
      </c>
      <c r="M30" s="54">
        <v>0.0</v>
      </c>
      <c r="N30" s="54">
        <v>0.0</v>
      </c>
      <c r="O30" s="43">
        <f t="shared" si="3"/>
        <v>0</v>
      </c>
    </row>
    <row r="31">
      <c r="B31" s="11" t="s">
        <v>22</v>
      </c>
      <c r="C31" s="54">
        <v>0.0</v>
      </c>
      <c r="D31" s="54">
        <v>0.0</v>
      </c>
      <c r="E31" s="54">
        <v>0.0</v>
      </c>
      <c r="F31" s="54">
        <v>0.0</v>
      </c>
      <c r="G31" s="54">
        <v>0.0</v>
      </c>
      <c r="H31" s="54">
        <v>0.0</v>
      </c>
      <c r="I31" s="54">
        <v>0.0</v>
      </c>
      <c r="J31" s="54">
        <v>0.0</v>
      </c>
      <c r="K31" s="54">
        <v>0.0</v>
      </c>
      <c r="L31" s="54">
        <v>0.0</v>
      </c>
      <c r="M31" s="54">
        <v>0.0</v>
      </c>
      <c r="N31" s="54">
        <v>0.0</v>
      </c>
      <c r="O31" s="43">
        <f t="shared" si="3"/>
        <v>0</v>
      </c>
    </row>
    <row r="32">
      <c r="B32" s="11" t="s">
        <v>49</v>
      </c>
      <c r="C32" s="54">
        <v>0.0</v>
      </c>
      <c r="D32" s="54">
        <v>0.0</v>
      </c>
      <c r="E32" s="54">
        <v>0.0</v>
      </c>
      <c r="F32" s="54">
        <v>0.0</v>
      </c>
      <c r="G32" s="54">
        <v>0.0</v>
      </c>
      <c r="H32" s="54">
        <v>0.0</v>
      </c>
      <c r="I32" s="54">
        <v>0.0</v>
      </c>
      <c r="J32" s="54">
        <v>27500.0</v>
      </c>
      <c r="K32" s="54">
        <v>17500.0</v>
      </c>
      <c r="L32" s="54">
        <v>0.0</v>
      </c>
      <c r="M32" s="54">
        <v>3200.0</v>
      </c>
      <c r="N32" s="54">
        <v>0.0</v>
      </c>
      <c r="O32" s="43">
        <f t="shared" si="3"/>
        <v>48200</v>
      </c>
    </row>
    <row r="33">
      <c r="B33" s="11" t="s">
        <v>70</v>
      </c>
      <c r="C33" s="55">
        <v>0.0</v>
      </c>
      <c r="D33" s="55">
        <v>34356.0</v>
      </c>
      <c r="E33" s="55">
        <v>0.0</v>
      </c>
      <c r="F33" s="55">
        <v>0.0</v>
      </c>
      <c r="G33" s="55">
        <v>0.0</v>
      </c>
      <c r="H33" s="55">
        <v>0.0</v>
      </c>
      <c r="I33" s="55">
        <v>0.0</v>
      </c>
      <c r="J33" s="55">
        <v>0.0</v>
      </c>
      <c r="K33" s="55">
        <v>0.0</v>
      </c>
      <c r="L33" s="55">
        <v>34356.0</v>
      </c>
      <c r="M33" s="55">
        <v>0.0</v>
      </c>
      <c r="N33" s="55">
        <v>0.0</v>
      </c>
      <c r="O33" s="44">
        <f t="shared" si="3"/>
        <v>68712</v>
      </c>
    </row>
  </sheetData>
  <mergeCells count="1">
    <mergeCell ref="C2:O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2023-12-07T16:43:44Z</dcterms:created>
  <dc:creator>Apache POI</dc:creator>
</cp:coreProperties>
</file>