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mccroary/Downloads/"/>
    </mc:Choice>
  </mc:AlternateContent>
  <xr:revisionPtr revIDLastSave="0" documentId="8_{A845BD23-ACA4-C348-B48A-0AEA120B609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1" l="1"/>
  <c r="Q51" i="1"/>
  <c r="P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1" i="1" s="1"/>
  <c r="S50" i="1"/>
  <c r="O50" i="1"/>
  <c r="O49" i="1"/>
  <c r="O51" i="1" s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S48" i="1" s="1"/>
  <c r="B48" i="1"/>
  <c r="O47" i="1"/>
  <c r="S47" i="1" s="1"/>
  <c r="S46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S44" i="1"/>
  <c r="F44" i="1"/>
  <c r="F45" i="1" s="1"/>
  <c r="S43" i="1"/>
  <c r="Q43" i="1"/>
  <c r="S42" i="1"/>
  <c r="O41" i="1"/>
  <c r="E41" i="1"/>
  <c r="Q40" i="1"/>
  <c r="N40" i="1"/>
  <c r="J40" i="1"/>
  <c r="I40" i="1"/>
  <c r="G40" i="1"/>
  <c r="F40" i="1"/>
  <c r="D40" i="1"/>
  <c r="S40" i="1" s="1"/>
  <c r="P39" i="1"/>
  <c r="M39" i="1"/>
  <c r="K39" i="1"/>
  <c r="G39" i="1"/>
  <c r="F39" i="1"/>
  <c r="D39" i="1"/>
  <c r="C39" i="1"/>
  <c r="C41" i="1" s="1"/>
  <c r="R38" i="1"/>
  <c r="R41" i="1" s="1"/>
  <c r="J38" i="1"/>
  <c r="G38" i="1"/>
  <c r="D38" i="1"/>
  <c r="S38" i="1" s="1"/>
  <c r="G37" i="1"/>
  <c r="S37" i="1" s="1"/>
  <c r="S36" i="1"/>
  <c r="Q36" i="1"/>
  <c r="P36" i="1"/>
  <c r="N36" i="1"/>
  <c r="K36" i="1"/>
  <c r="I36" i="1"/>
  <c r="G36" i="1"/>
  <c r="F36" i="1"/>
  <c r="S35" i="1"/>
  <c r="K35" i="1"/>
  <c r="L34" i="1"/>
  <c r="K34" i="1"/>
  <c r="I34" i="1"/>
  <c r="H34" i="1"/>
  <c r="D34" i="1"/>
  <c r="S34" i="1" s="1"/>
  <c r="S33" i="1"/>
  <c r="D33" i="1"/>
  <c r="K32" i="1"/>
  <c r="S32" i="1" s="1"/>
  <c r="K31" i="1"/>
  <c r="S31" i="1" s="1"/>
  <c r="G31" i="1"/>
  <c r="N30" i="1"/>
  <c r="S30" i="1" s="1"/>
  <c r="M30" i="1"/>
  <c r="K30" i="1"/>
  <c r="P29" i="1"/>
  <c r="M29" i="1"/>
  <c r="K29" i="1"/>
  <c r="F29" i="1"/>
  <c r="S29" i="1" s="1"/>
  <c r="S28" i="1"/>
  <c r="N28" i="1"/>
  <c r="L28" i="1"/>
  <c r="L41" i="1" s="1"/>
  <c r="K28" i="1"/>
  <c r="J28" i="1"/>
  <c r="G28" i="1"/>
  <c r="D28" i="1"/>
  <c r="B28" i="1"/>
  <c r="S27" i="1"/>
  <c r="K27" i="1"/>
  <c r="K26" i="1"/>
  <c r="S26" i="1" s="1"/>
  <c r="Q25" i="1"/>
  <c r="N25" i="1"/>
  <c r="K25" i="1"/>
  <c r="I25" i="1"/>
  <c r="H25" i="1"/>
  <c r="D25" i="1"/>
  <c r="B25" i="1"/>
  <c r="S25" i="1" s="1"/>
  <c r="M24" i="1"/>
  <c r="J24" i="1"/>
  <c r="G24" i="1"/>
  <c r="S24" i="1" s="1"/>
  <c r="S23" i="1"/>
  <c r="Q23" i="1"/>
  <c r="N23" i="1"/>
  <c r="M23" i="1"/>
  <c r="M41" i="1" s="1"/>
  <c r="I23" i="1"/>
  <c r="G23" i="1"/>
  <c r="G41" i="1" s="1"/>
  <c r="D23" i="1"/>
  <c r="B23" i="1"/>
  <c r="S22" i="1"/>
  <c r="N22" i="1"/>
  <c r="K22" i="1"/>
  <c r="I22" i="1"/>
  <c r="G22" i="1"/>
  <c r="F22" i="1"/>
  <c r="F41" i="1" s="1"/>
  <c r="N21" i="1"/>
  <c r="K21" i="1"/>
  <c r="I21" i="1"/>
  <c r="G21" i="1"/>
  <c r="D21" i="1"/>
  <c r="B21" i="1"/>
  <c r="S21" i="1" s="1"/>
  <c r="S20" i="1"/>
  <c r="N20" i="1"/>
  <c r="N41" i="1" s="1"/>
  <c r="Q19" i="1"/>
  <c r="Q41" i="1" s="1"/>
  <c r="P19" i="1"/>
  <c r="P41" i="1" s="1"/>
  <c r="K19" i="1"/>
  <c r="K41" i="1" s="1"/>
  <c r="J19" i="1"/>
  <c r="J41" i="1" s="1"/>
  <c r="I19" i="1"/>
  <c r="I41" i="1" s="1"/>
  <c r="H19" i="1"/>
  <c r="H41" i="1" s="1"/>
  <c r="G19" i="1"/>
  <c r="D19" i="1"/>
  <c r="D41" i="1" s="1"/>
  <c r="B19" i="1"/>
  <c r="B41" i="1" s="1"/>
  <c r="S18" i="1"/>
  <c r="R17" i="1"/>
  <c r="Q17" i="1"/>
  <c r="P17" i="1"/>
  <c r="O17" i="1"/>
  <c r="O52" i="1" s="1"/>
  <c r="N17" i="1"/>
  <c r="M17" i="1"/>
  <c r="M52" i="1" s="1"/>
  <c r="L17" i="1"/>
  <c r="J17" i="1"/>
  <c r="J52" i="1" s="1"/>
  <c r="I17" i="1"/>
  <c r="H17" i="1"/>
  <c r="G17" i="1"/>
  <c r="F17" i="1"/>
  <c r="E17" i="1"/>
  <c r="E52" i="1" s="1"/>
  <c r="D17" i="1"/>
  <c r="C17" i="1"/>
  <c r="C52" i="1" s="1"/>
  <c r="B17" i="1"/>
  <c r="S17" i="1" s="1"/>
  <c r="K16" i="1"/>
  <c r="K17" i="1" s="1"/>
  <c r="K52" i="1" s="1"/>
  <c r="S15" i="1"/>
  <c r="P13" i="1"/>
  <c r="P12" i="1"/>
  <c r="O12" i="1"/>
  <c r="O13" i="1" s="1"/>
  <c r="O53" i="1" s="1"/>
  <c r="O54" i="1" s="1"/>
  <c r="P11" i="1"/>
  <c r="O11" i="1"/>
  <c r="K11" i="1"/>
  <c r="K12" i="1" s="1"/>
  <c r="K13" i="1" s="1"/>
  <c r="K53" i="1" s="1"/>
  <c r="K54" i="1" s="1"/>
  <c r="I11" i="1"/>
  <c r="I12" i="1" s="1"/>
  <c r="I13" i="1" s="1"/>
  <c r="F11" i="1"/>
  <c r="F12" i="1" s="1"/>
  <c r="F13" i="1" s="1"/>
  <c r="S10" i="1"/>
  <c r="N10" i="1"/>
  <c r="Q9" i="1"/>
  <c r="Q11" i="1" s="1"/>
  <c r="Q12" i="1" s="1"/>
  <c r="Q13" i="1" s="1"/>
  <c r="N9" i="1"/>
  <c r="M9" i="1"/>
  <c r="M11" i="1" s="1"/>
  <c r="M12" i="1" s="1"/>
  <c r="M13" i="1" s="1"/>
  <c r="L9" i="1"/>
  <c r="L11" i="1" s="1"/>
  <c r="L12" i="1" s="1"/>
  <c r="L13" i="1" s="1"/>
  <c r="K9" i="1"/>
  <c r="J9" i="1"/>
  <c r="I9" i="1"/>
  <c r="H9" i="1"/>
  <c r="H11" i="1" s="1"/>
  <c r="H12" i="1" s="1"/>
  <c r="H13" i="1" s="1"/>
  <c r="G9" i="1"/>
  <c r="G11" i="1" s="1"/>
  <c r="G12" i="1" s="1"/>
  <c r="G13" i="1" s="1"/>
  <c r="F9" i="1"/>
  <c r="D9" i="1"/>
  <c r="C9" i="1"/>
  <c r="C11" i="1" s="1"/>
  <c r="C12" i="1" s="1"/>
  <c r="C13" i="1" s="1"/>
  <c r="C53" i="1" s="1"/>
  <c r="C54" i="1" s="1"/>
  <c r="B9" i="1"/>
  <c r="B11" i="1" s="1"/>
  <c r="R8" i="1"/>
  <c r="R11" i="1" s="1"/>
  <c r="R12" i="1" s="1"/>
  <c r="R13" i="1" s="1"/>
  <c r="Q8" i="1"/>
  <c r="N8" i="1"/>
  <c r="N11" i="1" s="1"/>
  <c r="N12" i="1" s="1"/>
  <c r="N13" i="1" s="1"/>
  <c r="K8" i="1"/>
  <c r="J8" i="1"/>
  <c r="J11" i="1" s="1"/>
  <c r="J12" i="1" s="1"/>
  <c r="J13" i="1" s="1"/>
  <c r="J53" i="1" s="1"/>
  <c r="J54" i="1" s="1"/>
  <c r="I8" i="1"/>
  <c r="G8" i="1"/>
  <c r="F8" i="1"/>
  <c r="S8" i="1" s="1"/>
  <c r="E8" i="1"/>
  <c r="E11" i="1" s="1"/>
  <c r="E12" i="1" s="1"/>
  <c r="E13" i="1" s="1"/>
  <c r="D8" i="1"/>
  <c r="D11" i="1" s="1"/>
  <c r="D12" i="1" s="1"/>
  <c r="D13" i="1" s="1"/>
  <c r="S7" i="1"/>
  <c r="M53" i="1" l="1"/>
  <c r="M54" i="1" s="1"/>
  <c r="L52" i="1"/>
  <c r="S41" i="1"/>
  <c r="D52" i="1"/>
  <c r="N52" i="1"/>
  <c r="N53" i="1" s="1"/>
  <c r="N54" i="1" s="1"/>
  <c r="D53" i="1"/>
  <c r="D54" i="1" s="1"/>
  <c r="P53" i="1"/>
  <c r="P54" i="1" s="1"/>
  <c r="P52" i="1"/>
  <c r="S45" i="1"/>
  <c r="F52" i="1"/>
  <c r="E53" i="1"/>
  <c r="E54" i="1" s="1"/>
  <c r="R53" i="1"/>
  <c r="R54" i="1" s="1"/>
  <c r="F53" i="1"/>
  <c r="F54" i="1" s="1"/>
  <c r="H52" i="1"/>
  <c r="H53" i="1" s="1"/>
  <c r="H54" i="1" s="1"/>
  <c r="Q52" i="1"/>
  <c r="L53" i="1"/>
  <c r="L54" i="1" s="1"/>
  <c r="Q53" i="1"/>
  <c r="Q54" i="1" s="1"/>
  <c r="G52" i="1"/>
  <c r="G53" i="1" s="1"/>
  <c r="G54" i="1" s="1"/>
  <c r="S11" i="1"/>
  <c r="B12" i="1"/>
  <c r="I53" i="1"/>
  <c r="I54" i="1" s="1"/>
  <c r="I52" i="1"/>
  <c r="R52" i="1"/>
  <c r="S9" i="1"/>
  <c r="S19" i="1"/>
  <c r="S16" i="1"/>
  <c r="B52" i="1"/>
  <c r="S39" i="1"/>
  <c r="S49" i="1"/>
  <c r="S52" i="1" l="1"/>
  <c r="S12" i="1"/>
  <c r="B13" i="1"/>
  <c r="B53" i="1" l="1"/>
  <c r="S13" i="1"/>
  <c r="B54" i="1" l="1"/>
  <c r="S54" i="1" s="1"/>
  <c r="S53" i="1"/>
</calcChain>
</file>

<file path=xl/sharedStrings.xml><?xml version="1.0" encoding="utf-8"?>
<sst xmlns="http://schemas.openxmlformats.org/spreadsheetml/2006/main" count="71" uniqueCount="67">
  <si>
    <t>.2023 BASC</t>
  </si>
  <si>
    <t>.2023 BeNeLux</t>
  </si>
  <si>
    <t>.2023 German Day</t>
  </si>
  <si>
    <t>.2023 New Zealand Day</t>
  </si>
  <si>
    <t>.2023 Poland Day</t>
  </si>
  <si>
    <t>.Appsec Dublin 2023</t>
  </si>
  <si>
    <t>.AppSec Israel 2023</t>
  </si>
  <si>
    <t>.AppSec PNW 2023</t>
  </si>
  <si>
    <t>.AppSec Singapore 2023</t>
  </si>
  <si>
    <t>.AppSec Washington DC 2023</t>
  </si>
  <si>
    <t>.Career Fair 2023</t>
  </si>
  <si>
    <t>.Italy Days 2023</t>
  </si>
  <si>
    <t>.LASCON 2023</t>
  </si>
  <si>
    <t>.OWASP ModSecurity Core Rule Set Class</t>
  </si>
  <si>
    <t>.RSA Conference 2023</t>
  </si>
  <si>
    <t>.SnowFROC 2023</t>
  </si>
  <si>
    <t>.Virtual Training June 2023</t>
  </si>
  <si>
    <t>TOTAL</t>
  </si>
  <si>
    <t>Income</t>
  </si>
  <si>
    <t xml:space="preserve">   Conference Income</t>
  </si>
  <si>
    <t xml:space="preserve">      Registrations</t>
  </si>
  <si>
    <t xml:space="preserve">      Sponsorships</t>
  </si>
  <si>
    <t xml:space="preserve">      Training</t>
  </si>
  <si>
    <t xml:space="preserve">   Total Conference Income</t>
  </si>
  <si>
    <t>Total Income</t>
  </si>
  <si>
    <t>Gross Profit</t>
  </si>
  <si>
    <t>Expenses</t>
  </si>
  <si>
    <t xml:space="preserve">   Community Outreach</t>
  </si>
  <si>
    <t xml:space="preserve">      Travel</t>
  </si>
  <si>
    <t xml:space="preserve">   Total Community Outreach</t>
  </si>
  <si>
    <t xml:space="preserve">   Conference Expenses</t>
  </si>
  <si>
    <t xml:space="preserve">      Audio &amp; Video</t>
  </si>
  <si>
    <t xml:space="preserve">      Conference Expenses</t>
  </si>
  <si>
    <t xml:space="preserve">      Copying &amp; Printing</t>
  </si>
  <si>
    <t xml:space="preserve">      Fees - Registration</t>
  </si>
  <si>
    <t xml:space="preserve">      Food &amp; Beverages</t>
  </si>
  <si>
    <t xml:space="preserve">      Graphic Design</t>
  </si>
  <si>
    <t xml:space="preserve">      Insurance</t>
  </si>
  <si>
    <t xml:space="preserve">      Lead Scanners, Lanyards, &amp; Badges</t>
  </si>
  <si>
    <t xml:space="preserve">      Logistics Freight</t>
  </si>
  <si>
    <t xml:space="preserve">      Marketing</t>
  </si>
  <si>
    <t xml:space="preserve">      Miscellaneous</t>
  </si>
  <si>
    <t xml:space="preserve">      Office Supplies &amp; Equipment</t>
  </si>
  <si>
    <t xml:space="preserve">      Photography</t>
  </si>
  <si>
    <t xml:space="preserve">      Postage &amp; Shipping</t>
  </si>
  <si>
    <t xml:space="preserve">      Software</t>
  </si>
  <si>
    <t xml:space="preserve">      Speakers</t>
  </si>
  <si>
    <t xml:space="preserve">      Speakers Gifts</t>
  </si>
  <si>
    <t xml:space="preserve">      Swag</t>
  </si>
  <si>
    <t xml:space="preserve">      Tax Compliance</t>
  </si>
  <si>
    <t xml:space="preserve">      Venue</t>
  </si>
  <si>
    <t xml:space="preserve">   Total Conference Expenses</t>
  </si>
  <si>
    <t xml:space="preserve">   General &amp; Admin - Operations</t>
  </si>
  <si>
    <t xml:space="preserve">      Awards and Member Benefits</t>
  </si>
  <si>
    <t xml:space="preserve">      Merchant  Fees</t>
  </si>
  <si>
    <t xml:space="preserve">   Total General &amp; Admin - Operations</t>
  </si>
  <si>
    <t xml:space="preserve">   Local Chapter Expenses</t>
  </si>
  <si>
    <t xml:space="preserve">   Total Local Chapter Expenses</t>
  </si>
  <si>
    <t xml:space="preserve">   Project Expenses</t>
  </si>
  <si>
    <t xml:space="preserve">   Total Project Expenses</t>
  </si>
  <si>
    <t>Total Expenses</t>
  </si>
  <si>
    <t>Net Operating Income</t>
  </si>
  <si>
    <t>Net Income</t>
  </si>
  <si>
    <t>Tuesday, Nov 28, 2023 11:21:03 AM GMT-8 - Accrual Basis</t>
  </si>
  <si>
    <t>OWASP Foundation, Inc.</t>
  </si>
  <si>
    <t>Profit and Loss</t>
  </si>
  <si>
    <t>January - October,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</si>
</sst>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workbookViewId="0">
      <selection sqref="A1:S1"/>
    </sheetView>
  </sheetViews>
  <sheetFormatPr baseColWidth="10" defaultColWidth="8.83203125" defaultRowHeight="15" x14ac:dyDescent="0.2"/>
  <cols>
    <col min="1" max="1" width="34.33203125" customWidth="1"/>
    <col min="2" max="3" width="9.5" customWidth="1"/>
    <col min="4" max="4" width="11.1640625" customWidth="1"/>
    <col min="5" max="5" width="8.6640625" customWidth="1"/>
    <col min="6" max="7" width="10.33203125" customWidth="1"/>
    <col min="8" max="8" width="11.1640625" customWidth="1"/>
    <col min="9" max="9" width="9.5" customWidth="1"/>
    <col min="10" max="10" width="11.1640625" customWidth="1"/>
    <col min="11" max="11" width="12" customWidth="1"/>
    <col min="12" max="12" width="10.33203125" customWidth="1"/>
    <col min="13" max="13" width="9.5" customWidth="1"/>
    <col min="14" max="15" width="10.33203125" customWidth="1"/>
    <col min="16" max="16" width="11.1640625" customWidth="1"/>
    <col min="17" max="18" width="9.5" customWidth="1"/>
    <col min="19" max="19" width="12" customWidth="1"/>
  </cols>
  <sheetData>
    <row r="1" spans="1:19" ht="18" x14ac:dyDescent="0.2">
      <c r="A1" s="10" t="s">
        <v>64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" x14ac:dyDescent="0.2">
      <c r="A2" s="10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">
      <c r="A3" s="11" t="s">
        <v>66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5" spans="1:19" ht="53" x14ac:dyDescent="0.2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</row>
    <row r="6" spans="1:19" x14ac:dyDescent="0.2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ref="S7:S13" si="0">((((((((((((((((B7)+(C7))+(D7))+(E7))+(F7))+(G7))+(H7))+(I7))+(J7))+(K7))+(L7))+(M7))+(N7))+(O7))+(P7))+(Q7))+(R7)</f>
        <v>0</v>
      </c>
    </row>
    <row r="8" spans="1:19" x14ac:dyDescent="0.2">
      <c r="A8" s="3" t="s">
        <v>20</v>
      </c>
      <c r="B8" s="4"/>
      <c r="C8" s="4"/>
      <c r="D8" s="5">
        <f>963.7</f>
        <v>963.7</v>
      </c>
      <c r="E8" s="5">
        <f>1000</f>
        <v>1000</v>
      </c>
      <c r="F8" s="5">
        <f>61.09</f>
        <v>61.09</v>
      </c>
      <c r="G8" s="5">
        <f>293573.41</f>
        <v>293573.40999999997</v>
      </c>
      <c r="H8" s="4"/>
      <c r="I8" s="5">
        <f>3990</f>
        <v>3990</v>
      </c>
      <c r="J8" s="5">
        <f>976.88</f>
        <v>976.88</v>
      </c>
      <c r="K8" s="5">
        <f>606606.82</f>
        <v>606606.81999999995</v>
      </c>
      <c r="L8" s="4"/>
      <c r="M8" s="4"/>
      <c r="N8" s="5">
        <f>48873.18</f>
        <v>48873.18</v>
      </c>
      <c r="O8" s="4"/>
      <c r="P8" s="4"/>
      <c r="Q8" s="5">
        <f>18389.15</f>
        <v>18389.150000000001</v>
      </c>
      <c r="R8" s="5">
        <f>13130</f>
        <v>13130</v>
      </c>
      <c r="S8" s="5">
        <f t="shared" si="0"/>
        <v>987564.23</v>
      </c>
    </row>
    <row r="9" spans="1:19" x14ac:dyDescent="0.2">
      <c r="A9" s="3" t="s">
        <v>21</v>
      </c>
      <c r="B9" s="5">
        <f>17000</f>
        <v>17000</v>
      </c>
      <c r="C9" s="5">
        <f>11832</f>
        <v>11832</v>
      </c>
      <c r="D9" s="5">
        <f>19016.31</f>
        <v>19016.310000000001</v>
      </c>
      <c r="E9" s="4"/>
      <c r="F9" s="5">
        <f>3125</f>
        <v>3125</v>
      </c>
      <c r="G9" s="5">
        <f>292328.57</f>
        <v>292328.57</v>
      </c>
      <c r="H9" s="5">
        <f>88540</f>
        <v>88540</v>
      </c>
      <c r="I9" s="5">
        <f>21750</f>
        <v>21750</v>
      </c>
      <c r="J9" s="5">
        <f>3000</f>
        <v>3000</v>
      </c>
      <c r="K9" s="5">
        <f>703705</f>
        <v>703705</v>
      </c>
      <c r="L9" s="5">
        <f>1200</f>
        <v>1200</v>
      </c>
      <c r="M9" s="5">
        <f>14208</f>
        <v>14208</v>
      </c>
      <c r="N9" s="5">
        <f>99220</f>
        <v>99220</v>
      </c>
      <c r="O9" s="4"/>
      <c r="P9" s="4"/>
      <c r="Q9" s="5">
        <f>53500</f>
        <v>53500</v>
      </c>
      <c r="R9" s="4"/>
      <c r="S9" s="5">
        <f t="shared" si="0"/>
        <v>1328424.8799999999</v>
      </c>
    </row>
    <row r="10" spans="1:19" x14ac:dyDescent="0.2">
      <c r="A10" s="3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>
        <f>14129.52</f>
        <v>14129.52</v>
      </c>
      <c r="O10" s="4"/>
      <c r="P10" s="4"/>
      <c r="Q10" s="4"/>
      <c r="R10" s="4"/>
      <c r="S10" s="5">
        <f t="shared" si="0"/>
        <v>14129.52</v>
      </c>
    </row>
    <row r="11" spans="1:19" x14ac:dyDescent="0.2">
      <c r="A11" s="3" t="s">
        <v>23</v>
      </c>
      <c r="B11" s="6">
        <f t="shared" ref="B11:R11" si="1">(((B7)+(B8))+(B9))+(B10)</f>
        <v>17000</v>
      </c>
      <c r="C11" s="6">
        <f t="shared" si="1"/>
        <v>11832</v>
      </c>
      <c r="D11" s="6">
        <f t="shared" si="1"/>
        <v>19980.010000000002</v>
      </c>
      <c r="E11" s="6">
        <f t="shared" si="1"/>
        <v>1000</v>
      </c>
      <c r="F11" s="6">
        <f t="shared" si="1"/>
        <v>3186.09</v>
      </c>
      <c r="G11" s="6">
        <f t="shared" si="1"/>
        <v>585901.98</v>
      </c>
      <c r="H11" s="6">
        <f t="shared" si="1"/>
        <v>88540</v>
      </c>
      <c r="I11" s="6">
        <f t="shared" si="1"/>
        <v>25740</v>
      </c>
      <c r="J11" s="6">
        <f t="shared" si="1"/>
        <v>3976.88</v>
      </c>
      <c r="K11" s="6">
        <f t="shared" si="1"/>
        <v>1310311.8199999998</v>
      </c>
      <c r="L11" s="6">
        <f t="shared" si="1"/>
        <v>1200</v>
      </c>
      <c r="M11" s="6">
        <f t="shared" si="1"/>
        <v>14208</v>
      </c>
      <c r="N11" s="6">
        <f t="shared" si="1"/>
        <v>162222.69999999998</v>
      </c>
      <c r="O11" s="6">
        <f t="shared" si="1"/>
        <v>0</v>
      </c>
      <c r="P11" s="6">
        <f t="shared" si="1"/>
        <v>0</v>
      </c>
      <c r="Q11" s="6">
        <f t="shared" si="1"/>
        <v>71889.149999999994</v>
      </c>
      <c r="R11" s="6">
        <f t="shared" si="1"/>
        <v>13130</v>
      </c>
      <c r="S11" s="6">
        <f t="shared" si="0"/>
        <v>2330118.63</v>
      </c>
    </row>
    <row r="12" spans="1:19" x14ac:dyDescent="0.2">
      <c r="A12" s="3" t="s">
        <v>24</v>
      </c>
      <c r="B12" s="6">
        <f t="shared" ref="B12:R12" si="2">B11</f>
        <v>17000</v>
      </c>
      <c r="C12" s="6">
        <f t="shared" si="2"/>
        <v>11832</v>
      </c>
      <c r="D12" s="6">
        <f t="shared" si="2"/>
        <v>19980.010000000002</v>
      </c>
      <c r="E12" s="6">
        <f t="shared" si="2"/>
        <v>1000</v>
      </c>
      <c r="F12" s="6">
        <f t="shared" si="2"/>
        <v>3186.09</v>
      </c>
      <c r="G12" s="6">
        <f t="shared" si="2"/>
        <v>585901.98</v>
      </c>
      <c r="H12" s="6">
        <f t="shared" si="2"/>
        <v>88540</v>
      </c>
      <c r="I12" s="6">
        <f t="shared" si="2"/>
        <v>25740</v>
      </c>
      <c r="J12" s="6">
        <f t="shared" si="2"/>
        <v>3976.88</v>
      </c>
      <c r="K12" s="6">
        <f t="shared" si="2"/>
        <v>1310311.8199999998</v>
      </c>
      <c r="L12" s="6">
        <f t="shared" si="2"/>
        <v>1200</v>
      </c>
      <c r="M12" s="6">
        <f t="shared" si="2"/>
        <v>14208</v>
      </c>
      <c r="N12" s="6">
        <f t="shared" si="2"/>
        <v>162222.69999999998</v>
      </c>
      <c r="O12" s="6">
        <f t="shared" si="2"/>
        <v>0</v>
      </c>
      <c r="P12" s="6">
        <f t="shared" si="2"/>
        <v>0</v>
      </c>
      <c r="Q12" s="6">
        <f t="shared" si="2"/>
        <v>71889.149999999994</v>
      </c>
      <c r="R12" s="6">
        <f t="shared" si="2"/>
        <v>13130</v>
      </c>
      <c r="S12" s="6">
        <f t="shared" si="0"/>
        <v>2330118.63</v>
      </c>
    </row>
    <row r="13" spans="1:19" x14ac:dyDescent="0.2">
      <c r="A13" s="3" t="s">
        <v>25</v>
      </c>
      <c r="B13" s="6">
        <f t="shared" ref="B13:R13" si="3">(B12)-(0)</f>
        <v>17000</v>
      </c>
      <c r="C13" s="6">
        <f t="shared" si="3"/>
        <v>11832</v>
      </c>
      <c r="D13" s="6">
        <f t="shared" si="3"/>
        <v>19980.010000000002</v>
      </c>
      <c r="E13" s="6">
        <f t="shared" si="3"/>
        <v>1000</v>
      </c>
      <c r="F13" s="6">
        <f t="shared" si="3"/>
        <v>3186.09</v>
      </c>
      <c r="G13" s="6">
        <f t="shared" si="3"/>
        <v>585901.98</v>
      </c>
      <c r="H13" s="6">
        <f t="shared" si="3"/>
        <v>88540</v>
      </c>
      <c r="I13" s="6">
        <f t="shared" si="3"/>
        <v>25740</v>
      </c>
      <c r="J13" s="6">
        <f t="shared" si="3"/>
        <v>3976.88</v>
      </c>
      <c r="K13" s="6">
        <f t="shared" si="3"/>
        <v>1310311.8199999998</v>
      </c>
      <c r="L13" s="6">
        <f t="shared" si="3"/>
        <v>1200</v>
      </c>
      <c r="M13" s="6">
        <f t="shared" si="3"/>
        <v>14208</v>
      </c>
      <c r="N13" s="6">
        <f t="shared" si="3"/>
        <v>162222.69999999998</v>
      </c>
      <c r="O13" s="6">
        <f t="shared" si="3"/>
        <v>0</v>
      </c>
      <c r="P13" s="6">
        <f t="shared" si="3"/>
        <v>0</v>
      </c>
      <c r="Q13" s="6">
        <f t="shared" si="3"/>
        <v>71889.149999999994</v>
      </c>
      <c r="R13" s="6">
        <f t="shared" si="3"/>
        <v>13130</v>
      </c>
      <c r="S13" s="6">
        <f t="shared" si="0"/>
        <v>2330118.63</v>
      </c>
    </row>
    <row r="14" spans="1:19" x14ac:dyDescent="0.2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">
      <c r="A15" s="3" t="s">
        <v>27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>
        <f t="shared" ref="S15:S54" si="4">((((((((((((((((B15)+(C15))+(D15))+(E15))+(F15))+(G15))+(H15))+(I15))+(J15))+(K15))+(L15))+(M15))+(N15))+(O15))+(P15))+(Q15))+(R15)</f>
        <v>0</v>
      </c>
    </row>
    <row r="16" spans="1:19" x14ac:dyDescent="0.2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5">
        <f>15.12</f>
        <v>15.12</v>
      </c>
      <c r="L16" s="4"/>
      <c r="M16" s="4"/>
      <c r="N16" s="4"/>
      <c r="O16" s="4"/>
      <c r="P16" s="4"/>
      <c r="Q16" s="4"/>
      <c r="R16" s="4"/>
      <c r="S16" s="5">
        <f t="shared" si="4"/>
        <v>15.12</v>
      </c>
    </row>
    <row r="17" spans="1:19" x14ac:dyDescent="0.2">
      <c r="A17" s="3" t="s">
        <v>29</v>
      </c>
      <c r="B17" s="6">
        <f t="shared" ref="B17:R17" si="5">(B15)+(B16)</f>
        <v>0</v>
      </c>
      <c r="C17" s="6">
        <f t="shared" si="5"/>
        <v>0</v>
      </c>
      <c r="D17" s="6">
        <f t="shared" si="5"/>
        <v>0</v>
      </c>
      <c r="E17" s="6">
        <f t="shared" si="5"/>
        <v>0</v>
      </c>
      <c r="F17" s="6">
        <f t="shared" si="5"/>
        <v>0</v>
      </c>
      <c r="G17" s="6">
        <f t="shared" si="5"/>
        <v>0</v>
      </c>
      <c r="H17" s="6">
        <f t="shared" si="5"/>
        <v>0</v>
      </c>
      <c r="I17" s="6">
        <f t="shared" si="5"/>
        <v>0</v>
      </c>
      <c r="J17" s="6">
        <f t="shared" si="5"/>
        <v>0</v>
      </c>
      <c r="K17" s="6">
        <f t="shared" si="5"/>
        <v>15.12</v>
      </c>
      <c r="L17" s="6">
        <f t="shared" si="5"/>
        <v>0</v>
      </c>
      <c r="M17" s="6">
        <f t="shared" si="5"/>
        <v>0</v>
      </c>
      <c r="N17" s="6">
        <f t="shared" si="5"/>
        <v>0</v>
      </c>
      <c r="O17" s="6">
        <f t="shared" si="5"/>
        <v>0</v>
      </c>
      <c r="P17" s="6">
        <f t="shared" si="5"/>
        <v>0</v>
      </c>
      <c r="Q17" s="6">
        <f t="shared" si="5"/>
        <v>0</v>
      </c>
      <c r="R17" s="6">
        <f t="shared" si="5"/>
        <v>0</v>
      </c>
      <c r="S17" s="6">
        <f t="shared" si="4"/>
        <v>15.12</v>
      </c>
    </row>
    <row r="18" spans="1:19" x14ac:dyDescent="0.2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si="4"/>
        <v>0</v>
      </c>
    </row>
    <row r="19" spans="1:19" x14ac:dyDescent="0.2">
      <c r="A19" s="3" t="s">
        <v>31</v>
      </c>
      <c r="B19" s="5">
        <f>154.38</f>
        <v>154.38</v>
      </c>
      <c r="C19" s="4"/>
      <c r="D19" s="5">
        <f>6193.88</f>
        <v>6193.88</v>
      </c>
      <c r="E19" s="4"/>
      <c r="F19" s="4"/>
      <c r="G19" s="5">
        <f>9663.6</f>
        <v>9663.6</v>
      </c>
      <c r="H19" s="5">
        <f>172721.6</f>
        <v>172721.6</v>
      </c>
      <c r="I19" s="5">
        <f>1750</f>
        <v>1750</v>
      </c>
      <c r="J19" s="5">
        <f>3499</f>
        <v>3499</v>
      </c>
      <c r="K19" s="5">
        <f>31035</f>
        <v>31035</v>
      </c>
      <c r="L19" s="4"/>
      <c r="M19" s="4"/>
      <c r="N19" s="4"/>
      <c r="O19" s="4"/>
      <c r="P19" s="5">
        <f>2195.37</f>
        <v>2195.37</v>
      </c>
      <c r="Q19" s="5">
        <f>11.38</f>
        <v>11.38</v>
      </c>
      <c r="R19" s="4"/>
      <c r="S19" s="5">
        <f t="shared" si="4"/>
        <v>227224.21000000002</v>
      </c>
    </row>
    <row r="20" spans="1:19" x14ac:dyDescent="0.2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>4072.36</f>
        <v>4072.36</v>
      </c>
      <c r="O20" s="4"/>
      <c r="P20" s="4"/>
      <c r="Q20" s="4"/>
      <c r="R20" s="4"/>
      <c r="S20" s="5">
        <f t="shared" si="4"/>
        <v>4072.36</v>
      </c>
    </row>
    <row r="21" spans="1:19" x14ac:dyDescent="0.2">
      <c r="A21" s="3" t="s">
        <v>33</v>
      </c>
      <c r="B21" s="5">
        <f>78.1</f>
        <v>78.099999999999994</v>
      </c>
      <c r="C21" s="4"/>
      <c r="D21" s="5">
        <f>223.47</f>
        <v>223.47</v>
      </c>
      <c r="E21" s="4"/>
      <c r="F21" s="4"/>
      <c r="G21" s="5">
        <f>1991.3</f>
        <v>1991.3</v>
      </c>
      <c r="H21" s="4"/>
      <c r="I21" s="5">
        <f>2123</f>
        <v>2123</v>
      </c>
      <c r="J21" s="4"/>
      <c r="K21" s="5">
        <f>9006.93</f>
        <v>9006.93</v>
      </c>
      <c r="L21" s="4"/>
      <c r="M21" s="4"/>
      <c r="N21" s="5">
        <f>8009.09</f>
        <v>8009.09</v>
      </c>
      <c r="O21" s="4"/>
      <c r="P21" s="4"/>
      <c r="Q21" s="4"/>
      <c r="R21" s="4"/>
      <c r="S21" s="5">
        <f t="shared" si="4"/>
        <v>21431.89</v>
      </c>
    </row>
    <row r="22" spans="1:19" x14ac:dyDescent="0.2">
      <c r="A22" s="3" t="s">
        <v>34</v>
      </c>
      <c r="B22" s="4"/>
      <c r="C22" s="4"/>
      <c r="D22" s="4"/>
      <c r="E22" s="4"/>
      <c r="F22" s="5">
        <f>182.83</f>
        <v>182.83</v>
      </c>
      <c r="G22" s="5">
        <f>1634.88</f>
        <v>1634.88</v>
      </c>
      <c r="H22" s="4"/>
      <c r="I22" s="5">
        <f>8.13</f>
        <v>8.1300000000000008</v>
      </c>
      <c r="J22" s="4"/>
      <c r="K22" s="5">
        <f>37025.98</f>
        <v>37025.980000000003</v>
      </c>
      <c r="L22" s="4"/>
      <c r="M22" s="4"/>
      <c r="N22" s="5">
        <f>4394.24</f>
        <v>4394.24</v>
      </c>
      <c r="O22" s="4"/>
      <c r="P22" s="4"/>
      <c r="Q22" s="4"/>
      <c r="R22" s="4"/>
      <c r="S22" s="5">
        <f t="shared" si="4"/>
        <v>43246.060000000005</v>
      </c>
    </row>
    <row r="23" spans="1:19" x14ac:dyDescent="0.2">
      <c r="A23" s="3" t="s">
        <v>35</v>
      </c>
      <c r="B23" s="5">
        <f>7285.24</f>
        <v>7285.24</v>
      </c>
      <c r="C23" s="4"/>
      <c r="D23" s="5">
        <f>27930.09</f>
        <v>27930.09</v>
      </c>
      <c r="E23" s="4"/>
      <c r="F23" s="4"/>
      <c r="G23" s="5">
        <f>894.64</f>
        <v>894.64</v>
      </c>
      <c r="H23" s="4"/>
      <c r="I23" s="5">
        <f>8583.2</f>
        <v>8583.2000000000007</v>
      </c>
      <c r="J23" s="4"/>
      <c r="K23" s="4"/>
      <c r="L23" s="4"/>
      <c r="M23" s="5">
        <f>9817.26</f>
        <v>9817.26</v>
      </c>
      <c r="N23" s="5">
        <f>1136.23</f>
        <v>1136.23</v>
      </c>
      <c r="O23" s="4"/>
      <c r="P23" s="4"/>
      <c r="Q23" s="5">
        <f>22792.72</f>
        <v>22792.720000000001</v>
      </c>
      <c r="R23" s="4"/>
      <c r="S23" s="5">
        <f t="shared" si="4"/>
        <v>78439.38</v>
      </c>
    </row>
    <row r="24" spans="1:19" x14ac:dyDescent="0.2">
      <c r="A24" s="3" t="s">
        <v>36</v>
      </c>
      <c r="B24" s="4"/>
      <c r="C24" s="4"/>
      <c r="D24" s="4"/>
      <c r="E24" s="4"/>
      <c r="F24" s="4"/>
      <c r="G24" s="5">
        <f>685</f>
        <v>685</v>
      </c>
      <c r="H24" s="4"/>
      <c r="I24" s="4"/>
      <c r="J24" s="5">
        <f>590</f>
        <v>590</v>
      </c>
      <c r="K24" s="4"/>
      <c r="L24" s="4"/>
      <c r="M24" s="5">
        <f>1133.91</f>
        <v>1133.9100000000001</v>
      </c>
      <c r="N24" s="4"/>
      <c r="O24" s="4"/>
      <c r="P24" s="4"/>
      <c r="Q24" s="4"/>
      <c r="R24" s="4"/>
      <c r="S24" s="5">
        <f t="shared" si="4"/>
        <v>2408.91</v>
      </c>
    </row>
    <row r="25" spans="1:19" x14ac:dyDescent="0.2">
      <c r="A25" s="3" t="s">
        <v>37</v>
      </c>
      <c r="B25" s="5">
        <f>250</f>
        <v>250</v>
      </c>
      <c r="C25" s="4"/>
      <c r="D25" s="5">
        <f>900</f>
        <v>900</v>
      </c>
      <c r="E25" s="4"/>
      <c r="F25" s="4"/>
      <c r="G25" s="4"/>
      <c r="H25" s="5">
        <f>3600</f>
        <v>3600</v>
      </c>
      <c r="I25" s="5">
        <f>250</f>
        <v>250</v>
      </c>
      <c r="J25" s="4"/>
      <c r="K25" s="5">
        <f>31.28</f>
        <v>31.28</v>
      </c>
      <c r="L25" s="4"/>
      <c r="M25" s="4"/>
      <c r="N25" s="5">
        <f>709.84</f>
        <v>709.84</v>
      </c>
      <c r="O25" s="4"/>
      <c r="P25" s="4"/>
      <c r="Q25" s="5">
        <f>350</f>
        <v>350</v>
      </c>
      <c r="R25" s="4"/>
      <c r="S25" s="5">
        <f t="shared" si="4"/>
        <v>6091.12</v>
      </c>
    </row>
    <row r="26" spans="1:19" x14ac:dyDescent="0.2">
      <c r="A26" s="3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5">
        <f>3061</f>
        <v>3061</v>
      </c>
      <c r="L26" s="4"/>
      <c r="M26" s="4"/>
      <c r="N26" s="4"/>
      <c r="O26" s="4"/>
      <c r="P26" s="4"/>
      <c r="Q26" s="4"/>
      <c r="R26" s="4"/>
      <c r="S26" s="5">
        <f t="shared" si="4"/>
        <v>3061</v>
      </c>
    </row>
    <row r="27" spans="1:19" x14ac:dyDescent="0.2">
      <c r="A27" s="3" t="s">
        <v>39</v>
      </c>
      <c r="B27" s="4"/>
      <c r="C27" s="4"/>
      <c r="D27" s="4"/>
      <c r="E27" s="4"/>
      <c r="F27" s="4"/>
      <c r="G27" s="4"/>
      <c r="H27" s="4"/>
      <c r="I27" s="4"/>
      <c r="J27" s="4"/>
      <c r="K27" s="5">
        <f>4950</f>
        <v>4950</v>
      </c>
      <c r="L27" s="4"/>
      <c r="M27" s="4"/>
      <c r="N27" s="4"/>
      <c r="O27" s="4"/>
      <c r="P27" s="4"/>
      <c r="Q27" s="4"/>
      <c r="R27" s="4"/>
      <c r="S27" s="5">
        <f t="shared" si="4"/>
        <v>4950</v>
      </c>
    </row>
    <row r="28" spans="1:19" x14ac:dyDescent="0.2">
      <c r="A28" s="3" t="s">
        <v>40</v>
      </c>
      <c r="B28" s="5">
        <f>1027.76</f>
        <v>1027.76</v>
      </c>
      <c r="C28" s="4"/>
      <c r="D28" s="5">
        <f>88.16</f>
        <v>88.16</v>
      </c>
      <c r="E28" s="4"/>
      <c r="F28" s="4"/>
      <c r="G28" s="5">
        <f>13017.76</f>
        <v>13017.76</v>
      </c>
      <c r="H28" s="4"/>
      <c r="I28" s="4"/>
      <c r="J28" s="5">
        <f>1100</f>
        <v>1100</v>
      </c>
      <c r="K28" s="5">
        <f>635</f>
        <v>635</v>
      </c>
      <c r="L28" s="5">
        <f>8943.38</f>
        <v>8943.3799999999992</v>
      </c>
      <c r="M28" s="4"/>
      <c r="N28" s="5">
        <f>319.8</f>
        <v>319.8</v>
      </c>
      <c r="O28" s="4"/>
      <c r="P28" s="4"/>
      <c r="Q28" s="4"/>
      <c r="R28" s="4"/>
      <c r="S28" s="5">
        <f t="shared" si="4"/>
        <v>25131.859999999997</v>
      </c>
    </row>
    <row r="29" spans="1:19" x14ac:dyDescent="0.2">
      <c r="A29" s="3" t="s">
        <v>41</v>
      </c>
      <c r="B29" s="4"/>
      <c r="C29" s="4"/>
      <c r="D29" s="4"/>
      <c r="E29" s="4"/>
      <c r="F29" s="5">
        <f>959.15</f>
        <v>959.15</v>
      </c>
      <c r="G29" s="4"/>
      <c r="H29" s="4"/>
      <c r="I29" s="4"/>
      <c r="J29" s="4"/>
      <c r="K29" s="5">
        <f>4454.5</f>
        <v>4454.5</v>
      </c>
      <c r="L29" s="4"/>
      <c r="M29" s="5">
        <f>1466.43</f>
        <v>1466.43</v>
      </c>
      <c r="N29" s="4"/>
      <c r="O29" s="4"/>
      <c r="P29" s="5">
        <f>1345.88</f>
        <v>1345.88</v>
      </c>
      <c r="Q29" s="4"/>
      <c r="R29" s="4"/>
      <c r="S29" s="5">
        <f t="shared" si="4"/>
        <v>8225.9599999999991</v>
      </c>
    </row>
    <row r="30" spans="1:19" x14ac:dyDescent="0.2">
      <c r="A30" s="3" t="s">
        <v>42</v>
      </c>
      <c r="B30" s="4"/>
      <c r="C30" s="4"/>
      <c r="D30" s="4"/>
      <c r="E30" s="4"/>
      <c r="F30" s="4"/>
      <c r="G30" s="4"/>
      <c r="H30" s="4"/>
      <c r="I30" s="4"/>
      <c r="J30" s="4"/>
      <c r="K30" s="5">
        <f>1355.01</f>
        <v>1355.01</v>
      </c>
      <c r="L30" s="4"/>
      <c r="M30" s="5">
        <f>102.73</f>
        <v>102.73</v>
      </c>
      <c r="N30" s="5">
        <f>88.37</f>
        <v>88.37</v>
      </c>
      <c r="O30" s="4"/>
      <c r="P30" s="4"/>
      <c r="Q30" s="4"/>
      <c r="R30" s="4"/>
      <c r="S30" s="5">
        <f t="shared" si="4"/>
        <v>1546.1100000000001</v>
      </c>
    </row>
    <row r="31" spans="1:19" x14ac:dyDescent="0.2">
      <c r="A31" s="3" t="s">
        <v>43</v>
      </c>
      <c r="B31" s="4"/>
      <c r="C31" s="4"/>
      <c r="D31" s="4"/>
      <c r="E31" s="4"/>
      <c r="F31" s="4"/>
      <c r="G31" s="5">
        <f>2167.4</f>
        <v>2167.4</v>
      </c>
      <c r="H31" s="4"/>
      <c r="I31" s="4"/>
      <c r="J31" s="4"/>
      <c r="K31" s="5">
        <f>1620</f>
        <v>1620</v>
      </c>
      <c r="L31" s="4"/>
      <c r="M31" s="4"/>
      <c r="N31" s="4"/>
      <c r="O31" s="4"/>
      <c r="P31" s="4"/>
      <c r="Q31" s="4"/>
      <c r="R31" s="4"/>
      <c r="S31" s="5">
        <f t="shared" si="4"/>
        <v>3787.4</v>
      </c>
    </row>
    <row r="32" spans="1:19" x14ac:dyDescent="0.2">
      <c r="A32" s="3" t="s">
        <v>44</v>
      </c>
      <c r="B32" s="4"/>
      <c r="C32" s="4"/>
      <c r="D32" s="4"/>
      <c r="E32" s="4"/>
      <c r="F32" s="4"/>
      <c r="G32" s="4"/>
      <c r="H32" s="4"/>
      <c r="I32" s="4"/>
      <c r="J32" s="4"/>
      <c r="K32" s="5">
        <f>5036.16</f>
        <v>5036.16</v>
      </c>
      <c r="L32" s="4"/>
      <c r="M32" s="4"/>
      <c r="N32" s="4"/>
      <c r="O32" s="4"/>
      <c r="P32" s="4"/>
      <c r="Q32" s="4"/>
      <c r="R32" s="4"/>
      <c r="S32" s="5">
        <f t="shared" si="4"/>
        <v>5036.16</v>
      </c>
    </row>
    <row r="33" spans="1:19" x14ac:dyDescent="0.2">
      <c r="A33" s="3" t="s">
        <v>45</v>
      </c>
      <c r="B33" s="4"/>
      <c r="C33" s="4"/>
      <c r="D33" s="5">
        <f>115.08</f>
        <v>115.08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>
        <f t="shared" si="4"/>
        <v>115.08</v>
      </c>
    </row>
    <row r="34" spans="1:19" x14ac:dyDescent="0.2">
      <c r="A34" s="3" t="s">
        <v>46</v>
      </c>
      <c r="B34" s="4"/>
      <c r="C34" s="4"/>
      <c r="D34" s="5">
        <f>1766.08</f>
        <v>1766.08</v>
      </c>
      <c r="E34" s="4"/>
      <c r="F34" s="4"/>
      <c r="G34" s="4"/>
      <c r="H34" s="5">
        <f>1000</f>
        <v>1000</v>
      </c>
      <c r="I34" s="5">
        <f>1000</f>
        <v>1000</v>
      </c>
      <c r="J34" s="4"/>
      <c r="K34" s="5">
        <f>4454.5</f>
        <v>4454.5</v>
      </c>
      <c r="L34" s="5">
        <f>510</f>
        <v>510</v>
      </c>
      <c r="M34" s="4"/>
      <c r="N34" s="4"/>
      <c r="O34" s="4"/>
      <c r="P34" s="4"/>
      <c r="Q34" s="4"/>
      <c r="R34" s="4"/>
      <c r="S34" s="5">
        <f t="shared" si="4"/>
        <v>8730.58</v>
      </c>
    </row>
    <row r="35" spans="1:19" x14ac:dyDescent="0.2">
      <c r="A35" s="3" t="s">
        <v>47</v>
      </c>
      <c r="B35" s="4"/>
      <c r="C35" s="4"/>
      <c r="D35" s="4"/>
      <c r="E35" s="4"/>
      <c r="F35" s="4"/>
      <c r="G35" s="4"/>
      <c r="H35" s="4"/>
      <c r="I35" s="4"/>
      <c r="J35" s="4"/>
      <c r="K35" s="5">
        <f>333.48</f>
        <v>333.48</v>
      </c>
      <c r="L35" s="4"/>
      <c r="M35" s="4"/>
      <c r="N35" s="4"/>
      <c r="O35" s="4"/>
      <c r="P35" s="4"/>
      <c r="Q35" s="4"/>
      <c r="R35" s="4"/>
      <c r="S35" s="5">
        <f t="shared" si="4"/>
        <v>333.48</v>
      </c>
    </row>
    <row r="36" spans="1:19" x14ac:dyDescent="0.2">
      <c r="A36" s="3" t="s">
        <v>48</v>
      </c>
      <c r="B36" s="4"/>
      <c r="C36" s="4"/>
      <c r="D36" s="4"/>
      <c r="E36" s="4"/>
      <c r="F36" s="5">
        <f>4436.68</f>
        <v>4436.68</v>
      </c>
      <c r="G36" s="5">
        <f>4112.33</f>
        <v>4112.33</v>
      </c>
      <c r="H36" s="4"/>
      <c r="I36" s="5">
        <f>945.35</f>
        <v>945.35</v>
      </c>
      <c r="J36" s="4"/>
      <c r="K36" s="5">
        <f>73.03</f>
        <v>73.03</v>
      </c>
      <c r="L36" s="4"/>
      <c r="M36" s="4"/>
      <c r="N36" s="5">
        <f>1363.5</f>
        <v>1363.5</v>
      </c>
      <c r="O36" s="4"/>
      <c r="P36" s="5">
        <f>2620.44</f>
        <v>2620.44</v>
      </c>
      <c r="Q36" s="5">
        <f>531.78</f>
        <v>531.78</v>
      </c>
      <c r="R36" s="4"/>
      <c r="S36" s="5">
        <f t="shared" si="4"/>
        <v>14083.110000000002</v>
      </c>
    </row>
    <row r="37" spans="1:19" x14ac:dyDescent="0.2">
      <c r="A37" s="3" t="s">
        <v>49</v>
      </c>
      <c r="B37" s="4"/>
      <c r="C37" s="4"/>
      <c r="D37" s="4"/>
      <c r="E37" s="4"/>
      <c r="F37" s="4"/>
      <c r="G37" s="5">
        <f>69989.8</f>
        <v>69989.8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>
        <f t="shared" si="4"/>
        <v>69989.8</v>
      </c>
    </row>
    <row r="38" spans="1:19" x14ac:dyDescent="0.2">
      <c r="A38" s="3" t="s">
        <v>22</v>
      </c>
      <c r="B38" s="4"/>
      <c r="C38" s="4"/>
      <c r="D38" s="5">
        <f>1820.08</f>
        <v>1820.08</v>
      </c>
      <c r="E38" s="4"/>
      <c r="F38" s="4"/>
      <c r="G38" s="5">
        <f>65803.38</f>
        <v>65803.38</v>
      </c>
      <c r="H38" s="4"/>
      <c r="I38" s="4"/>
      <c r="J38" s="5">
        <f>4100</f>
        <v>4100</v>
      </c>
      <c r="K38" s="4"/>
      <c r="L38" s="4"/>
      <c r="M38" s="4"/>
      <c r="N38" s="4"/>
      <c r="O38" s="4"/>
      <c r="P38" s="4"/>
      <c r="Q38" s="4"/>
      <c r="R38" s="5">
        <f>3716</f>
        <v>3716</v>
      </c>
      <c r="S38" s="5">
        <f t="shared" si="4"/>
        <v>75439.460000000006</v>
      </c>
    </row>
    <row r="39" spans="1:19" x14ac:dyDescent="0.2">
      <c r="A39" s="3" t="s">
        <v>28</v>
      </c>
      <c r="B39" s="4"/>
      <c r="C39" s="5">
        <f>273.15</f>
        <v>273.14999999999998</v>
      </c>
      <c r="D39" s="5">
        <f>487.23</f>
        <v>487.23</v>
      </c>
      <c r="E39" s="4"/>
      <c r="F39" s="5">
        <f>100.64</f>
        <v>100.64</v>
      </c>
      <c r="G39" s="5">
        <f>17343.45</f>
        <v>17343.45</v>
      </c>
      <c r="H39" s="4"/>
      <c r="I39" s="4"/>
      <c r="J39" s="4"/>
      <c r="K39" s="5">
        <f>6177.46</f>
        <v>6177.46</v>
      </c>
      <c r="L39" s="4"/>
      <c r="M39" s="5">
        <f>265.99</f>
        <v>265.99</v>
      </c>
      <c r="N39" s="4"/>
      <c r="O39" s="4"/>
      <c r="P39" s="5">
        <f>9370.46</f>
        <v>9370.4599999999991</v>
      </c>
      <c r="Q39" s="4"/>
      <c r="R39" s="4"/>
      <c r="S39" s="5">
        <f t="shared" si="4"/>
        <v>34018.380000000005</v>
      </c>
    </row>
    <row r="40" spans="1:19" x14ac:dyDescent="0.2">
      <c r="A40" s="3" t="s">
        <v>50</v>
      </c>
      <c r="B40" s="4"/>
      <c r="C40" s="4"/>
      <c r="D40" s="5">
        <f>10495.14</f>
        <v>10495.14</v>
      </c>
      <c r="E40" s="4"/>
      <c r="F40" s="5">
        <f>4863.81</f>
        <v>4863.8100000000004</v>
      </c>
      <c r="G40" s="5">
        <f>233026.42</f>
        <v>233026.42</v>
      </c>
      <c r="H40" s="4"/>
      <c r="I40" s="5">
        <f>1665</f>
        <v>1665</v>
      </c>
      <c r="J40" s="5">
        <f>27866.26</f>
        <v>27866.26</v>
      </c>
      <c r="K40" s="4"/>
      <c r="L40" s="4"/>
      <c r="M40" s="4"/>
      <c r="N40" s="5">
        <f>79491</f>
        <v>79491</v>
      </c>
      <c r="O40" s="4"/>
      <c r="P40" s="4"/>
      <c r="Q40" s="5">
        <f>4272.21</f>
        <v>4272.21</v>
      </c>
      <c r="R40" s="4"/>
      <c r="S40" s="5">
        <f t="shared" si="4"/>
        <v>361679.84</v>
      </c>
    </row>
    <row r="41" spans="1:19" x14ac:dyDescent="0.2">
      <c r="A41" s="3" t="s">
        <v>51</v>
      </c>
      <c r="B41" s="6">
        <f t="shared" ref="B41:R41" si="6">((((((((((((((((((((((B18)+(B19))+(B20))+(B21))+(B22))+(B23))+(B24))+(B25))+(B26))+(B27))+(B28))+(B29))+(B30))+(B31))+(B32))+(B33))+(B34))+(B35))+(B36))+(B37))+(B38))+(B39))+(B40)</f>
        <v>8795.48</v>
      </c>
      <c r="C41" s="6">
        <f t="shared" si="6"/>
        <v>273.14999999999998</v>
      </c>
      <c r="D41" s="6">
        <f t="shared" si="6"/>
        <v>50019.210000000014</v>
      </c>
      <c r="E41" s="6">
        <f t="shared" si="6"/>
        <v>0</v>
      </c>
      <c r="F41" s="6">
        <f t="shared" si="6"/>
        <v>10543.11</v>
      </c>
      <c r="G41" s="6">
        <f t="shared" si="6"/>
        <v>420329.96000000008</v>
      </c>
      <c r="H41" s="6">
        <f t="shared" si="6"/>
        <v>177321.60000000001</v>
      </c>
      <c r="I41" s="6">
        <f t="shared" si="6"/>
        <v>16324.680000000002</v>
      </c>
      <c r="J41" s="6">
        <f t="shared" si="6"/>
        <v>37155.259999999995</v>
      </c>
      <c r="K41" s="6">
        <f t="shared" si="6"/>
        <v>109249.33</v>
      </c>
      <c r="L41" s="6">
        <f t="shared" si="6"/>
        <v>9453.3799999999992</v>
      </c>
      <c r="M41" s="6">
        <f t="shared" si="6"/>
        <v>12786.32</v>
      </c>
      <c r="N41" s="6">
        <f t="shared" si="6"/>
        <v>99584.43</v>
      </c>
      <c r="O41" s="6">
        <f t="shared" si="6"/>
        <v>0</v>
      </c>
      <c r="P41" s="6">
        <f t="shared" si="6"/>
        <v>15532.15</v>
      </c>
      <c r="Q41" s="6">
        <f t="shared" si="6"/>
        <v>27958.09</v>
      </c>
      <c r="R41" s="6">
        <f t="shared" si="6"/>
        <v>3716</v>
      </c>
      <c r="S41" s="6">
        <f t="shared" si="4"/>
        <v>999042.15000000014</v>
      </c>
    </row>
    <row r="42" spans="1:19" x14ac:dyDescent="0.2">
      <c r="A42" s="3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>
        <f t="shared" si="4"/>
        <v>0</v>
      </c>
    </row>
    <row r="43" spans="1:19" x14ac:dyDescent="0.2">
      <c r="A43" s="3" t="s">
        <v>53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5">
        <f>6500</f>
        <v>6500</v>
      </c>
      <c r="R43" s="4"/>
      <c r="S43" s="5">
        <f t="shared" si="4"/>
        <v>6500</v>
      </c>
    </row>
    <row r="44" spans="1:19" x14ac:dyDescent="0.2">
      <c r="A44" s="3" t="s">
        <v>54</v>
      </c>
      <c r="B44" s="4"/>
      <c r="C44" s="4"/>
      <c r="D44" s="4"/>
      <c r="E44" s="4"/>
      <c r="F44" s="5">
        <f>12.96</f>
        <v>12.96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>
        <f t="shared" si="4"/>
        <v>12.96</v>
      </c>
    </row>
    <row r="45" spans="1:19" x14ac:dyDescent="0.2">
      <c r="A45" s="3" t="s">
        <v>55</v>
      </c>
      <c r="B45" s="6">
        <f t="shared" ref="B45:R45" si="7">((B42)+(B43))+(B44)</f>
        <v>0</v>
      </c>
      <c r="C45" s="6">
        <f t="shared" si="7"/>
        <v>0</v>
      </c>
      <c r="D45" s="6">
        <f t="shared" si="7"/>
        <v>0</v>
      </c>
      <c r="E45" s="6">
        <f t="shared" si="7"/>
        <v>0</v>
      </c>
      <c r="F45" s="6">
        <f t="shared" si="7"/>
        <v>12.96</v>
      </c>
      <c r="G45" s="6">
        <f t="shared" si="7"/>
        <v>0</v>
      </c>
      <c r="H45" s="6">
        <f t="shared" si="7"/>
        <v>0</v>
      </c>
      <c r="I45" s="6">
        <f t="shared" si="7"/>
        <v>0</v>
      </c>
      <c r="J45" s="6">
        <f t="shared" si="7"/>
        <v>0</v>
      </c>
      <c r="K45" s="6">
        <f t="shared" si="7"/>
        <v>0</v>
      </c>
      <c r="L45" s="6">
        <f t="shared" si="7"/>
        <v>0</v>
      </c>
      <c r="M45" s="6">
        <f t="shared" si="7"/>
        <v>0</v>
      </c>
      <c r="N45" s="6">
        <f t="shared" si="7"/>
        <v>0</v>
      </c>
      <c r="O45" s="6">
        <f t="shared" si="7"/>
        <v>0</v>
      </c>
      <c r="P45" s="6">
        <f t="shared" si="7"/>
        <v>0</v>
      </c>
      <c r="Q45" s="6">
        <f t="shared" si="7"/>
        <v>6500</v>
      </c>
      <c r="R45" s="6">
        <f t="shared" si="7"/>
        <v>0</v>
      </c>
      <c r="S45" s="6">
        <f t="shared" si="4"/>
        <v>6512.96</v>
      </c>
    </row>
    <row r="46" spans="1:19" x14ac:dyDescent="0.2">
      <c r="A46" s="3" t="s">
        <v>56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>
        <f t="shared" si="4"/>
        <v>0</v>
      </c>
    </row>
    <row r="47" spans="1:19" x14ac:dyDescent="0.2">
      <c r="A47" s="3" t="s">
        <v>28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>
        <f>57.08</f>
        <v>57.08</v>
      </c>
      <c r="P47" s="4"/>
      <c r="Q47" s="4"/>
      <c r="R47" s="4"/>
      <c r="S47" s="5">
        <f t="shared" si="4"/>
        <v>57.08</v>
      </c>
    </row>
    <row r="48" spans="1:19" x14ac:dyDescent="0.2">
      <c r="A48" s="3" t="s">
        <v>57</v>
      </c>
      <c r="B48" s="6">
        <f t="shared" ref="B48:R48" si="8">(B46)+(B47)</f>
        <v>0</v>
      </c>
      <c r="C48" s="6">
        <f t="shared" si="8"/>
        <v>0</v>
      </c>
      <c r="D48" s="6">
        <f t="shared" si="8"/>
        <v>0</v>
      </c>
      <c r="E48" s="6">
        <f t="shared" si="8"/>
        <v>0</v>
      </c>
      <c r="F48" s="6">
        <f t="shared" si="8"/>
        <v>0</v>
      </c>
      <c r="G48" s="6">
        <f t="shared" si="8"/>
        <v>0</v>
      </c>
      <c r="H48" s="6">
        <f t="shared" si="8"/>
        <v>0</v>
      </c>
      <c r="I48" s="6">
        <f t="shared" si="8"/>
        <v>0</v>
      </c>
      <c r="J48" s="6">
        <f t="shared" si="8"/>
        <v>0</v>
      </c>
      <c r="K48" s="6">
        <f t="shared" si="8"/>
        <v>0</v>
      </c>
      <c r="L48" s="6">
        <f t="shared" si="8"/>
        <v>0</v>
      </c>
      <c r="M48" s="6">
        <f t="shared" si="8"/>
        <v>0</v>
      </c>
      <c r="N48" s="6">
        <f t="shared" si="8"/>
        <v>0</v>
      </c>
      <c r="O48" s="6">
        <f t="shared" si="8"/>
        <v>57.08</v>
      </c>
      <c r="P48" s="6">
        <f t="shared" si="8"/>
        <v>0</v>
      </c>
      <c r="Q48" s="6">
        <f t="shared" si="8"/>
        <v>0</v>
      </c>
      <c r="R48" s="6">
        <f t="shared" si="8"/>
        <v>0</v>
      </c>
      <c r="S48" s="6">
        <f t="shared" si="4"/>
        <v>57.08</v>
      </c>
    </row>
    <row r="49" spans="1:19" x14ac:dyDescent="0.2">
      <c r="A49" s="3" t="s">
        <v>58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>
        <f>1276</f>
        <v>1276</v>
      </c>
      <c r="P49" s="4"/>
      <c r="Q49" s="4"/>
      <c r="R49" s="4"/>
      <c r="S49" s="5">
        <f t="shared" si="4"/>
        <v>1276</v>
      </c>
    </row>
    <row r="50" spans="1:19" x14ac:dyDescent="0.2">
      <c r="A50" s="3" t="s">
        <v>28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>
        <f>6842.26</f>
        <v>6842.26</v>
      </c>
      <c r="P50" s="4"/>
      <c r="Q50" s="4"/>
      <c r="R50" s="4"/>
      <c r="S50" s="5">
        <f t="shared" si="4"/>
        <v>6842.26</v>
      </c>
    </row>
    <row r="51" spans="1:19" x14ac:dyDescent="0.2">
      <c r="A51" s="3" t="s">
        <v>59</v>
      </c>
      <c r="B51" s="6">
        <f t="shared" ref="B51:R51" si="9">(B49)+(B50)</f>
        <v>0</v>
      </c>
      <c r="C51" s="6">
        <f t="shared" si="9"/>
        <v>0</v>
      </c>
      <c r="D51" s="6">
        <f t="shared" si="9"/>
        <v>0</v>
      </c>
      <c r="E51" s="6">
        <f t="shared" si="9"/>
        <v>0</v>
      </c>
      <c r="F51" s="6">
        <f t="shared" si="9"/>
        <v>0</v>
      </c>
      <c r="G51" s="6">
        <f t="shared" si="9"/>
        <v>0</v>
      </c>
      <c r="H51" s="6">
        <f t="shared" si="9"/>
        <v>0</v>
      </c>
      <c r="I51" s="6">
        <f t="shared" si="9"/>
        <v>0</v>
      </c>
      <c r="J51" s="6">
        <f t="shared" si="9"/>
        <v>0</v>
      </c>
      <c r="K51" s="6">
        <f t="shared" si="9"/>
        <v>0</v>
      </c>
      <c r="L51" s="6">
        <f t="shared" si="9"/>
        <v>0</v>
      </c>
      <c r="M51" s="6">
        <f t="shared" si="9"/>
        <v>0</v>
      </c>
      <c r="N51" s="6">
        <f t="shared" si="9"/>
        <v>0</v>
      </c>
      <c r="O51" s="6">
        <f t="shared" si="9"/>
        <v>8118.26</v>
      </c>
      <c r="P51" s="6">
        <f t="shared" si="9"/>
        <v>0</v>
      </c>
      <c r="Q51" s="6">
        <f t="shared" si="9"/>
        <v>0</v>
      </c>
      <c r="R51" s="6">
        <f t="shared" si="9"/>
        <v>0</v>
      </c>
      <c r="S51" s="6">
        <f t="shared" si="4"/>
        <v>8118.26</v>
      </c>
    </row>
    <row r="52" spans="1:19" x14ac:dyDescent="0.2">
      <c r="A52" s="3" t="s">
        <v>60</v>
      </c>
      <c r="B52" s="6">
        <f t="shared" ref="B52:R52" si="10">((((B17)+(B41))+(B45))+(B48))+(B51)</f>
        <v>8795.48</v>
      </c>
      <c r="C52" s="6">
        <f t="shared" si="10"/>
        <v>273.14999999999998</v>
      </c>
      <c r="D52" s="6">
        <f t="shared" si="10"/>
        <v>50019.210000000014</v>
      </c>
      <c r="E52" s="6">
        <f t="shared" si="10"/>
        <v>0</v>
      </c>
      <c r="F52" s="6">
        <f t="shared" si="10"/>
        <v>10556.07</v>
      </c>
      <c r="G52" s="6">
        <f t="shared" si="10"/>
        <v>420329.96000000008</v>
      </c>
      <c r="H52" s="6">
        <f t="shared" si="10"/>
        <v>177321.60000000001</v>
      </c>
      <c r="I52" s="6">
        <f t="shared" si="10"/>
        <v>16324.680000000002</v>
      </c>
      <c r="J52" s="6">
        <f t="shared" si="10"/>
        <v>37155.259999999995</v>
      </c>
      <c r="K52" s="6">
        <f t="shared" si="10"/>
        <v>109264.45</v>
      </c>
      <c r="L52" s="6">
        <f t="shared" si="10"/>
        <v>9453.3799999999992</v>
      </c>
      <c r="M52" s="6">
        <f t="shared" si="10"/>
        <v>12786.32</v>
      </c>
      <c r="N52" s="6">
        <f t="shared" si="10"/>
        <v>99584.43</v>
      </c>
      <c r="O52" s="6">
        <f t="shared" si="10"/>
        <v>8175.34</v>
      </c>
      <c r="P52" s="6">
        <f t="shared" si="10"/>
        <v>15532.15</v>
      </c>
      <c r="Q52" s="6">
        <f t="shared" si="10"/>
        <v>34458.089999999997</v>
      </c>
      <c r="R52" s="6">
        <f t="shared" si="10"/>
        <v>3716</v>
      </c>
      <c r="S52" s="6">
        <f t="shared" si="4"/>
        <v>1013745.57</v>
      </c>
    </row>
    <row r="53" spans="1:19" x14ac:dyDescent="0.2">
      <c r="A53" s="3" t="s">
        <v>61</v>
      </c>
      <c r="B53" s="6">
        <f t="shared" ref="B53:R53" si="11">(B13)-(B52)</f>
        <v>8204.52</v>
      </c>
      <c r="C53" s="6">
        <f t="shared" si="11"/>
        <v>11558.85</v>
      </c>
      <c r="D53" s="6">
        <f t="shared" si="11"/>
        <v>-30039.200000000012</v>
      </c>
      <c r="E53" s="6">
        <f t="shared" si="11"/>
        <v>1000</v>
      </c>
      <c r="F53" s="6">
        <f t="shared" si="11"/>
        <v>-7369.98</v>
      </c>
      <c r="G53" s="6">
        <f t="shared" si="11"/>
        <v>165572.0199999999</v>
      </c>
      <c r="H53" s="6">
        <f t="shared" si="11"/>
        <v>-88781.6</v>
      </c>
      <c r="I53" s="6">
        <f t="shared" si="11"/>
        <v>9415.3199999999979</v>
      </c>
      <c r="J53" s="6">
        <f t="shared" si="11"/>
        <v>-33178.379999999997</v>
      </c>
      <c r="K53" s="6">
        <f t="shared" si="11"/>
        <v>1201047.3699999999</v>
      </c>
      <c r="L53" s="6">
        <f t="shared" si="11"/>
        <v>-8253.3799999999992</v>
      </c>
      <c r="M53" s="6">
        <f t="shared" si="11"/>
        <v>1421.6800000000003</v>
      </c>
      <c r="N53" s="6">
        <f t="shared" si="11"/>
        <v>62638.26999999999</v>
      </c>
      <c r="O53" s="6">
        <f t="shared" si="11"/>
        <v>-8175.34</v>
      </c>
      <c r="P53" s="6">
        <f t="shared" si="11"/>
        <v>-15532.15</v>
      </c>
      <c r="Q53" s="6">
        <f t="shared" si="11"/>
        <v>37431.06</v>
      </c>
      <c r="R53" s="6">
        <f t="shared" si="11"/>
        <v>9414</v>
      </c>
      <c r="S53" s="6">
        <f t="shared" si="4"/>
        <v>1316373.0599999998</v>
      </c>
    </row>
    <row r="54" spans="1:19" x14ac:dyDescent="0.2">
      <c r="A54" s="3" t="s">
        <v>62</v>
      </c>
      <c r="B54" s="7">
        <f t="shared" ref="B54:R54" si="12">(B53)+(0)</f>
        <v>8204.52</v>
      </c>
      <c r="C54" s="7">
        <f t="shared" si="12"/>
        <v>11558.85</v>
      </c>
      <c r="D54" s="7">
        <f t="shared" si="12"/>
        <v>-30039.200000000012</v>
      </c>
      <c r="E54" s="7">
        <f t="shared" si="12"/>
        <v>1000</v>
      </c>
      <c r="F54" s="7">
        <f t="shared" si="12"/>
        <v>-7369.98</v>
      </c>
      <c r="G54" s="7">
        <f t="shared" si="12"/>
        <v>165572.0199999999</v>
      </c>
      <c r="H54" s="7">
        <f t="shared" si="12"/>
        <v>-88781.6</v>
      </c>
      <c r="I54" s="7">
        <f t="shared" si="12"/>
        <v>9415.3199999999979</v>
      </c>
      <c r="J54" s="7">
        <f t="shared" si="12"/>
        <v>-33178.379999999997</v>
      </c>
      <c r="K54" s="7">
        <f t="shared" si="12"/>
        <v>1201047.3699999999</v>
      </c>
      <c r="L54" s="7">
        <f t="shared" si="12"/>
        <v>-8253.3799999999992</v>
      </c>
      <c r="M54" s="7">
        <f t="shared" si="12"/>
        <v>1421.6800000000003</v>
      </c>
      <c r="N54" s="7">
        <f t="shared" si="12"/>
        <v>62638.26999999999</v>
      </c>
      <c r="O54" s="7">
        <f t="shared" si="12"/>
        <v>-8175.34</v>
      </c>
      <c r="P54" s="7">
        <f t="shared" si="12"/>
        <v>-15532.15</v>
      </c>
      <c r="Q54" s="7">
        <f t="shared" si="12"/>
        <v>37431.06</v>
      </c>
      <c r="R54" s="7">
        <f t="shared" si="12"/>
        <v>9414</v>
      </c>
      <c r="S54" s="7">
        <f t="shared" si="4"/>
        <v>1316373.0599999998</v>
      </c>
    </row>
    <row r="55" spans="1:19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8" spans="1:19" x14ac:dyDescent="0.2">
      <c r="A58" s="8" t="s">
        <v>63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</sheetData>
  <mergeCells count="4">
    <mergeCell ref="A58:S58"/>
    <mergeCell ref="A1:S1"/>
    <mergeCell ref="A2:S2"/>
    <mergeCell ref="A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Sara McCroary</cp:lastModifiedBy>
  <dcterms:created xsi:type="dcterms:W3CDTF">2023-11-28T19:21:03Z</dcterms:created>
  <dcterms:modified xsi:type="dcterms:W3CDTF">2023-11-28T19:27:48Z</dcterms:modified>
</cp:coreProperties>
</file>