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Dashboard" sheetId="1" r:id="rId1"/>
    <sheet name="Posiciones" sheetId="2" r:id="rId2"/>
    <sheet name="Trades" sheetId="3" r:id="rId3"/>
    <sheet name="Comisiones" sheetId="5" r:id="rId4"/>
    <sheet name="Spreads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4" i="5" l="1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E3" i="5"/>
  <c r="D3" i="5"/>
  <c r="B3" i="5"/>
  <c r="C3" i="5"/>
  <c r="J3" i="1"/>
  <c r="I3" i="1"/>
  <c r="E12" i="1"/>
  <c r="E9" i="1"/>
  <c r="P4" i="3" l="1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3" i="3"/>
  <c r="Q3" i="3"/>
  <c r="R3" i="3"/>
  <c r="S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F3" i="3" l="1"/>
  <c r="G3" i="3"/>
  <c r="I3" i="3"/>
  <c r="I23" i="3" s="1"/>
  <c r="J3" i="3"/>
  <c r="K3" i="3"/>
  <c r="L3" i="3"/>
  <c r="M3" i="3"/>
  <c r="N3" i="3"/>
  <c r="O3" i="3"/>
  <c r="W3" i="3"/>
  <c r="X3" i="3"/>
  <c r="F4" i="3"/>
  <c r="G4" i="3"/>
  <c r="I4" i="3"/>
  <c r="J4" i="3"/>
  <c r="K4" i="3"/>
  <c r="L4" i="3"/>
  <c r="M4" i="3"/>
  <c r="N4" i="3"/>
  <c r="O4" i="3"/>
  <c r="W4" i="3"/>
  <c r="X4" i="3"/>
  <c r="F5" i="3"/>
  <c r="G5" i="3"/>
  <c r="I5" i="3"/>
  <c r="J5" i="3"/>
  <c r="K5" i="3"/>
  <c r="L5" i="3"/>
  <c r="M5" i="3"/>
  <c r="N5" i="3"/>
  <c r="O5" i="3"/>
  <c r="W5" i="3"/>
  <c r="X5" i="3"/>
  <c r="F6" i="3"/>
  <c r="G6" i="3"/>
  <c r="I6" i="3"/>
  <c r="J6" i="3"/>
  <c r="K6" i="3"/>
  <c r="L6" i="3"/>
  <c r="M6" i="3"/>
  <c r="N6" i="3"/>
  <c r="O6" i="3"/>
  <c r="W6" i="3"/>
  <c r="X6" i="3"/>
  <c r="F7" i="3"/>
  <c r="G7" i="3"/>
  <c r="I7" i="3"/>
  <c r="J7" i="3"/>
  <c r="K7" i="3"/>
  <c r="L7" i="3"/>
  <c r="M7" i="3"/>
  <c r="N7" i="3"/>
  <c r="O7" i="3"/>
  <c r="W7" i="3"/>
  <c r="X7" i="3"/>
  <c r="F8" i="3"/>
  <c r="G8" i="3"/>
  <c r="I8" i="3"/>
  <c r="J8" i="3"/>
  <c r="K8" i="3"/>
  <c r="L8" i="3"/>
  <c r="M8" i="3"/>
  <c r="N8" i="3"/>
  <c r="O8" i="3"/>
  <c r="W8" i="3"/>
  <c r="X8" i="3"/>
  <c r="F9" i="3"/>
  <c r="G9" i="3"/>
  <c r="I9" i="3"/>
  <c r="J9" i="3"/>
  <c r="K9" i="3"/>
  <c r="L9" i="3"/>
  <c r="M9" i="3"/>
  <c r="N9" i="3"/>
  <c r="O9" i="3"/>
  <c r="W9" i="3"/>
  <c r="X9" i="3"/>
  <c r="F10" i="3"/>
  <c r="G10" i="3"/>
  <c r="I10" i="3"/>
  <c r="J10" i="3"/>
  <c r="K10" i="3"/>
  <c r="L10" i="3"/>
  <c r="M10" i="3"/>
  <c r="N10" i="3"/>
  <c r="O10" i="3"/>
  <c r="W10" i="3"/>
  <c r="X10" i="3"/>
  <c r="F11" i="3"/>
  <c r="G11" i="3"/>
  <c r="I11" i="3"/>
  <c r="J11" i="3"/>
  <c r="K11" i="3"/>
  <c r="L11" i="3"/>
  <c r="M11" i="3"/>
  <c r="N11" i="3"/>
  <c r="O11" i="3"/>
  <c r="W11" i="3"/>
  <c r="X11" i="3"/>
  <c r="F12" i="3"/>
  <c r="G12" i="3"/>
  <c r="I12" i="3"/>
  <c r="J12" i="3"/>
  <c r="K12" i="3"/>
  <c r="L12" i="3"/>
  <c r="M12" i="3"/>
  <c r="N12" i="3"/>
  <c r="O12" i="3"/>
  <c r="W12" i="3"/>
  <c r="X12" i="3"/>
  <c r="F13" i="3"/>
  <c r="G13" i="3"/>
  <c r="I13" i="3"/>
  <c r="J13" i="3"/>
  <c r="K13" i="3"/>
  <c r="L13" i="3"/>
  <c r="M13" i="3"/>
  <c r="N13" i="3"/>
  <c r="O13" i="3"/>
  <c r="W13" i="3"/>
  <c r="X13" i="3"/>
  <c r="F14" i="3"/>
  <c r="G14" i="3"/>
  <c r="I14" i="3"/>
  <c r="J14" i="3"/>
  <c r="K14" i="3"/>
  <c r="L14" i="3"/>
  <c r="M14" i="3"/>
  <c r="N14" i="3"/>
  <c r="O14" i="3"/>
  <c r="W14" i="3"/>
  <c r="X14" i="3"/>
  <c r="F15" i="3"/>
  <c r="G15" i="3"/>
  <c r="I15" i="3"/>
  <c r="J15" i="3"/>
  <c r="K15" i="3"/>
  <c r="L15" i="3"/>
  <c r="M15" i="3"/>
  <c r="N15" i="3"/>
  <c r="O15" i="3"/>
  <c r="W15" i="3"/>
  <c r="X15" i="3"/>
  <c r="F16" i="3"/>
  <c r="G16" i="3"/>
  <c r="I16" i="3"/>
  <c r="J16" i="3"/>
  <c r="K16" i="3"/>
  <c r="L16" i="3"/>
  <c r="M16" i="3"/>
  <c r="N16" i="3"/>
  <c r="O16" i="3"/>
  <c r="W16" i="3"/>
  <c r="X16" i="3"/>
  <c r="F17" i="3"/>
  <c r="G17" i="3"/>
  <c r="I17" i="3"/>
  <c r="J17" i="3"/>
  <c r="K17" i="3"/>
  <c r="L17" i="3"/>
  <c r="M17" i="3"/>
  <c r="N17" i="3"/>
  <c r="O17" i="3"/>
  <c r="W17" i="3"/>
  <c r="X17" i="3"/>
  <c r="F18" i="3"/>
  <c r="G18" i="3"/>
  <c r="I18" i="3"/>
  <c r="J18" i="3"/>
  <c r="K18" i="3"/>
  <c r="L18" i="3"/>
  <c r="M18" i="3"/>
  <c r="N18" i="3"/>
  <c r="O18" i="3"/>
  <c r="W18" i="3"/>
  <c r="X18" i="3"/>
  <c r="F19" i="3"/>
  <c r="G19" i="3"/>
  <c r="I19" i="3"/>
  <c r="J19" i="3"/>
  <c r="K19" i="3"/>
  <c r="L19" i="3"/>
  <c r="M19" i="3"/>
  <c r="N19" i="3"/>
  <c r="O19" i="3"/>
  <c r="W19" i="3"/>
  <c r="X19" i="3"/>
  <c r="F20" i="3"/>
  <c r="G20" i="3"/>
  <c r="I20" i="3"/>
  <c r="J20" i="3"/>
  <c r="K20" i="3"/>
  <c r="L20" i="3"/>
  <c r="M20" i="3"/>
  <c r="N20" i="3"/>
  <c r="O20" i="3"/>
  <c r="W20" i="3"/>
  <c r="X20" i="3"/>
  <c r="F21" i="3"/>
  <c r="G21" i="3"/>
  <c r="I21" i="3"/>
  <c r="J21" i="3"/>
  <c r="K21" i="3"/>
  <c r="L21" i="3"/>
  <c r="M21" i="3"/>
  <c r="N21" i="3"/>
  <c r="O21" i="3"/>
  <c r="W21" i="3"/>
  <c r="X2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H3" i="1"/>
  <c r="Y20" i="3" l="1"/>
  <c r="Z20" i="3"/>
  <c r="AA20" i="3"/>
  <c r="AB20" i="3"/>
  <c r="Y16" i="3"/>
  <c r="Z16" i="3"/>
  <c r="AA16" i="3"/>
  <c r="AB16" i="3"/>
  <c r="Y12" i="3"/>
  <c r="Z12" i="3"/>
  <c r="AA12" i="3"/>
  <c r="AB12" i="3"/>
  <c r="Y8" i="3"/>
  <c r="Z8" i="3"/>
  <c r="AA8" i="3"/>
  <c r="AB8" i="3"/>
  <c r="Y4" i="3"/>
  <c r="E29" i="3"/>
  <c r="Z4" i="3"/>
  <c r="AA4" i="3"/>
  <c r="AB4" i="3"/>
  <c r="Y19" i="3"/>
  <c r="Z19" i="3"/>
  <c r="AA19" i="3"/>
  <c r="AB19" i="3"/>
  <c r="Y15" i="3"/>
  <c r="Z15" i="3"/>
  <c r="AA15" i="3"/>
  <c r="AB15" i="3"/>
  <c r="Y11" i="3"/>
  <c r="Z11" i="3"/>
  <c r="AA11" i="3"/>
  <c r="AB11" i="3"/>
  <c r="Y7" i="3"/>
  <c r="G24" i="3"/>
  <c r="Z7" i="3"/>
  <c r="AA7" i="3"/>
  <c r="AB7" i="3"/>
  <c r="AB3" i="3"/>
  <c r="AA3" i="3"/>
  <c r="E28" i="3"/>
  <c r="Z3" i="3"/>
  <c r="E27" i="3"/>
  <c r="Y3" i="3"/>
  <c r="Y18" i="3"/>
  <c r="Z18" i="3"/>
  <c r="AA18" i="3"/>
  <c r="AB18" i="3"/>
  <c r="Y14" i="3"/>
  <c r="Z14" i="3"/>
  <c r="AA14" i="3"/>
  <c r="AB14" i="3"/>
  <c r="Y10" i="3"/>
  <c r="Z10" i="3"/>
  <c r="AA10" i="3"/>
  <c r="AB10" i="3"/>
  <c r="Y6" i="3"/>
  <c r="Z6" i="3"/>
  <c r="AA6" i="3"/>
  <c r="AB6" i="3"/>
  <c r="Y21" i="3"/>
  <c r="Z21" i="3"/>
  <c r="AA21" i="3"/>
  <c r="AB21" i="3"/>
  <c r="Y17" i="3"/>
  <c r="Z17" i="3"/>
  <c r="AA17" i="3"/>
  <c r="AB17" i="3"/>
  <c r="Y13" i="3"/>
  <c r="Z13" i="3"/>
  <c r="AA13" i="3"/>
  <c r="AB13" i="3"/>
  <c r="Y9" i="3"/>
  <c r="Z9" i="3"/>
  <c r="AA9" i="3"/>
  <c r="AB9" i="3"/>
  <c r="Y5" i="3"/>
  <c r="Z5" i="3"/>
  <c r="AA5" i="3"/>
  <c r="AB5" i="3"/>
  <c r="E30" i="3"/>
  <c r="O3" i="1"/>
  <c r="M3" i="1"/>
  <c r="K3" i="1"/>
  <c r="Q3" i="1" l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7" i="1"/>
  <c r="H27" i="1"/>
  <c r="G28" i="1"/>
  <c r="H28" i="1"/>
  <c r="G29" i="1"/>
  <c r="H29" i="1"/>
  <c r="G30" i="1"/>
  <c r="H30" i="1"/>
  <c r="G24" i="1"/>
  <c r="H24" i="1"/>
  <c r="G5" i="1" s="1"/>
  <c r="G25" i="1"/>
  <c r="H25" i="1"/>
  <c r="G26" i="1"/>
  <c r="H26" i="1"/>
  <c r="H23" i="1"/>
  <c r="F5" i="1" s="1"/>
  <c r="G23" i="1"/>
  <c r="D21" i="1" l="1"/>
  <c r="D20" i="1"/>
  <c r="D19" i="1"/>
  <c r="D18" i="1"/>
  <c r="D17" i="1"/>
  <c r="N3" i="1" l="1"/>
  <c r="S3" i="1" l="1"/>
  <c r="R3" i="1"/>
  <c r="B9" i="1" l="1"/>
  <c r="L3" i="1" l="1"/>
  <c r="P3" i="1" s="1"/>
  <c r="T4" i="2"/>
  <c r="U4" i="2"/>
  <c r="V4" i="2"/>
  <c r="W4" i="2"/>
  <c r="X4" i="2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X3" i="2"/>
  <c r="W3" i="2"/>
  <c r="V3" i="2"/>
  <c r="U3" i="2"/>
  <c r="T3" i="2"/>
  <c r="S4" i="2"/>
  <c r="S5" i="2"/>
  <c r="S6" i="2"/>
  <c r="S7" i="2"/>
  <c r="S8" i="2"/>
  <c r="S9" i="2"/>
  <c r="S10" i="2"/>
  <c r="S11" i="2"/>
  <c r="S12" i="2"/>
  <c r="S3" i="2"/>
  <c r="R4" i="2"/>
  <c r="R5" i="2"/>
  <c r="R6" i="2"/>
  <c r="R7" i="2"/>
  <c r="R8" i="2"/>
  <c r="R9" i="2"/>
  <c r="R10" i="2"/>
  <c r="R11" i="2"/>
  <c r="R12" i="2"/>
  <c r="R3" i="2"/>
  <c r="Q4" i="2"/>
  <c r="Q5" i="2"/>
  <c r="Q6" i="2"/>
  <c r="Q7" i="2"/>
  <c r="Q8" i="2"/>
  <c r="Q9" i="2"/>
  <c r="Q10" i="2"/>
  <c r="Q11" i="2"/>
  <c r="Q12" i="2"/>
  <c r="Q3" i="2"/>
  <c r="D5" i="1" l="1"/>
  <c r="C5" i="1"/>
  <c r="I14" i="1" s="1"/>
  <c r="E5" i="1"/>
  <c r="B5" i="1"/>
  <c r="I13" i="1" s="1"/>
  <c r="P4" i="2"/>
  <c r="P5" i="2"/>
  <c r="P6" i="2"/>
  <c r="P7" i="2"/>
  <c r="P8" i="2"/>
  <c r="P9" i="2"/>
  <c r="P10" i="2"/>
  <c r="P11" i="2"/>
  <c r="P12" i="2"/>
  <c r="P3" i="2"/>
  <c r="B7" i="2"/>
  <c r="C7" i="2"/>
  <c r="G7" i="2"/>
  <c r="H7" i="2"/>
  <c r="K7" i="2"/>
  <c r="B8" i="2"/>
  <c r="C8" i="2"/>
  <c r="G8" i="2"/>
  <c r="H8" i="2"/>
  <c r="K8" i="2"/>
  <c r="B9" i="2"/>
  <c r="C9" i="2"/>
  <c r="G9" i="2"/>
  <c r="H9" i="2"/>
  <c r="K9" i="2"/>
  <c r="B10" i="2"/>
  <c r="C10" i="2"/>
  <c r="G10" i="2"/>
  <c r="H10" i="2"/>
  <c r="K10" i="2"/>
  <c r="B11" i="2"/>
  <c r="C11" i="2"/>
  <c r="G11" i="2"/>
  <c r="H11" i="2"/>
  <c r="K11" i="2"/>
  <c r="B12" i="2"/>
  <c r="C12" i="2"/>
  <c r="G12" i="2"/>
  <c r="H12" i="2"/>
  <c r="K12" i="2"/>
  <c r="K4" i="2"/>
  <c r="K5" i="2"/>
  <c r="K6" i="2"/>
  <c r="K3" i="2"/>
  <c r="G4" i="2"/>
  <c r="H4" i="2"/>
  <c r="G5" i="2"/>
  <c r="H5" i="2"/>
  <c r="G6" i="2"/>
  <c r="H6" i="2"/>
  <c r="G3" i="2"/>
  <c r="H3" i="2"/>
  <c r="C4" i="2"/>
  <c r="C5" i="2"/>
  <c r="C6" i="2"/>
  <c r="C3" i="2"/>
  <c r="B4" i="2"/>
  <c r="B5" i="2"/>
  <c r="B6" i="2"/>
  <c r="B3" i="2"/>
  <c r="L4" i="2" l="1"/>
  <c r="L5" i="2"/>
  <c r="O3" i="2"/>
  <c r="L3" i="2"/>
  <c r="L12" i="2"/>
  <c r="O11" i="2"/>
  <c r="L11" i="2"/>
  <c r="O10" i="2"/>
  <c r="L10" i="2"/>
  <c r="O9" i="2"/>
  <c r="L9" i="2"/>
  <c r="L8" i="2"/>
  <c r="O7" i="2"/>
  <c r="L7" i="2"/>
  <c r="O6" i="2"/>
  <c r="L6" i="2"/>
  <c r="J12" i="2"/>
  <c r="N12" i="2" s="1"/>
  <c r="J10" i="2"/>
  <c r="M10" i="2" s="1"/>
  <c r="J9" i="2"/>
  <c r="M9" i="2" s="1"/>
  <c r="J8" i="2"/>
  <c r="M8" i="2" s="1"/>
  <c r="J3" i="2"/>
  <c r="M3" i="2" s="1"/>
  <c r="I5" i="2"/>
  <c r="J5" i="2"/>
  <c r="M5" i="2" s="1"/>
  <c r="I11" i="2"/>
  <c r="J7" i="2"/>
  <c r="N7" i="2" s="1"/>
  <c r="J6" i="2"/>
  <c r="M6" i="2" s="1"/>
  <c r="J4" i="2"/>
  <c r="M4" i="2" s="1"/>
  <c r="O12" i="2"/>
  <c r="O8" i="2"/>
  <c r="O4" i="2"/>
  <c r="O5" i="2"/>
  <c r="I7" i="2"/>
  <c r="J11" i="2"/>
  <c r="I12" i="2"/>
  <c r="I10" i="2"/>
  <c r="I8" i="2"/>
  <c r="I3" i="2"/>
  <c r="I9" i="2"/>
  <c r="I6" i="2"/>
  <c r="I4" i="2"/>
  <c r="G3" i="1"/>
  <c r="F3" i="1"/>
  <c r="E3" i="1"/>
  <c r="D3" i="1"/>
  <c r="C3" i="1"/>
  <c r="E19" i="1" s="1"/>
  <c r="N10" i="2" l="1"/>
  <c r="N3" i="2"/>
  <c r="M12" i="2"/>
  <c r="N4" i="2"/>
  <c r="N9" i="2"/>
  <c r="N5" i="2"/>
  <c r="N6" i="2"/>
  <c r="N8" i="2"/>
  <c r="H11" i="1"/>
  <c r="E14" i="1"/>
  <c r="E21" i="1" s="1"/>
  <c r="H10" i="1"/>
  <c r="E13" i="1"/>
  <c r="E17" i="1" s="1"/>
  <c r="E11" i="1"/>
  <c r="E20" i="1" s="1"/>
  <c r="E10" i="1"/>
  <c r="E18" i="1" s="1"/>
  <c r="M7" i="2"/>
  <c r="M11" i="2"/>
  <c r="N11" i="2"/>
  <c r="B3" i="1"/>
</calcChain>
</file>

<file path=xl/comments1.xml><?xml version="1.0" encoding="utf-8"?>
<comments xmlns="http://schemas.openxmlformats.org/spreadsheetml/2006/main">
  <authors>
    <author>Autor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precio de cierre es realmente el precio del subyacente a las 21:45 (1/4 hora antes del cierre) del día anterior</t>
        </r>
      </text>
    </comment>
  </commentList>
</comments>
</file>

<file path=xl/sharedStrings.xml><?xml version="1.0" encoding="utf-8"?>
<sst xmlns="http://schemas.openxmlformats.org/spreadsheetml/2006/main" count="92" uniqueCount="82">
  <si>
    <t>Subyacente</t>
  </si>
  <si>
    <t>Último precio subyacente</t>
  </si>
  <si>
    <t>Fecha valoración</t>
  </si>
  <si>
    <t>Retorno subyacente desde último cierre</t>
  </si>
  <si>
    <t>IV Subyacente</t>
  </si>
  <si>
    <t>Puntos subyacente desde último cierre</t>
  </si>
  <si>
    <t>Precio subyacente en inicio estrategia</t>
  </si>
  <si>
    <t>IV Subyacente en inicio estrategia</t>
  </si>
  <si>
    <t>localSymbol</t>
  </si>
  <si>
    <t>Número</t>
  </si>
  <si>
    <t>Bid</t>
  </si>
  <si>
    <t>Mid</t>
  </si>
  <si>
    <t>Ask</t>
  </si>
  <si>
    <t>Market Valuation</t>
  </si>
  <si>
    <t>Multiplier</t>
  </si>
  <si>
    <t>MarketValue(IB)</t>
  </si>
  <si>
    <t>Coste Base</t>
  </si>
  <si>
    <t>Val. Current</t>
  </si>
  <si>
    <t>Spd.Max</t>
  </si>
  <si>
    <t>Spd.Min</t>
  </si>
  <si>
    <t>Val.Min</t>
  </si>
  <si>
    <t>Delta</t>
  </si>
  <si>
    <t>Dshort</t>
  </si>
  <si>
    <t>DshortPosition</t>
  </si>
  <si>
    <t>Gamma</t>
  </si>
  <si>
    <t>GammaPosition</t>
  </si>
  <si>
    <t>Theta</t>
  </si>
  <si>
    <t>ThetaPosition</t>
  </si>
  <si>
    <t>Vega</t>
  </si>
  <si>
    <t>VegaPosition</t>
  </si>
  <si>
    <t>DIT</t>
  </si>
  <si>
    <t>Margen neto</t>
  </si>
  <si>
    <t>Comisiones</t>
  </si>
  <si>
    <t>Apertura</t>
  </si>
  <si>
    <t>Entrada en ventana</t>
  </si>
  <si>
    <t>DTE</t>
  </si>
  <si>
    <t>DTE primera entrada</t>
  </si>
  <si>
    <t>1SD15D</t>
  </si>
  <si>
    <t>Precio suby + 1SD15D</t>
  </si>
  <si>
    <t>Parametros a monitorizar durante la fase de apertura</t>
  </si>
  <si>
    <t>Precio suby - 1SD15D</t>
  </si>
  <si>
    <t>1SD21D</t>
  </si>
  <si>
    <t>Precio suby + 1SD21D</t>
  </si>
  <si>
    <t>Precio suby - 1SD21D</t>
  </si>
  <si>
    <t>Situación de los short strikes (debe ser a 8% del precio por abajo y a 6% por arriba)</t>
  </si>
  <si>
    <t>precio - 8%</t>
  </si>
  <si>
    <t>precio + 6%</t>
  </si>
  <si>
    <t>Strike SP</t>
  </si>
  <si>
    <t>Strike SC</t>
  </si>
  <si>
    <t>P&amp;L</t>
  </si>
  <si>
    <t>Coste Base (unitario)</t>
  </si>
  <si>
    <t>Max Profit</t>
  </si>
  <si>
    <t>Meter trades sólo a partir de esta fecha</t>
  </si>
  <si>
    <t>times_ops</t>
  </si>
  <si>
    <t>lastUndPrice</t>
  </si>
  <si>
    <t>avgprice</t>
  </si>
  <si>
    <t>multiplier</t>
  </si>
  <si>
    <t>side</t>
  </si>
  <si>
    <t>modelDelta</t>
  </si>
  <si>
    <t>modelGamma</t>
  </si>
  <si>
    <t>modelTheta</t>
  </si>
  <si>
    <t>modelVega</t>
  </si>
  <si>
    <t>strike</t>
  </si>
  <si>
    <t>ImplVolATM</t>
  </si>
  <si>
    <t>1SD</t>
  </si>
  <si>
    <t>lastUndPrice_less1SD</t>
  </si>
  <si>
    <t>lastUndPrice_plus1SD</t>
  </si>
  <si>
    <t>sign</t>
  </si>
  <si>
    <t>CreditoBruto</t>
  </si>
  <si>
    <t>times_ops_chain</t>
  </si>
  <si>
    <t>Comm / Margin (%)</t>
  </si>
  <si>
    <t>P&amp;L / Margin (%)</t>
  </si>
  <si>
    <t>L.Mkt (%)</t>
  </si>
  <si>
    <t>E.V.</t>
  </si>
  <si>
    <t>AD 1%</t>
  </si>
  <si>
    <t>AD 1SD 1D</t>
  </si>
  <si>
    <t>check</t>
  </si>
  <si>
    <t>Calls</t>
  </si>
  <si>
    <t>Puts</t>
  </si>
  <si>
    <t>Long</t>
  </si>
  <si>
    <t>Short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</si>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</sst>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"/>
    <numFmt numFmtId="167" formatCode="yyyy\-mm\-dd\ hh:mm:ss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0" fillId="0" borderId="1" xfId="0" applyBorder="1"/>
    <xf numFmtId="0" fontId="0" fillId="6" borderId="1" xfId="0" applyFill="1" applyBorder="1"/>
    <xf numFmtId="166" fontId="0" fillId="0" borderId="1" xfId="0" applyNumberFormat="1" applyBorder="1"/>
    <xf numFmtId="166" fontId="0" fillId="0" borderId="0" xfId="0" applyNumberFormat="1"/>
    <xf numFmtId="0" fontId="0" fillId="6" borderId="1" xfId="0" applyFill="1" applyBorder="1" applyAlignment="1">
      <alignment wrapText="1"/>
    </xf>
    <xf numFmtId="0" fontId="0" fillId="0" borderId="1" xfId="0" quotePrefix="1" applyBorder="1"/>
    <xf numFmtId="14" fontId="0" fillId="0" borderId="1" xfId="0" applyNumberFormat="1" applyBorder="1"/>
    <xf numFmtId="2" fontId="0" fillId="0" borderId="1" xfId="1" applyNumberFormat="1" applyFont="1" applyBorder="1"/>
    <xf numFmtId="2" fontId="0" fillId="0" borderId="1" xfId="0" applyNumberFormat="1" applyBorder="1"/>
    <xf numFmtId="0" fontId="0" fillId="6" borderId="1" xfId="0" applyFill="1" applyBorder="1" applyAlignment="1">
      <alignment vertical="center" wrapText="1"/>
    </xf>
    <xf numFmtId="10" fontId="0" fillId="0" borderId="1" xfId="1" applyNumberFormat="1" applyFont="1" applyBorder="1"/>
    <xf numFmtId="9" fontId="0" fillId="0" borderId="1" xfId="1" applyFont="1" applyBorder="1"/>
    <xf numFmtId="22" fontId="0" fillId="7" borderId="0" xfId="0" applyNumberFormat="1" applyFill="1"/>
    <xf numFmtId="167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68" fontId="0" fillId="0" borderId="1" xfId="0" quotePrefix="1" applyNumberFormat="1" applyBorder="1"/>
    <xf numFmtId="168" fontId="0" fillId="0" borderId="1" xfId="0" applyNumberFormat="1" applyBorder="1"/>
    <xf numFmtId="10" fontId="0" fillId="0" borderId="1" xfId="0" applyNumberFormat="1" applyBorder="1"/>
    <xf numFmtId="2" fontId="0" fillId="0" borderId="1" xfId="0" quotePrefix="1" applyNumberFormat="1" applyBorder="1"/>
    <xf numFmtId="1" fontId="0" fillId="0" borderId="0" xfId="0" applyNumberFormat="1"/>
  </cellXfs>
  <cellStyles count="2">
    <cellStyle name="Normal" xfId="0" builtinId="0"/>
    <cellStyle name="Porcentaje" xfId="1" builtinId="5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ropbox\proyectos\Python\voltrad1\voldailyanalytics\daily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Suby."/>
      <sheetName val="IVolatility"/>
      <sheetName val="Calculo IV ATM"/>
      <sheetName val="Sumario Suby."/>
      <sheetName val="Sumario Trades"/>
      <sheetName val="Sumario Posiciones"/>
      <sheetName val="Sumario Margin Primas"/>
      <sheetName val="Sumario Spreads"/>
      <sheetName val="Sumario estrategia"/>
    </sheetNames>
    <sheetDataSet>
      <sheetData sheetId="0"/>
      <sheetData sheetId="1"/>
      <sheetData sheetId="2"/>
      <sheetData sheetId="3">
        <row r="2">
          <cell r="B2">
            <v>42641</v>
          </cell>
          <cell r="D2">
            <v>2151</v>
          </cell>
          <cell r="E2">
            <v>2163.25</v>
          </cell>
          <cell r="F2">
            <v>5.6788702191181203E-3</v>
          </cell>
          <cell r="G2" t="str">
            <v>ES</v>
          </cell>
          <cell r="H2">
            <v>0.12239519552745499</v>
          </cell>
        </row>
      </sheetData>
      <sheetData sheetId="4">
        <row r="1">
          <cell r="B1" t="str">
            <v>times_opt_chain</v>
          </cell>
          <cell r="C1" t="str">
            <v>load_dttm</v>
          </cell>
          <cell r="D1" t="str">
            <v>times_ops</v>
          </cell>
          <cell r="E1" t="str">
            <v>localSymbol</v>
          </cell>
          <cell r="F1" t="str">
            <v>lastUndPrice</v>
          </cell>
          <cell r="G1" t="str">
            <v>avgprice</v>
          </cell>
          <cell r="H1" t="str">
            <v>multiplier</v>
          </cell>
          <cell r="I1" t="str">
            <v>qty</v>
          </cell>
          <cell r="J1" t="str">
            <v>side</v>
          </cell>
          <cell r="K1" t="str">
            <v>DTE</v>
          </cell>
          <cell r="L1" t="str">
            <v>modelDelta</v>
          </cell>
          <cell r="M1" t="str">
            <v>modelGamma</v>
          </cell>
          <cell r="N1" t="str">
            <v>modelTheta</v>
          </cell>
          <cell r="O1" t="str">
            <v>modelVega</v>
          </cell>
          <cell r="P1" t="str">
            <v>strike</v>
          </cell>
          <cell r="Q1" t="str">
            <v>shares</v>
          </cell>
          <cell r="R1" t="str">
            <v>ImplVolATM</v>
          </cell>
          <cell r="S1" t="str">
            <v>1SD</v>
          </cell>
          <cell r="T1" t="str">
            <v>lastUndPrice_less1SD</v>
          </cell>
          <cell r="U1" t="str">
            <v>lastUndPrice_plus1SD</v>
          </cell>
          <cell r="V1" t="str">
            <v>DIT</v>
          </cell>
          <cell r="W1" t="str">
            <v>sign</v>
          </cell>
          <cell r="X1" t="str">
            <v>CreditoBruto</v>
          </cell>
          <cell r="Y1" t="str">
            <v>1SD15D</v>
          </cell>
          <cell r="Z1" t="str">
            <v>1SD21D</v>
          </cell>
        </row>
        <row r="2">
          <cell r="B2">
            <v>42639.864583333299</v>
          </cell>
          <cell r="C2">
            <v>42639.990277777797</v>
          </cell>
          <cell r="D2">
            <v>42639.853101851899</v>
          </cell>
          <cell r="E2" t="str">
            <v>EW3X6 C2275</v>
          </cell>
          <cell r="F2">
            <v>2139.5</v>
          </cell>
          <cell r="G2">
            <v>1</v>
          </cell>
          <cell r="H2">
            <v>50</v>
          </cell>
          <cell r="I2">
            <v>12</v>
          </cell>
          <cell r="J2" t="str">
            <v>SLD</v>
          </cell>
          <cell r="K2">
            <v>52</v>
          </cell>
          <cell r="L2">
            <v>3.7835049953682899E-2</v>
          </cell>
          <cell r="M2">
            <v>1.12580087519808E-3</v>
          </cell>
          <cell r="N2">
            <v>-5.6732595244946997E-2</v>
          </cell>
          <cell r="O2">
            <v>0.67125744657131003</v>
          </cell>
          <cell r="P2">
            <v>2275</v>
          </cell>
          <cell r="Q2">
            <v>12</v>
          </cell>
          <cell r="R2">
            <v>0.138311901904415</v>
          </cell>
          <cell r="S2">
            <v>111.693290032611</v>
          </cell>
          <cell r="T2">
            <v>2027.8067099673899</v>
          </cell>
          <cell r="U2">
            <v>2251.1932900326101</v>
          </cell>
          <cell r="V2">
            <v>1</v>
          </cell>
          <cell r="W2">
            <v>-1</v>
          </cell>
          <cell r="X2">
            <v>-600</v>
          </cell>
          <cell r="Y2">
            <v>59.988919742064702</v>
          </cell>
          <cell r="Z2">
            <v>70.979847059202797</v>
          </cell>
        </row>
        <row r="3">
          <cell r="B3">
            <v>42639.864583333299</v>
          </cell>
          <cell r="C3">
            <v>42639.990277777797</v>
          </cell>
          <cell r="D3">
            <v>42639.853171296301</v>
          </cell>
          <cell r="E3" t="str">
            <v>EW3X6 C2275</v>
          </cell>
          <cell r="F3">
            <v>2139.5</v>
          </cell>
          <cell r="G3">
            <v>1</v>
          </cell>
          <cell r="H3">
            <v>50</v>
          </cell>
          <cell r="I3">
            <v>12</v>
          </cell>
          <cell r="J3" t="str">
            <v>SLD</v>
          </cell>
          <cell r="K3">
            <v>52</v>
          </cell>
          <cell r="L3">
            <v>3.7835049953682899E-2</v>
          </cell>
          <cell r="M3">
            <v>1.12580087519808E-3</v>
          </cell>
          <cell r="N3">
            <v>-5.6732595244946997E-2</v>
          </cell>
          <cell r="O3">
            <v>0.67125744657131003</v>
          </cell>
          <cell r="P3">
            <v>2275</v>
          </cell>
          <cell r="Q3">
            <v>12</v>
          </cell>
          <cell r="R3">
            <v>0.138311901904415</v>
          </cell>
          <cell r="S3">
            <v>111.693290032611</v>
          </cell>
          <cell r="T3">
            <v>2027.8067099673899</v>
          </cell>
          <cell r="U3">
            <v>2251.1932900326101</v>
          </cell>
          <cell r="V3">
            <v>1</v>
          </cell>
          <cell r="W3">
            <v>-1</v>
          </cell>
          <cell r="X3">
            <v>-600</v>
          </cell>
          <cell r="Y3">
            <v>59.988919742064702</v>
          </cell>
          <cell r="Z3">
            <v>70.979847059202797</v>
          </cell>
        </row>
        <row r="4">
          <cell r="B4">
            <v>42639.864583333299</v>
          </cell>
          <cell r="C4">
            <v>42639.990277777797</v>
          </cell>
          <cell r="D4">
            <v>42639.853101851899</v>
          </cell>
          <cell r="E4" t="str">
            <v>EW3X6 C2300</v>
          </cell>
          <cell r="F4">
            <v>2139.5</v>
          </cell>
          <cell r="G4">
            <v>0.45</v>
          </cell>
          <cell r="H4">
            <v>50</v>
          </cell>
          <cell r="I4">
            <v>12</v>
          </cell>
          <cell r="J4" t="str">
            <v>BOT</v>
          </cell>
          <cell r="K4">
            <v>52</v>
          </cell>
          <cell r="L4">
            <v>1.52943475881193E-2</v>
          </cell>
          <cell r="M4">
            <v>5.4289062202375604E-4</v>
          </cell>
          <cell r="N4">
            <v>-2.5722144238873399E-2</v>
          </cell>
          <cell r="O4">
            <v>0.313861498868791</v>
          </cell>
          <cell r="P4">
            <v>2300</v>
          </cell>
          <cell r="Q4">
            <v>12</v>
          </cell>
          <cell r="R4">
            <v>0.138311901904415</v>
          </cell>
          <cell r="S4">
            <v>111.693290032611</v>
          </cell>
          <cell r="T4">
            <v>2027.8067099673899</v>
          </cell>
          <cell r="U4">
            <v>2251.1932900326101</v>
          </cell>
          <cell r="V4">
            <v>1</v>
          </cell>
          <cell r="W4">
            <v>1</v>
          </cell>
          <cell r="X4">
            <v>270</v>
          </cell>
          <cell r="Y4">
            <v>59.988919742064702</v>
          </cell>
          <cell r="Z4">
            <v>70.979847059202797</v>
          </cell>
        </row>
        <row r="5">
          <cell r="B5">
            <v>42639.864583333299</v>
          </cell>
          <cell r="C5">
            <v>42639.990277777797</v>
          </cell>
          <cell r="D5">
            <v>42639.853171296301</v>
          </cell>
          <cell r="E5" t="str">
            <v>EW3X6 C2300</v>
          </cell>
          <cell r="F5">
            <v>2139.5</v>
          </cell>
          <cell r="G5">
            <v>0.45</v>
          </cell>
          <cell r="H5">
            <v>50</v>
          </cell>
          <cell r="I5">
            <v>12</v>
          </cell>
          <cell r="J5" t="str">
            <v>BOT</v>
          </cell>
          <cell r="K5">
            <v>52</v>
          </cell>
          <cell r="L5">
            <v>1.52943475881193E-2</v>
          </cell>
          <cell r="M5">
            <v>5.4289062202375604E-4</v>
          </cell>
          <cell r="N5">
            <v>-2.5722144238873399E-2</v>
          </cell>
          <cell r="O5">
            <v>0.313861498868791</v>
          </cell>
          <cell r="P5">
            <v>2300</v>
          </cell>
          <cell r="Q5">
            <v>12</v>
          </cell>
          <cell r="R5">
            <v>0.138311901904415</v>
          </cell>
          <cell r="S5">
            <v>111.693290032611</v>
          </cell>
          <cell r="T5">
            <v>2027.8067099673899</v>
          </cell>
          <cell r="U5">
            <v>2251.1932900326101</v>
          </cell>
          <cell r="V5">
            <v>1</v>
          </cell>
          <cell r="W5">
            <v>1</v>
          </cell>
          <cell r="X5">
            <v>270</v>
          </cell>
          <cell r="Y5">
            <v>59.988919742064702</v>
          </cell>
          <cell r="Z5">
            <v>70.979847059202797</v>
          </cell>
        </row>
        <row r="6">
          <cell r="B6">
            <v>42639.864583333299</v>
          </cell>
          <cell r="C6">
            <v>42639.990277777797</v>
          </cell>
          <cell r="D6">
            <v>42639.852939814802</v>
          </cell>
          <cell r="E6" t="str">
            <v>EW3X6 P1950</v>
          </cell>
          <cell r="F6">
            <v>2139.5</v>
          </cell>
          <cell r="G6">
            <v>9.25</v>
          </cell>
          <cell r="H6">
            <v>50</v>
          </cell>
          <cell r="I6">
            <v>12</v>
          </cell>
          <cell r="J6" t="str">
            <v>BOT</v>
          </cell>
          <cell r="K6">
            <v>52</v>
          </cell>
          <cell r="L6">
            <v>-0.112359401615441</v>
          </cell>
          <cell r="M6">
            <v>1.1318963723744701E-3</v>
          </cell>
          <cell r="N6">
            <v>-0.30320684762762001</v>
          </cell>
          <cell r="O6" t="e">
            <v>#NULL!</v>
          </cell>
          <cell r="P6">
            <v>1950</v>
          </cell>
          <cell r="Q6">
            <v>12</v>
          </cell>
          <cell r="R6">
            <v>0.138311901904415</v>
          </cell>
          <cell r="S6">
            <v>111.693290032611</v>
          </cell>
          <cell r="T6">
            <v>2027.8067099673899</v>
          </cell>
          <cell r="U6">
            <v>2251.1932900326101</v>
          </cell>
          <cell r="V6">
            <v>1</v>
          </cell>
          <cell r="W6">
            <v>1</v>
          </cell>
          <cell r="X6">
            <v>5550</v>
          </cell>
          <cell r="Y6">
            <v>59.988919742064702</v>
          </cell>
          <cell r="Z6">
            <v>70.979847059202797</v>
          </cell>
        </row>
        <row r="7">
          <cell r="B7">
            <v>42639.864583333299</v>
          </cell>
          <cell r="C7">
            <v>42639.990277777797</v>
          </cell>
          <cell r="D7">
            <v>42639.852939814802</v>
          </cell>
          <cell r="E7" t="str">
            <v>EW3X6 P1975</v>
          </cell>
          <cell r="F7">
            <v>2139.5</v>
          </cell>
          <cell r="G7">
            <v>11.35</v>
          </cell>
          <cell r="H7">
            <v>50</v>
          </cell>
          <cell r="I7">
            <v>12</v>
          </cell>
          <cell r="J7" t="str">
            <v>SLD</v>
          </cell>
          <cell r="K7">
            <v>52</v>
          </cell>
          <cell r="L7">
            <v>-0.13890892271824601</v>
          </cell>
          <cell r="M7">
            <v>1.35644295834616E-3</v>
          </cell>
          <cell r="N7">
            <v>-0.34024559495953199</v>
          </cell>
          <cell r="O7" t="e">
            <v>#NULL!</v>
          </cell>
          <cell r="P7">
            <v>1975</v>
          </cell>
          <cell r="Q7">
            <v>12</v>
          </cell>
          <cell r="R7">
            <v>0.138311901904415</v>
          </cell>
          <cell r="S7">
            <v>111.693290032611</v>
          </cell>
          <cell r="T7">
            <v>2027.8067099673899</v>
          </cell>
          <cell r="U7">
            <v>2251.1932900326101</v>
          </cell>
          <cell r="V7">
            <v>1</v>
          </cell>
          <cell r="W7">
            <v>-1</v>
          </cell>
          <cell r="X7">
            <v>-6810</v>
          </cell>
          <cell r="Y7">
            <v>59.988919742064702</v>
          </cell>
          <cell r="Z7">
            <v>70.979847059202797</v>
          </cell>
        </row>
      </sheetData>
      <sheetData sheetId="5">
        <row r="2">
          <cell r="B2" t="str">
            <v>EW3X6 P1950</v>
          </cell>
          <cell r="D2">
            <v>12</v>
          </cell>
          <cell r="E2">
            <v>5.5</v>
          </cell>
          <cell r="F2">
            <v>6</v>
          </cell>
          <cell r="H2">
            <v>3516.49</v>
          </cell>
          <cell r="J2">
            <v>50</v>
          </cell>
          <cell r="K2">
            <v>-7.4829141039335606E-2</v>
          </cell>
          <cell r="L2">
            <v>8.8480930333161695E-4</v>
          </cell>
          <cell r="M2">
            <v>-0.22100868082484901</v>
          </cell>
          <cell r="N2" t="e">
            <v>#NULL!</v>
          </cell>
          <cell r="Y2">
            <v>5.75</v>
          </cell>
          <cell r="AA2">
            <v>9.2782</v>
          </cell>
          <cell r="AB2">
            <v>-3.7414570519667798</v>
          </cell>
          <cell r="AC2">
            <v>-44.897484623601301</v>
          </cell>
          <cell r="AD2">
            <v>0.53088558199896996</v>
          </cell>
          <cell r="AE2">
            <v>-132.60520849490899</v>
          </cell>
          <cell r="AF2" t="str">
            <v>inf</v>
          </cell>
        </row>
        <row r="3">
          <cell r="B3" t="str">
            <v>EW3X6 P1975</v>
          </cell>
          <cell r="D3">
            <v>-12</v>
          </cell>
          <cell r="E3">
            <v>7</v>
          </cell>
          <cell r="F3">
            <v>7.5</v>
          </cell>
          <cell r="H3">
            <v>-4394.37</v>
          </cell>
          <cell r="J3">
            <v>50</v>
          </cell>
          <cell r="K3">
            <v>-9.4418807261614293E-2</v>
          </cell>
          <cell r="L3">
            <v>1.0937453970960101E-3</v>
          </cell>
          <cell r="M3">
            <v>-0.253474224325481</v>
          </cell>
          <cell r="N3" t="e">
            <v>#NULL!</v>
          </cell>
          <cell r="Y3">
            <v>7.25</v>
          </cell>
          <cell r="AA3">
            <v>-11.3218</v>
          </cell>
          <cell r="AB3">
            <v>-4.7209403630807198</v>
          </cell>
          <cell r="AC3">
            <v>56.651284356968603</v>
          </cell>
          <cell r="AD3">
            <v>-0.656247238257604</v>
          </cell>
          <cell r="AE3">
            <v>152.084534595289</v>
          </cell>
          <cell r="AF3" t="str">
            <v>-inf</v>
          </cell>
        </row>
        <row r="4">
          <cell r="B4" t="str">
            <v>EW3X6 C2275</v>
          </cell>
          <cell r="D4">
            <v>-24</v>
          </cell>
          <cell r="E4">
            <v>1.2</v>
          </cell>
          <cell r="F4">
            <v>1.3</v>
          </cell>
          <cell r="H4">
            <v>-1580.28</v>
          </cell>
          <cell r="J4">
            <v>50</v>
          </cell>
          <cell r="K4">
            <v>4.7095883882292099E-2</v>
          </cell>
          <cell r="L4">
            <v>1.52573167179563E-3</v>
          </cell>
          <cell r="M4">
            <v>-6.2046147858715602E-2</v>
          </cell>
          <cell r="N4">
            <v>0.79455629687967699</v>
          </cell>
          <cell r="Y4">
            <v>1.25</v>
          </cell>
          <cell r="AA4">
            <v>-0.9718</v>
          </cell>
          <cell r="AB4">
            <v>2.3547941941146102</v>
          </cell>
          <cell r="AC4">
            <v>-56.5150606587505</v>
          </cell>
          <cell r="AD4">
            <v>-1.83087800615476</v>
          </cell>
          <cell r="AE4">
            <v>74.455377430458697</v>
          </cell>
          <cell r="AF4">
            <v>-953.46755625561195</v>
          </cell>
        </row>
        <row r="5">
          <cell r="B5" t="str">
            <v>EW3X6 C2300</v>
          </cell>
          <cell r="D5">
            <v>24</v>
          </cell>
          <cell r="E5">
            <v>0.5</v>
          </cell>
          <cell r="F5">
            <v>0.6</v>
          </cell>
          <cell r="H5">
            <v>650.85</v>
          </cell>
          <cell r="J5">
            <v>50</v>
          </cell>
          <cell r="K5">
            <v>1.69833884048117E-2</v>
          </cell>
          <cell r="L5">
            <v>6.7905724795557995E-4</v>
          </cell>
          <cell r="M5">
            <v>-2.5592421021684901E-2</v>
          </cell>
          <cell r="N5">
            <v>0.34042446151255101</v>
          </cell>
          <cell r="Y5">
            <v>0.55000000000000004</v>
          </cell>
          <cell r="AA5">
            <v>0.47820000000000001</v>
          </cell>
          <cell r="AB5">
            <v>0.84916942024058595</v>
          </cell>
          <cell r="AC5">
            <v>20.3800660857741</v>
          </cell>
          <cell r="AD5">
            <v>0.814868697546696</v>
          </cell>
          <cell r="AE5">
            <v>-30.7109052260219</v>
          </cell>
          <cell r="AF5">
            <v>408.50935381506099</v>
          </cell>
        </row>
      </sheetData>
      <sheetData sheetId="6">
        <row r="1">
          <cell r="B1" t="str">
            <v>load_dttm</v>
          </cell>
          <cell r="C1" t="str">
            <v>FullInitMarginReq_USD_actual</v>
          </cell>
          <cell r="D1" t="str">
            <v>Impacto_encash_ultimo_periodo1h</v>
          </cell>
          <cell r="E1" t="str">
            <v>CreditoBruto</v>
          </cell>
          <cell r="F1" t="str">
            <v>Comisiones</v>
          </cell>
          <cell r="G1" t="str">
            <v>Margen_neto</v>
          </cell>
          <cell r="H1" t="str">
            <v>BeneficioMaximoPct</v>
          </cell>
        </row>
        <row r="2">
          <cell r="B2">
            <v>42639.820868055598</v>
          </cell>
          <cell r="C2">
            <v>19599.32</v>
          </cell>
        </row>
        <row r="3">
          <cell r="B3">
            <v>42639.862534722197</v>
          </cell>
          <cell r="C3">
            <v>30103.79</v>
          </cell>
          <cell r="D3">
            <v>1818.75</v>
          </cell>
          <cell r="E3">
            <v>-1920</v>
          </cell>
          <cell r="F3">
            <v>101.25</v>
          </cell>
          <cell r="G3">
            <v>28285.040000000001</v>
          </cell>
          <cell r="H3">
            <v>6.4300775250803993E-2</v>
          </cell>
        </row>
      </sheetData>
      <sheetData sheetId="7"/>
      <sheetData sheetId="8">
        <row r="2">
          <cell r="A2" t="str">
            <v>DshortPosition</v>
          </cell>
          <cell r="B2">
            <v>-24.381194839609201</v>
          </cell>
        </row>
        <row r="3">
          <cell r="A3" t="str">
            <v>GammaPosition</v>
          </cell>
          <cell r="B3">
            <v>-1.1413709648667001</v>
          </cell>
        </row>
        <row r="4">
          <cell r="A4" t="str">
            <v>ThetaPosition</v>
          </cell>
          <cell r="B4">
            <v>63.2237983048161</v>
          </cell>
        </row>
        <row r="5">
          <cell r="A5" t="str">
            <v>VegaPosition</v>
          </cell>
        </row>
        <row r="6">
          <cell r="A6" t="str">
            <v>marketValue</v>
          </cell>
          <cell r="B6">
            <v>-1807.31</v>
          </cell>
        </row>
        <row r="7">
          <cell r="A7" t="str">
            <v>lastUndPrice</v>
          </cell>
          <cell r="B7">
            <v>2163.25</v>
          </cell>
        </row>
        <row r="8">
          <cell r="A8" t="str">
            <v>ImplVolATM</v>
          </cell>
          <cell r="B8">
            <v>0.12239519552745499</v>
          </cell>
        </row>
        <row r="9">
          <cell r="A9" t="str">
            <v>multiplier</v>
          </cell>
          <cell r="B9">
            <v>50</v>
          </cell>
        </row>
        <row r="10">
          <cell r="A10" t="str">
            <v>Pts1SD1D</v>
          </cell>
          <cell r="B10">
            <v>13.858768829760599</v>
          </cell>
        </row>
        <row r="11">
          <cell r="A11" t="str">
            <v>Pts1SD5D</v>
          </cell>
          <cell r="B11">
            <v>30.989149187799999</v>
          </cell>
        </row>
        <row r="12">
          <cell r="A12" t="str">
            <v>AD1PCT</v>
          </cell>
          <cell r="B12">
            <v>1.7794076849557201</v>
          </cell>
        </row>
        <row r="13">
          <cell r="A13" t="str">
            <v>AD1SD1D</v>
          </cell>
          <cell r="B13">
            <v>0.57135630299493201</v>
          </cell>
        </row>
        <row r="14">
          <cell r="A14" t="str">
            <v>MaxDsAD1PCT</v>
          </cell>
          <cell r="B14">
            <v>41.105579759619602</v>
          </cell>
        </row>
        <row r="15">
          <cell r="A15" t="str">
            <v>MaxDsAD1SD1D</v>
          </cell>
          <cell r="B15">
            <v>128.01746324565599</v>
          </cell>
        </row>
        <row r="16">
          <cell r="A16" t="str">
            <v>MaxDs</v>
          </cell>
          <cell r="B16">
            <v>81.637958890720697</v>
          </cell>
        </row>
        <row r="17">
          <cell r="A17" t="str">
            <v>thetaDeltaRatio</v>
          </cell>
          <cell r="B17">
            <v>2.59313781464492</v>
          </cell>
        </row>
        <row r="18">
          <cell r="A18" t="str">
            <v>thetaGammaRatio</v>
          </cell>
          <cell r="B18">
            <v>55.392856705619899</v>
          </cell>
        </row>
        <row r="19">
          <cell r="A19" t="str">
            <v>VegaThetaRatio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0"/>
  <sheetViews>
    <sheetView tabSelected="1" topLeftCell="C1" workbookViewId="0">
      <selection activeCell="Q3" sqref="Q3"/>
    </sheetView>
  </sheetViews>
  <sheetFormatPr baseColWidth="10" defaultColWidth="8.88671875" defaultRowHeight="14.4" x14ac:dyDescent="0.3"/>
  <cols>
    <col min="1" max="1" width="3.77734375" customWidth="1"/>
    <col min="2" max="2" width="33.5546875" bestFit="1" customWidth="1"/>
    <col min="3" max="3" width="12" customWidth="1"/>
    <col min="4" max="4" width="19.33203125" customWidth="1"/>
    <col min="5" max="5" width="16.6640625" customWidth="1"/>
    <col min="6" max="6" width="11.5546875" customWidth="1"/>
    <col min="7" max="9" width="16.88671875" customWidth="1"/>
    <col min="10" max="10" width="7.6640625" customWidth="1"/>
    <col min="11" max="11" width="11.109375" bestFit="1" customWidth="1"/>
    <col min="12" max="12" width="10.33203125" bestFit="1" customWidth="1"/>
    <col min="13" max="13" width="10.77734375" bestFit="1" customWidth="1"/>
    <col min="15" max="15" width="10.77734375" bestFit="1" customWidth="1"/>
    <col min="16" max="16" width="12.21875" customWidth="1"/>
    <col min="18" max="18" width="8.6640625" bestFit="1" customWidth="1"/>
    <col min="19" max="19" width="7" bestFit="1" customWidth="1"/>
  </cols>
  <sheetData>
    <row r="2" spans="2:19" s="2" customFormat="1" ht="43.2" x14ac:dyDescent="0.3">
      <c r="B2" s="20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30</v>
      </c>
      <c r="K2" s="20" t="s">
        <v>31</v>
      </c>
      <c r="L2" s="20" t="s">
        <v>32</v>
      </c>
      <c r="M2" s="20" t="s">
        <v>49</v>
      </c>
      <c r="N2" s="20" t="s">
        <v>51</v>
      </c>
      <c r="O2" s="20" t="s">
        <v>16</v>
      </c>
      <c r="P2" s="20" t="s">
        <v>70</v>
      </c>
      <c r="Q2" s="20" t="s">
        <v>71</v>
      </c>
      <c r="R2" s="20" t="s">
        <v>72</v>
      </c>
      <c r="S2" s="20" t="s">
        <v>73</v>
      </c>
    </row>
    <row r="3" spans="2:19" x14ac:dyDescent="0.3">
      <c r="B3" s="16" t="str">
        <f>'[1]Sumario Suby.'!$G$2</f>
        <v>ES</v>
      </c>
      <c r="C3" s="11">
        <f>'[1]Sumario Suby.'!$E$2</f>
        <v>2163.25</v>
      </c>
      <c r="D3" s="17">
        <f>'[1]Sumario Suby.'!$B$2</f>
        <v>42641</v>
      </c>
      <c r="E3" s="21">
        <f>'[1]Sumario Suby.'!$F$2</f>
        <v>5.6788702191181203E-3</v>
      </c>
      <c r="F3" s="21">
        <f>'[1]Sumario Suby.'!$H$2</f>
        <v>0.12239519552745499</v>
      </c>
      <c r="G3" s="18">
        <f>'[1]Sumario Suby.'!$E$2-'[1]Sumario Suby.'!$D$2</f>
        <v>12.25</v>
      </c>
      <c r="H3" s="19">
        <f>VLOOKUP($B$25,'[1]Sumario Trades'!$B:$G,5)</f>
        <v>2139.5</v>
      </c>
      <c r="I3" s="21">
        <f>VLOOKUP($B$25,'[1]Sumario Trades'!$B:$AA,17)</f>
        <v>0.138311901904415</v>
      </c>
      <c r="J3" s="11">
        <f>VLOOKUP($B$25,'[1]Sumario Trades'!$B:$AA,21)</f>
        <v>1</v>
      </c>
      <c r="K3" s="27">
        <f>VLOOKUP(MAX('[1]Sumario Margin Primas'!$B:$B),'[1]Sumario Margin Primas'!$B:$H,2)- VLOOKUP(INDEX('[1]Sumario Margin Primas'!$B:$B,COUNT('[1]Sumario Margin Primas'!$B:$B)),'[1]Sumario Margin Primas'!$B:$H,2)</f>
        <v>10504.470000000001</v>
      </c>
      <c r="L3" s="27">
        <f>SUM('[1]Sumario Margin Primas'!$F$2:$F$1048576)</f>
        <v>101.25</v>
      </c>
      <c r="M3" s="27">
        <f>SUM('[1]Sumario Posiciones'!$H$2:$H$1048576)-SUM(Trades!V3:V1048576)</f>
        <v>112.69000000000005</v>
      </c>
      <c r="N3" s="22">
        <f>-O3/MAX(K3,1)</f>
        <v>0.18277933108476674</v>
      </c>
      <c r="O3" s="27">
        <f>SUM(Trades!V3:V1048576)</f>
        <v>-1920</v>
      </c>
      <c r="P3" s="21">
        <f>L3/K3</f>
        <v>9.638753787673246E-3</v>
      </c>
      <c r="Q3" s="21">
        <f>M3/K3</f>
        <v>1.0727813968719987E-2</v>
      </c>
      <c r="R3" s="29">
        <f>100%-Q3/N3</f>
        <v>0.9413072916666666</v>
      </c>
      <c r="S3" s="29">
        <f>N3-Q3</f>
        <v>0.17205151711604674</v>
      </c>
    </row>
    <row r="4" spans="2:19" x14ac:dyDescent="0.3">
      <c r="B4" s="20" t="s">
        <v>21</v>
      </c>
      <c r="C4" s="20" t="s">
        <v>24</v>
      </c>
      <c r="D4" s="20" t="s">
        <v>26</v>
      </c>
      <c r="E4" s="20" t="s">
        <v>28</v>
      </c>
      <c r="F4" s="20" t="s">
        <v>74</v>
      </c>
      <c r="G4" s="20" t="s">
        <v>75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19" x14ac:dyDescent="0.3">
      <c r="B5" s="27">
        <f>SUM(Posiciones!R3:R1048576)</f>
        <v>-24.381194839609098</v>
      </c>
      <c r="C5" s="28">
        <f>SUM(Posiciones!T3:T1048576)</f>
        <v>-1.1413709648666979</v>
      </c>
      <c r="D5" s="27">
        <f>SUM(Posiciones!V3:V1048576)</f>
        <v>63.223798304816803</v>
      </c>
      <c r="E5" s="28">
        <f>SUM(Posiciones!X3:X1048576)</f>
        <v>-544.95820244055096</v>
      </c>
      <c r="F5" s="30">
        <f>H23</f>
        <v>1.7794076849557201</v>
      </c>
      <c r="G5" s="19">
        <f>H24</f>
        <v>0.57135630299493201</v>
      </c>
      <c r="H5" s="27"/>
      <c r="I5" s="28"/>
      <c r="J5" s="27"/>
      <c r="K5" s="28"/>
      <c r="L5" s="27"/>
      <c r="M5" s="28"/>
      <c r="N5" s="27"/>
      <c r="O5" s="28"/>
      <c r="P5" s="28"/>
      <c r="Q5" s="28"/>
      <c r="R5" s="28"/>
      <c r="S5" s="28"/>
    </row>
    <row r="6" spans="2:19" x14ac:dyDescent="0.3">
      <c r="B6" s="1"/>
    </row>
    <row r="7" spans="2:19" x14ac:dyDescent="0.3">
      <c r="B7" t="s">
        <v>33</v>
      </c>
      <c r="E7" s="5"/>
      <c r="F7" s="6"/>
      <c r="G7" s="4"/>
      <c r="H7" s="4"/>
      <c r="I7" s="6"/>
    </row>
    <row r="8" spans="2:19" x14ac:dyDescent="0.3">
      <c r="B8" t="s">
        <v>36</v>
      </c>
      <c r="D8" s="3" t="s">
        <v>39</v>
      </c>
      <c r="E8" s="5"/>
      <c r="F8" s="6"/>
      <c r="G8" s="4" t="s">
        <v>44</v>
      </c>
      <c r="H8" s="4"/>
      <c r="I8" s="6"/>
    </row>
    <row r="9" spans="2:19" x14ac:dyDescent="0.3">
      <c r="B9" s="1">
        <f>MAX('[1]Sumario Trades'!$K$2:$K$1048576)</f>
        <v>52</v>
      </c>
      <c r="D9" s="12" t="s">
        <v>37</v>
      </c>
      <c r="E9" s="19">
        <f>VLOOKUP(MAX('[1]Sumario Trades'!$B:$B),'[1]Sumario Trades'!$B:$AA,24)</f>
        <v>59.988919742064702</v>
      </c>
    </row>
    <row r="10" spans="2:19" x14ac:dyDescent="0.3">
      <c r="B10" t="s">
        <v>34</v>
      </c>
      <c r="D10" s="11" t="s">
        <v>38</v>
      </c>
      <c r="E10" s="19">
        <f>C3+E9</f>
        <v>2223.2389197420648</v>
      </c>
      <c r="G10" t="s">
        <v>45</v>
      </c>
      <c r="H10" s="4">
        <f>C3-0.08*C3</f>
        <v>1990.19</v>
      </c>
      <c r="J10" t="s">
        <v>47</v>
      </c>
    </row>
    <row r="11" spans="2:19" x14ac:dyDescent="0.3">
      <c r="B11" s="7" t="s">
        <v>35</v>
      </c>
      <c r="D11" s="11" t="s">
        <v>40</v>
      </c>
      <c r="E11" s="19">
        <f>C3-E9</f>
        <v>2103.2610802579352</v>
      </c>
      <c r="G11" t="s">
        <v>46</v>
      </c>
      <c r="H11" s="4">
        <f>C3+0.06*C3</f>
        <v>2293.0450000000001</v>
      </c>
      <c r="J11" t="s">
        <v>48</v>
      </c>
    </row>
    <row r="12" spans="2:19" x14ac:dyDescent="0.3">
      <c r="B12" s="8">
        <v>69</v>
      </c>
      <c r="D12" s="12" t="s">
        <v>41</v>
      </c>
      <c r="E12" s="19">
        <f>VLOOKUP(MAX('[1]Sumario Trades'!$B:$B),'[1]Sumario Trades'!$B:$AA,25)</f>
        <v>70.979847059202797</v>
      </c>
      <c r="I12" t="s">
        <v>76</v>
      </c>
    </row>
    <row r="13" spans="2:19" x14ac:dyDescent="0.3">
      <c r="B13" s="9">
        <v>62</v>
      </c>
      <c r="D13" s="11" t="s">
        <v>42</v>
      </c>
      <c r="E13" s="19">
        <f>C3+E12</f>
        <v>2234.2298470592027</v>
      </c>
      <c r="G13" t="str">
        <f>'[1]Sumario estrategia'!A2</f>
        <v>DshortPosition</v>
      </c>
      <c r="H13" s="4">
        <f>'[1]Sumario estrategia'!B2</f>
        <v>-24.381194839609201</v>
      </c>
      <c r="I13" s="31">
        <f>H13-B5</f>
        <v>-1.0302869668521453E-13</v>
      </c>
    </row>
    <row r="14" spans="2:19" x14ac:dyDescent="0.3">
      <c r="B14" s="10">
        <v>55</v>
      </c>
      <c r="D14" s="11" t="s">
        <v>43</v>
      </c>
      <c r="E14" s="19">
        <f>C3-E12</f>
        <v>2092.2701529407973</v>
      </c>
      <c r="G14" t="str">
        <f>'[1]Sumario estrategia'!A3</f>
        <v>GammaPosition</v>
      </c>
      <c r="H14" s="4">
        <f>'[1]Sumario estrategia'!B3</f>
        <v>-1.1413709648667001</v>
      </c>
      <c r="I14" s="31">
        <f>H14-C5</f>
        <v>-2.2204460492503131E-15</v>
      </c>
    </row>
    <row r="15" spans="2:19" x14ac:dyDescent="0.3">
      <c r="B15" s="9">
        <v>48</v>
      </c>
      <c r="G15" t="str">
        <f>'[1]Sumario estrategia'!A4</f>
        <v>ThetaPosition</v>
      </c>
      <c r="H15" s="4">
        <f>'[1]Sumario estrategia'!B4</f>
        <v>63.2237983048161</v>
      </c>
      <c r="I15" s="31"/>
    </row>
    <row r="16" spans="2:19" x14ac:dyDescent="0.3">
      <c r="B16" s="8">
        <v>41</v>
      </c>
      <c r="G16" t="str">
        <f>'[1]Sumario estrategia'!A5</f>
        <v>VegaPosition</v>
      </c>
      <c r="H16" s="4">
        <f>'[1]Sumario estrategia'!B5</f>
        <v>0</v>
      </c>
      <c r="I16" s="31"/>
    </row>
    <row r="17" spans="2:9" x14ac:dyDescent="0.3">
      <c r="D17" t="str">
        <f>D13</f>
        <v>Precio suby + 1SD21D</v>
      </c>
      <c r="E17" s="4">
        <f>E13</f>
        <v>2234.2298470592027</v>
      </c>
      <c r="G17" t="str">
        <f>'[1]Sumario estrategia'!A6</f>
        <v>marketValue</v>
      </c>
      <c r="H17" s="4">
        <f>'[1]Sumario estrategia'!B6</f>
        <v>-1807.31</v>
      </c>
      <c r="I17" s="31"/>
    </row>
    <row r="18" spans="2:9" x14ac:dyDescent="0.3">
      <c r="D18" t="str">
        <f>D10</f>
        <v>Precio suby + 1SD15D</v>
      </c>
      <c r="E18" s="4">
        <f>E10</f>
        <v>2223.2389197420648</v>
      </c>
      <c r="G18" t="str">
        <f>'[1]Sumario estrategia'!A7</f>
        <v>lastUndPrice</v>
      </c>
      <c r="H18" s="4">
        <f>'[1]Sumario estrategia'!B7</f>
        <v>2163.25</v>
      </c>
      <c r="I18" s="31"/>
    </row>
    <row r="19" spans="2:9" x14ac:dyDescent="0.3">
      <c r="D19" t="str">
        <f>C2</f>
        <v>Último precio subyacente</v>
      </c>
      <c r="E19">
        <f>C3</f>
        <v>2163.25</v>
      </c>
      <c r="G19" t="str">
        <f>'[1]Sumario estrategia'!A8</f>
        <v>ImplVolATM</v>
      </c>
      <c r="H19" s="26">
        <f>'[1]Sumario estrategia'!B8</f>
        <v>0.12239519552745499</v>
      </c>
      <c r="I19" s="31"/>
    </row>
    <row r="20" spans="2:9" x14ac:dyDescent="0.3">
      <c r="D20" s="4" t="str">
        <f>D11</f>
        <v>Precio suby - 1SD15D</v>
      </c>
      <c r="E20" s="4">
        <f>E11</f>
        <v>2103.2610802579352</v>
      </c>
      <c r="G20" t="str">
        <f>'[1]Sumario estrategia'!A9</f>
        <v>multiplier</v>
      </c>
      <c r="H20" s="4">
        <f>'[1]Sumario estrategia'!B9</f>
        <v>50</v>
      </c>
      <c r="I20" s="31"/>
    </row>
    <row r="21" spans="2:9" x14ac:dyDescent="0.3">
      <c r="D21" s="4" t="str">
        <f>D14</f>
        <v>Precio suby - 1SD21D</v>
      </c>
      <c r="E21" s="4">
        <f>E14</f>
        <v>2092.2701529407973</v>
      </c>
      <c r="G21" t="str">
        <f>'[1]Sumario estrategia'!A10</f>
        <v>Pts1SD1D</v>
      </c>
      <c r="H21" s="4">
        <f>'[1]Sumario estrategia'!B10</f>
        <v>13.858768829760599</v>
      </c>
      <c r="I21" s="31"/>
    </row>
    <row r="22" spans="2:9" x14ac:dyDescent="0.3">
      <c r="G22" t="str">
        <f>'[1]Sumario estrategia'!A11</f>
        <v>Pts1SD5D</v>
      </c>
      <c r="H22" s="4">
        <f>'[1]Sumario estrategia'!B11</f>
        <v>30.989149187799999</v>
      </c>
      <c r="I22" s="31"/>
    </row>
    <row r="23" spans="2:9" x14ac:dyDescent="0.3">
      <c r="G23" t="str">
        <f>'[1]Sumario estrategia'!A12</f>
        <v>AD1PCT</v>
      </c>
      <c r="H23" s="4">
        <f>'[1]Sumario estrategia'!B12</f>
        <v>1.7794076849557201</v>
      </c>
      <c r="I23" s="31"/>
    </row>
    <row r="24" spans="2:9" x14ac:dyDescent="0.3">
      <c r="B24" t="s">
        <v>52</v>
      </c>
      <c r="G24" t="str">
        <f>'[1]Sumario estrategia'!A13</f>
        <v>AD1SD1D</v>
      </c>
      <c r="H24" s="4">
        <f>'[1]Sumario estrategia'!B13</f>
        <v>0.57135630299493201</v>
      </c>
      <c r="I24" s="31"/>
    </row>
    <row r="25" spans="2:9" x14ac:dyDescent="0.3">
      <c r="B25" s="23">
        <v>42639.864583333336</v>
      </c>
      <c r="G25" t="str">
        <f>'[1]Sumario estrategia'!A14</f>
        <v>MaxDsAD1PCT</v>
      </c>
      <c r="H25" s="4">
        <f>'[1]Sumario estrategia'!B14</f>
        <v>41.105579759619602</v>
      </c>
      <c r="I25" s="31"/>
    </row>
    <row r="26" spans="2:9" x14ac:dyDescent="0.3">
      <c r="G26" t="str">
        <f>'[1]Sumario estrategia'!A15</f>
        <v>MaxDsAD1SD1D</v>
      </c>
      <c r="H26" s="4">
        <f>'[1]Sumario estrategia'!B15</f>
        <v>128.01746324565599</v>
      </c>
      <c r="I26" s="31"/>
    </row>
    <row r="27" spans="2:9" x14ac:dyDescent="0.3">
      <c r="G27" t="str">
        <f>'[1]Sumario estrategia'!A16</f>
        <v>MaxDs</v>
      </c>
      <c r="H27" s="4">
        <f>'[1]Sumario estrategia'!B16</f>
        <v>81.637958890720697</v>
      </c>
      <c r="I27" s="31"/>
    </row>
    <row r="28" spans="2:9" x14ac:dyDescent="0.3">
      <c r="G28" t="str">
        <f>'[1]Sumario estrategia'!A17</f>
        <v>thetaDeltaRatio</v>
      </c>
      <c r="H28" s="4">
        <f>'[1]Sumario estrategia'!B17</f>
        <v>2.59313781464492</v>
      </c>
      <c r="I28" s="31"/>
    </row>
    <row r="29" spans="2:9" x14ac:dyDescent="0.3">
      <c r="G29" t="str">
        <f>'[1]Sumario estrategia'!A18</f>
        <v>thetaGammaRatio</v>
      </c>
      <c r="H29" s="4">
        <f>'[1]Sumario estrategia'!B18</f>
        <v>55.392856705619899</v>
      </c>
      <c r="I29" s="31"/>
    </row>
    <row r="30" spans="2:9" x14ac:dyDescent="0.3">
      <c r="G30" t="str">
        <f>'[1]Sumario estrategia'!A19</f>
        <v>VegaThetaRatio</v>
      </c>
      <c r="H30" s="4">
        <f>'[1]Sumario estrategia'!B19</f>
        <v>0</v>
      </c>
      <c r="I30" s="3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"/>
  <sheetViews>
    <sheetView workbookViewId="0">
      <selection activeCell="B2" sqref="B2"/>
    </sheetView>
  </sheetViews>
  <sheetFormatPr baseColWidth="10" defaultRowHeight="14.4" x14ac:dyDescent="0.3"/>
  <cols>
    <col min="1" max="1" width="3.44140625" customWidth="1"/>
    <col min="2" max="2" width="19.88671875" customWidth="1"/>
    <col min="3" max="3" width="7.6640625" bestFit="1" customWidth="1"/>
    <col min="4" max="4" width="5" bestFit="1" customWidth="1"/>
    <col min="5" max="5" width="6" bestFit="1" customWidth="1"/>
    <col min="6" max="6" width="5" bestFit="1" customWidth="1"/>
    <col min="7" max="7" width="14.21875" bestFit="1" customWidth="1"/>
    <col min="8" max="8" width="8.77734375" bestFit="1" customWidth="1"/>
    <col min="9" max="9" width="15.109375" bestFit="1" customWidth="1"/>
    <col min="10" max="10" width="10.6640625" bestFit="1" customWidth="1"/>
    <col min="11" max="11" width="10" bestFit="1" customWidth="1"/>
    <col min="12" max="12" width="10" customWidth="1"/>
    <col min="13" max="15" width="8" bestFit="1" customWidth="1"/>
    <col min="16" max="16" width="9.44140625" style="26" customWidth="1"/>
    <col min="17" max="17" width="9.44140625" customWidth="1"/>
    <col min="18" max="18" width="13.21875" bestFit="1" customWidth="1"/>
    <col min="19" max="19" width="7.33203125" bestFit="1" customWidth="1"/>
    <col min="20" max="20" width="14" bestFit="1" customWidth="1"/>
    <col min="21" max="21" width="6.21875" bestFit="1" customWidth="1"/>
    <col min="22" max="22" width="13.5546875" bestFit="1" customWidth="1"/>
    <col min="23" max="23" width="8.21875" bestFit="1" customWidth="1"/>
    <col min="24" max="24" width="11.5546875" bestFit="1" customWidth="1"/>
  </cols>
  <sheetData>
    <row r="1" spans="2:24" x14ac:dyDescent="0.3">
      <c r="P1"/>
    </row>
    <row r="2" spans="2:24" ht="32.4" customHeight="1" x14ac:dyDescent="0.3"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15</v>
      </c>
      <c r="H2" s="12" t="s">
        <v>14</v>
      </c>
      <c r="I2" s="12" t="s">
        <v>13</v>
      </c>
      <c r="J2" s="12" t="s">
        <v>17</v>
      </c>
      <c r="K2" s="15" t="s">
        <v>50</v>
      </c>
      <c r="L2" s="12" t="s">
        <v>16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2" t="s">
        <v>26</v>
      </c>
      <c r="V2" s="12" t="s">
        <v>27</v>
      </c>
      <c r="W2" s="12" t="s">
        <v>28</v>
      </c>
      <c r="X2" s="12" t="s">
        <v>29</v>
      </c>
    </row>
    <row r="3" spans="2:24" x14ac:dyDescent="0.3">
      <c r="B3" s="11" t="str">
        <f>'[1]Sumario Posiciones'!B2</f>
        <v>EW3X6 P1950</v>
      </c>
      <c r="C3" s="11">
        <f>'[1]Sumario Posiciones'!D2</f>
        <v>12</v>
      </c>
      <c r="D3" s="11">
        <f>MAX('[1]Sumario Posiciones'!E2,0)</f>
        <v>5.5</v>
      </c>
      <c r="E3" s="11">
        <f>MAX('[1]Sumario Posiciones'!Y2,0)</f>
        <v>5.75</v>
      </c>
      <c r="F3" s="11">
        <f>MAX('[1]Sumario Posiciones'!F2,0)</f>
        <v>6</v>
      </c>
      <c r="G3" s="11">
        <f>'[1]Sumario Posiciones'!H2</f>
        <v>3516.49</v>
      </c>
      <c r="H3" s="11">
        <f>'[1]Sumario Posiciones'!J2</f>
        <v>50</v>
      </c>
      <c r="I3" s="11">
        <f>H3*C3*E3</f>
        <v>3450</v>
      </c>
      <c r="J3" s="11">
        <f>E3*SIGN(C3)</f>
        <v>5.75</v>
      </c>
      <c r="K3" s="11">
        <f>'[1]Sumario Posiciones'!AA2</f>
        <v>9.2782</v>
      </c>
      <c r="L3" s="11">
        <f>ABS(K3)*H3*C3</f>
        <v>5566.92</v>
      </c>
      <c r="M3" s="13">
        <f>J3/K3</f>
        <v>0.61973227565691624</v>
      </c>
      <c r="N3" s="13">
        <f>K3/J3</f>
        <v>1.6135999999999999</v>
      </c>
      <c r="O3" s="13">
        <f>-1/K3</f>
        <v>-0.10777952620120282</v>
      </c>
      <c r="P3" s="21">
        <f>'[1]Sumario Posiciones'!K2</f>
        <v>-7.4829141039335606E-2</v>
      </c>
      <c r="Q3" s="13">
        <f>ABS('[1]Sumario Posiciones'!AB2)</f>
        <v>3.7414570519667798</v>
      </c>
      <c r="R3" s="13">
        <f>'[1]Sumario Posiciones'!AC2</f>
        <v>-44.897484623601301</v>
      </c>
      <c r="S3" s="13">
        <f>'[1]Sumario Posiciones'!L2</f>
        <v>8.8480930333161695E-4</v>
      </c>
      <c r="T3" s="13">
        <f>'[1]Sumario Posiciones'!AD2</f>
        <v>0.53088558199896996</v>
      </c>
      <c r="U3" s="13">
        <f>'[1]Sumario Posiciones'!M2</f>
        <v>-0.22100868082484901</v>
      </c>
      <c r="V3" s="13">
        <f>'[1]Sumario Posiciones'!AE2</f>
        <v>-132.60520849490899</v>
      </c>
      <c r="W3" s="13" t="e">
        <f>'[1]Sumario Posiciones'!N2</f>
        <v>#NULL!</v>
      </c>
      <c r="X3" s="13" t="str">
        <f>'[1]Sumario Posiciones'!AF2</f>
        <v>inf</v>
      </c>
    </row>
    <row r="4" spans="2:24" x14ac:dyDescent="0.3">
      <c r="B4" s="11" t="str">
        <f>'[1]Sumario Posiciones'!B3</f>
        <v>EW3X6 P1975</v>
      </c>
      <c r="C4" s="11">
        <f>'[1]Sumario Posiciones'!D3</f>
        <v>-12</v>
      </c>
      <c r="D4" s="11">
        <f>MAX('[1]Sumario Posiciones'!E3,0)</f>
        <v>7</v>
      </c>
      <c r="E4" s="11">
        <f>MAX('[1]Sumario Posiciones'!Y3,0)</f>
        <v>7.25</v>
      </c>
      <c r="F4" s="11">
        <f>MAX('[1]Sumario Posiciones'!F3,0)</f>
        <v>7.5</v>
      </c>
      <c r="G4" s="11">
        <f>'[1]Sumario Posiciones'!H3</f>
        <v>-4394.37</v>
      </c>
      <c r="H4" s="11">
        <f>'[1]Sumario Posiciones'!J3</f>
        <v>50</v>
      </c>
      <c r="I4" s="11">
        <f t="shared" ref="I4:I6" si="0">H4*C4*E4</f>
        <v>-4350</v>
      </c>
      <c r="J4" s="11">
        <f t="shared" ref="J4:J12" si="1">E4*SIGN(C4)</f>
        <v>-7.25</v>
      </c>
      <c r="K4" s="11">
        <f>'[1]Sumario Posiciones'!AA3</f>
        <v>-11.3218</v>
      </c>
      <c r="L4" s="11">
        <f t="shared" ref="L4:L12" si="2">ABS(K4)*H4*C4</f>
        <v>-6793.08</v>
      </c>
      <c r="M4" s="13">
        <f>J4/K4</f>
        <v>0.64035754032044379</v>
      </c>
      <c r="N4" s="13">
        <f t="shared" ref="N4:N12" si="3">K4/J4</f>
        <v>1.5616275862068965</v>
      </c>
      <c r="O4" s="13">
        <f t="shared" ref="O4:O12" si="4">-1/K4</f>
        <v>8.8325177975233621E-2</v>
      </c>
      <c r="P4" s="21">
        <f>'[1]Sumario Posiciones'!K3</f>
        <v>-9.4418807261614293E-2</v>
      </c>
      <c r="Q4" s="13">
        <f>ABS('[1]Sumario Posiciones'!AB3)</f>
        <v>4.7209403630807198</v>
      </c>
      <c r="R4" s="13">
        <f>'[1]Sumario Posiciones'!AC3</f>
        <v>56.651284356968603</v>
      </c>
      <c r="S4" s="13">
        <f>'[1]Sumario Posiciones'!L3</f>
        <v>1.0937453970960101E-3</v>
      </c>
      <c r="T4" s="13">
        <f>'[1]Sumario Posiciones'!AD3</f>
        <v>-0.656247238257604</v>
      </c>
      <c r="U4" s="13">
        <f>'[1]Sumario Posiciones'!M3</f>
        <v>-0.253474224325481</v>
      </c>
      <c r="V4" s="13">
        <f>'[1]Sumario Posiciones'!AE3</f>
        <v>152.084534595289</v>
      </c>
      <c r="W4" s="13" t="e">
        <f>'[1]Sumario Posiciones'!N3</f>
        <v>#NULL!</v>
      </c>
      <c r="X4" s="13" t="str">
        <f>'[1]Sumario Posiciones'!AF3</f>
        <v>-inf</v>
      </c>
    </row>
    <row r="5" spans="2:24" x14ac:dyDescent="0.3">
      <c r="B5" s="11" t="str">
        <f>'[1]Sumario Posiciones'!B4</f>
        <v>EW3X6 C2275</v>
      </c>
      <c r="C5" s="11">
        <f>'[1]Sumario Posiciones'!D4</f>
        <v>-24</v>
      </c>
      <c r="D5" s="11">
        <f>MAX('[1]Sumario Posiciones'!E4,0)</f>
        <v>1.2</v>
      </c>
      <c r="E5" s="11">
        <f>MAX('[1]Sumario Posiciones'!Y4,0)</f>
        <v>1.25</v>
      </c>
      <c r="F5" s="11">
        <f>MAX('[1]Sumario Posiciones'!F4,0)</f>
        <v>1.3</v>
      </c>
      <c r="G5" s="11">
        <f>'[1]Sumario Posiciones'!H4</f>
        <v>-1580.28</v>
      </c>
      <c r="H5" s="11">
        <f>'[1]Sumario Posiciones'!J4</f>
        <v>50</v>
      </c>
      <c r="I5" s="11">
        <f t="shared" si="0"/>
        <v>-1500</v>
      </c>
      <c r="J5" s="11">
        <f t="shared" si="1"/>
        <v>-1.25</v>
      </c>
      <c r="K5" s="11">
        <f>'[1]Sumario Posiciones'!AA4</f>
        <v>-0.9718</v>
      </c>
      <c r="L5" s="11">
        <f t="shared" si="2"/>
        <v>-1166.1600000000001</v>
      </c>
      <c r="M5" s="13">
        <f>J5/K5</f>
        <v>1.2862728956575427</v>
      </c>
      <c r="N5" s="13">
        <f t="shared" si="3"/>
        <v>0.77744000000000002</v>
      </c>
      <c r="O5" s="13">
        <f t="shared" si="4"/>
        <v>1.0290183165260343</v>
      </c>
      <c r="P5" s="21">
        <f>'[1]Sumario Posiciones'!K4</f>
        <v>4.7095883882292099E-2</v>
      </c>
      <c r="Q5" s="13">
        <f>ABS('[1]Sumario Posiciones'!AB4)</f>
        <v>2.3547941941146102</v>
      </c>
      <c r="R5" s="13">
        <f>'[1]Sumario Posiciones'!AC4</f>
        <v>-56.5150606587505</v>
      </c>
      <c r="S5" s="13">
        <f>'[1]Sumario Posiciones'!L4</f>
        <v>1.52573167179563E-3</v>
      </c>
      <c r="T5" s="13">
        <f>'[1]Sumario Posiciones'!AD4</f>
        <v>-1.83087800615476</v>
      </c>
      <c r="U5" s="13">
        <f>'[1]Sumario Posiciones'!M4</f>
        <v>-6.2046147858715602E-2</v>
      </c>
      <c r="V5" s="13">
        <f>'[1]Sumario Posiciones'!AE4</f>
        <v>74.455377430458697</v>
      </c>
      <c r="W5" s="13">
        <f>'[1]Sumario Posiciones'!N4</f>
        <v>0.79455629687967699</v>
      </c>
      <c r="X5" s="13">
        <f>'[1]Sumario Posiciones'!AF4</f>
        <v>-953.46755625561195</v>
      </c>
    </row>
    <row r="6" spans="2:24" x14ac:dyDescent="0.3">
      <c r="B6" s="11" t="str">
        <f>'[1]Sumario Posiciones'!B5</f>
        <v>EW3X6 C2300</v>
      </c>
      <c r="C6" s="11">
        <f>'[1]Sumario Posiciones'!D5</f>
        <v>24</v>
      </c>
      <c r="D6" s="11">
        <f>MAX('[1]Sumario Posiciones'!E5,0)</f>
        <v>0.5</v>
      </c>
      <c r="E6" s="11">
        <f>MAX('[1]Sumario Posiciones'!Y5,0)</f>
        <v>0.55000000000000004</v>
      </c>
      <c r="F6" s="11">
        <f>MAX('[1]Sumario Posiciones'!F5,0)</f>
        <v>0.6</v>
      </c>
      <c r="G6" s="11">
        <f>'[1]Sumario Posiciones'!H5</f>
        <v>650.85</v>
      </c>
      <c r="H6" s="11">
        <f>'[1]Sumario Posiciones'!J5</f>
        <v>50</v>
      </c>
      <c r="I6" s="11">
        <f t="shared" si="0"/>
        <v>660</v>
      </c>
      <c r="J6" s="11">
        <f t="shared" si="1"/>
        <v>0.55000000000000004</v>
      </c>
      <c r="K6" s="11">
        <f>'[1]Sumario Posiciones'!AA5</f>
        <v>0.47820000000000001</v>
      </c>
      <c r="L6" s="11">
        <f t="shared" si="2"/>
        <v>573.84</v>
      </c>
      <c r="M6" s="13">
        <f>J6/K6</f>
        <v>1.1501463822668341</v>
      </c>
      <c r="N6" s="13">
        <f t="shared" si="3"/>
        <v>0.86945454545454537</v>
      </c>
      <c r="O6" s="13">
        <f t="shared" si="4"/>
        <v>-2.0911752404851525</v>
      </c>
      <c r="P6" s="21">
        <f>'[1]Sumario Posiciones'!K5</f>
        <v>1.69833884048117E-2</v>
      </c>
      <c r="Q6" s="13">
        <f>ABS('[1]Sumario Posiciones'!AB5)</f>
        <v>0.84916942024058595</v>
      </c>
      <c r="R6" s="13">
        <f>'[1]Sumario Posiciones'!AC5</f>
        <v>20.3800660857741</v>
      </c>
      <c r="S6" s="13">
        <f>'[1]Sumario Posiciones'!L5</f>
        <v>6.7905724795557995E-4</v>
      </c>
      <c r="T6" s="13">
        <f>'[1]Sumario Posiciones'!AD5</f>
        <v>0.814868697546696</v>
      </c>
      <c r="U6" s="13">
        <f>'[1]Sumario Posiciones'!M5</f>
        <v>-2.5592421021684901E-2</v>
      </c>
      <c r="V6" s="13">
        <f>'[1]Sumario Posiciones'!AE5</f>
        <v>-30.7109052260219</v>
      </c>
      <c r="W6" s="13">
        <f>'[1]Sumario Posiciones'!N5</f>
        <v>0.34042446151255101</v>
      </c>
      <c r="X6" s="13">
        <f>'[1]Sumario Posiciones'!AF5</f>
        <v>408.50935381506099</v>
      </c>
    </row>
    <row r="7" spans="2:24" x14ac:dyDescent="0.3">
      <c r="B7" s="11">
        <f>'[1]Sumario Posiciones'!B6</f>
        <v>0</v>
      </c>
      <c r="C7" s="11">
        <f>'[1]Sumario Posiciones'!D6</f>
        <v>0</v>
      </c>
      <c r="D7" s="11">
        <f>MAX('[1]Sumario Posiciones'!E6,0)</f>
        <v>0</v>
      </c>
      <c r="E7" s="11">
        <f>MAX('[1]Sumario Posiciones'!Y6,0)</f>
        <v>0</v>
      </c>
      <c r="F7" s="11">
        <f>MAX('[1]Sumario Posiciones'!F6,0)</f>
        <v>0</v>
      </c>
      <c r="G7" s="11">
        <f>'[1]Sumario Posiciones'!H6</f>
        <v>0</v>
      </c>
      <c r="H7" s="11">
        <f>'[1]Sumario Posiciones'!J6</f>
        <v>0</v>
      </c>
      <c r="I7" s="11">
        <f t="shared" ref="I7:I12" si="5">H7*C7*E7</f>
        <v>0</v>
      </c>
      <c r="J7" s="11">
        <f t="shared" si="1"/>
        <v>0</v>
      </c>
      <c r="K7" s="11">
        <f>'[1]Sumario Posiciones'!AA6</f>
        <v>0</v>
      </c>
      <c r="L7" s="11">
        <f t="shared" si="2"/>
        <v>0</v>
      </c>
      <c r="M7" s="13" t="e">
        <f t="shared" ref="M7:M12" si="6">J7/K7</f>
        <v>#DIV/0!</v>
      </c>
      <c r="N7" s="13" t="e">
        <f t="shared" si="3"/>
        <v>#DIV/0!</v>
      </c>
      <c r="O7" s="13" t="e">
        <f t="shared" si="4"/>
        <v>#DIV/0!</v>
      </c>
      <c r="P7" s="21">
        <f>'[1]Sumario Posiciones'!K6</f>
        <v>0</v>
      </c>
      <c r="Q7" s="13">
        <f>ABS('[1]Sumario Posiciones'!AB6)</f>
        <v>0</v>
      </c>
      <c r="R7" s="13">
        <f>'[1]Sumario Posiciones'!AC6</f>
        <v>0</v>
      </c>
      <c r="S7" s="13">
        <f>'[1]Sumario Posiciones'!L6</f>
        <v>0</v>
      </c>
      <c r="T7" s="13">
        <f>'[1]Sumario Posiciones'!AD6</f>
        <v>0</v>
      </c>
      <c r="U7" s="13">
        <f>'[1]Sumario Posiciones'!M6</f>
        <v>0</v>
      </c>
      <c r="V7" s="13">
        <f>'[1]Sumario Posiciones'!AE6</f>
        <v>0</v>
      </c>
      <c r="W7" s="13">
        <f>'[1]Sumario Posiciones'!N6</f>
        <v>0</v>
      </c>
      <c r="X7" s="13">
        <f>'[1]Sumario Posiciones'!AF6</f>
        <v>0</v>
      </c>
    </row>
    <row r="8" spans="2:24" x14ac:dyDescent="0.3">
      <c r="B8">
        <f>'[1]Sumario Posiciones'!B7</f>
        <v>0</v>
      </c>
      <c r="C8">
        <f>'[1]Sumario Posiciones'!D7</f>
        <v>0</v>
      </c>
      <c r="D8" s="11">
        <f>MAX('[1]Sumario Posiciones'!E7,0)</f>
        <v>0</v>
      </c>
      <c r="E8" s="11">
        <f>MAX('[1]Sumario Posiciones'!Y7,0)</f>
        <v>0</v>
      </c>
      <c r="F8" s="11">
        <f>MAX('[1]Sumario Posiciones'!F7,0)</f>
        <v>0</v>
      </c>
      <c r="G8">
        <f>'[1]Sumario Posiciones'!H7</f>
        <v>0</v>
      </c>
      <c r="H8">
        <f>'[1]Sumario Posiciones'!J7</f>
        <v>0</v>
      </c>
      <c r="I8">
        <f t="shared" si="5"/>
        <v>0</v>
      </c>
      <c r="J8">
        <f t="shared" si="1"/>
        <v>0</v>
      </c>
      <c r="K8">
        <f>'[1]Sumario Posiciones'!AA7</f>
        <v>0</v>
      </c>
      <c r="L8" s="11">
        <f t="shared" si="2"/>
        <v>0</v>
      </c>
      <c r="M8" s="14" t="e">
        <f t="shared" si="6"/>
        <v>#DIV/0!</v>
      </c>
      <c r="N8" s="14" t="e">
        <f t="shared" si="3"/>
        <v>#DIV/0!</v>
      </c>
      <c r="O8" s="14" t="e">
        <f t="shared" si="4"/>
        <v>#DIV/0!</v>
      </c>
      <c r="P8" s="26">
        <f>'[1]Sumario Posiciones'!K7</f>
        <v>0</v>
      </c>
      <c r="Q8" s="14">
        <f>ABS('[1]Sumario Posiciones'!AB7)</f>
        <v>0</v>
      </c>
      <c r="R8" s="14">
        <f>'[1]Sumario Posiciones'!AC7</f>
        <v>0</v>
      </c>
      <c r="S8" s="14">
        <f>'[1]Sumario Posiciones'!L7</f>
        <v>0</v>
      </c>
      <c r="T8" s="14">
        <f>'[1]Sumario Posiciones'!AD7</f>
        <v>0</v>
      </c>
      <c r="U8" s="14">
        <f>'[1]Sumario Posiciones'!M7</f>
        <v>0</v>
      </c>
      <c r="V8" s="14">
        <f>'[1]Sumario Posiciones'!AE7</f>
        <v>0</v>
      </c>
      <c r="W8" s="14">
        <f>'[1]Sumario Posiciones'!N7</f>
        <v>0</v>
      </c>
      <c r="X8" s="14">
        <f>'[1]Sumario Posiciones'!AF7</f>
        <v>0</v>
      </c>
    </row>
    <row r="9" spans="2:24" x14ac:dyDescent="0.3">
      <c r="B9">
        <f>'[1]Sumario Posiciones'!B8</f>
        <v>0</v>
      </c>
      <c r="C9">
        <f>'[1]Sumario Posiciones'!D8</f>
        <v>0</v>
      </c>
      <c r="D9" s="11">
        <f>MAX('[1]Sumario Posiciones'!E8,0)</f>
        <v>0</v>
      </c>
      <c r="E9" s="11">
        <f>MAX('[1]Sumario Posiciones'!Y8,0)</f>
        <v>0</v>
      </c>
      <c r="F9" s="11">
        <f>MAX('[1]Sumario Posiciones'!F8,0)</f>
        <v>0</v>
      </c>
      <c r="G9">
        <f>'[1]Sumario Posiciones'!H8</f>
        <v>0</v>
      </c>
      <c r="H9">
        <f>'[1]Sumario Posiciones'!J8</f>
        <v>0</v>
      </c>
      <c r="I9">
        <f t="shared" si="5"/>
        <v>0</v>
      </c>
      <c r="J9">
        <f t="shared" si="1"/>
        <v>0</v>
      </c>
      <c r="K9">
        <f>'[1]Sumario Posiciones'!AA8</f>
        <v>0</v>
      </c>
      <c r="L9" s="11">
        <f t="shared" si="2"/>
        <v>0</v>
      </c>
      <c r="M9" s="14" t="e">
        <f t="shared" si="6"/>
        <v>#DIV/0!</v>
      </c>
      <c r="N9" s="14" t="e">
        <f t="shared" si="3"/>
        <v>#DIV/0!</v>
      </c>
      <c r="O9" s="14" t="e">
        <f t="shared" si="4"/>
        <v>#DIV/0!</v>
      </c>
      <c r="P9" s="26">
        <f>'[1]Sumario Posiciones'!K8</f>
        <v>0</v>
      </c>
      <c r="Q9" s="14">
        <f>ABS('[1]Sumario Posiciones'!AB8)</f>
        <v>0</v>
      </c>
      <c r="R9" s="14">
        <f>'[1]Sumario Posiciones'!AC8</f>
        <v>0</v>
      </c>
      <c r="S9" s="14">
        <f>'[1]Sumario Posiciones'!L8</f>
        <v>0</v>
      </c>
      <c r="T9" s="14">
        <f>'[1]Sumario Posiciones'!AD8</f>
        <v>0</v>
      </c>
      <c r="U9" s="14">
        <f>'[1]Sumario Posiciones'!M8</f>
        <v>0</v>
      </c>
      <c r="V9" s="14">
        <f>'[1]Sumario Posiciones'!AE8</f>
        <v>0</v>
      </c>
      <c r="W9" s="14">
        <f>'[1]Sumario Posiciones'!N8</f>
        <v>0</v>
      </c>
      <c r="X9" s="14">
        <f>'[1]Sumario Posiciones'!AF8</f>
        <v>0</v>
      </c>
    </row>
    <row r="10" spans="2:24" x14ac:dyDescent="0.3">
      <c r="B10">
        <f>'[1]Sumario Posiciones'!B9</f>
        <v>0</v>
      </c>
      <c r="C10">
        <f>'[1]Sumario Posiciones'!D9</f>
        <v>0</v>
      </c>
      <c r="D10" s="11">
        <f>MAX('[1]Sumario Posiciones'!E9,0)</f>
        <v>0</v>
      </c>
      <c r="E10" s="11">
        <f>MAX('[1]Sumario Posiciones'!Y9,0)</f>
        <v>0</v>
      </c>
      <c r="F10" s="11">
        <f>MAX('[1]Sumario Posiciones'!F9,0)</f>
        <v>0</v>
      </c>
      <c r="G10">
        <f>'[1]Sumario Posiciones'!H9</f>
        <v>0</v>
      </c>
      <c r="H10">
        <f>'[1]Sumario Posiciones'!J9</f>
        <v>0</v>
      </c>
      <c r="I10">
        <f t="shared" si="5"/>
        <v>0</v>
      </c>
      <c r="J10">
        <f t="shared" si="1"/>
        <v>0</v>
      </c>
      <c r="K10">
        <f>'[1]Sumario Posiciones'!AA9</f>
        <v>0</v>
      </c>
      <c r="L10" s="11">
        <f t="shared" si="2"/>
        <v>0</v>
      </c>
      <c r="M10" s="14" t="e">
        <f t="shared" si="6"/>
        <v>#DIV/0!</v>
      </c>
      <c r="N10" s="14" t="e">
        <f t="shared" si="3"/>
        <v>#DIV/0!</v>
      </c>
      <c r="O10" s="14" t="e">
        <f t="shared" si="4"/>
        <v>#DIV/0!</v>
      </c>
      <c r="P10" s="26">
        <f>'[1]Sumario Posiciones'!K9</f>
        <v>0</v>
      </c>
      <c r="Q10" s="14">
        <f>ABS('[1]Sumario Posiciones'!AB9)</f>
        <v>0</v>
      </c>
      <c r="R10" s="14">
        <f>'[1]Sumario Posiciones'!AC9</f>
        <v>0</v>
      </c>
      <c r="S10" s="14">
        <f>'[1]Sumario Posiciones'!L9</f>
        <v>0</v>
      </c>
      <c r="T10" s="14">
        <f>'[1]Sumario Posiciones'!AD9</f>
        <v>0</v>
      </c>
      <c r="U10" s="14">
        <f>'[1]Sumario Posiciones'!M9</f>
        <v>0</v>
      </c>
      <c r="V10" s="14">
        <f>'[1]Sumario Posiciones'!AE9</f>
        <v>0</v>
      </c>
      <c r="W10" s="14">
        <f>'[1]Sumario Posiciones'!N9</f>
        <v>0</v>
      </c>
      <c r="X10" s="14">
        <f>'[1]Sumario Posiciones'!AF9</f>
        <v>0</v>
      </c>
    </row>
    <row r="11" spans="2:24" x14ac:dyDescent="0.3">
      <c r="B11">
        <f>'[1]Sumario Posiciones'!B10</f>
        <v>0</v>
      </c>
      <c r="C11">
        <f>'[1]Sumario Posiciones'!D10</f>
        <v>0</v>
      </c>
      <c r="D11" s="11">
        <f>MAX('[1]Sumario Posiciones'!E10,0)</f>
        <v>0</v>
      </c>
      <c r="E11" s="11">
        <f>MAX('[1]Sumario Posiciones'!Y10,0)</f>
        <v>0</v>
      </c>
      <c r="F11" s="11">
        <f>MAX('[1]Sumario Posiciones'!F10,0)</f>
        <v>0</v>
      </c>
      <c r="G11">
        <f>'[1]Sumario Posiciones'!H10</f>
        <v>0</v>
      </c>
      <c r="H11">
        <f>'[1]Sumario Posiciones'!J10</f>
        <v>0</v>
      </c>
      <c r="I11">
        <f t="shared" si="5"/>
        <v>0</v>
      </c>
      <c r="J11">
        <f t="shared" si="1"/>
        <v>0</v>
      </c>
      <c r="K11">
        <f>'[1]Sumario Posiciones'!AA10</f>
        <v>0</v>
      </c>
      <c r="L11" s="11">
        <f t="shared" si="2"/>
        <v>0</v>
      </c>
      <c r="M11" s="14" t="e">
        <f t="shared" si="6"/>
        <v>#DIV/0!</v>
      </c>
      <c r="N11" s="14" t="e">
        <f t="shared" si="3"/>
        <v>#DIV/0!</v>
      </c>
      <c r="O11" s="14" t="e">
        <f t="shared" si="4"/>
        <v>#DIV/0!</v>
      </c>
      <c r="P11" s="26">
        <f>'[1]Sumario Posiciones'!K10</f>
        <v>0</v>
      </c>
      <c r="Q11" s="14">
        <f>ABS('[1]Sumario Posiciones'!AB10)</f>
        <v>0</v>
      </c>
      <c r="R11" s="14">
        <f>'[1]Sumario Posiciones'!AC10</f>
        <v>0</v>
      </c>
      <c r="S11" s="14">
        <f>'[1]Sumario Posiciones'!L10</f>
        <v>0</v>
      </c>
      <c r="T11" s="14">
        <f>'[1]Sumario Posiciones'!AD10</f>
        <v>0</v>
      </c>
      <c r="U11" s="14">
        <f>'[1]Sumario Posiciones'!M10</f>
        <v>0</v>
      </c>
      <c r="V11" s="14">
        <f>'[1]Sumario Posiciones'!AE10</f>
        <v>0</v>
      </c>
      <c r="W11" s="14">
        <f>'[1]Sumario Posiciones'!N10</f>
        <v>0</v>
      </c>
      <c r="X11" s="14">
        <f>'[1]Sumario Posiciones'!AF10</f>
        <v>0</v>
      </c>
    </row>
    <row r="12" spans="2:24" x14ac:dyDescent="0.3">
      <c r="B12">
        <f>'[1]Sumario Posiciones'!B11</f>
        <v>0</v>
      </c>
      <c r="C12">
        <f>'[1]Sumario Posiciones'!D11</f>
        <v>0</v>
      </c>
      <c r="D12" s="11">
        <f>MAX('[1]Sumario Posiciones'!E11,0)</f>
        <v>0</v>
      </c>
      <c r="E12" s="11">
        <f>MAX('[1]Sumario Posiciones'!Y11,0)</f>
        <v>0</v>
      </c>
      <c r="F12" s="11">
        <f>MAX('[1]Sumario Posiciones'!F11,0)</f>
        <v>0</v>
      </c>
      <c r="G12">
        <f>'[1]Sumario Posiciones'!H11</f>
        <v>0</v>
      </c>
      <c r="H12">
        <f>'[1]Sumario Posiciones'!J11</f>
        <v>0</v>
      </c>
      <c r="I12">
        <f t="shared" si="5"/>
        <v>0</v>
      </c>
      <c r="J12">
        <f t="shared" si="1"/>
        <v>0</v>
      </c>
      <c r="K12">
        <f>'[1]Sumario Posiciones'!AA11</f>
        <v>0</v>
      </c>
      <c r="L12" s="11">
        <f t="shared" si="2"/>
        <v>0</v>
      </c>
      <c r="M12" s="14" t="e">
        <f t="shared" si="6"/>
        <v>#DIV/0!</v>
      </c>
      <c r="N12" s="14" t="e">
        <f t="shared" si="3"/>
        <v>#DIV/0!</v>
      </c>
      <c r="O12" s="14" t="e">
        <f t="shared" si="4"/>
        <v>#DIV/0!</v>
      </c>
      <c r="P12" s="26">
        <f>'[1]Sumario Posiciones'!K11</f>
        <v>0</v>
      </c>
      <c r="Q12" s="14">
        <f>ABS('[1]Sumario Posiciones'!AB11)</f>
        <v>0</v>
      </c>
      <c r="R12" s="14">
        <f>'[1]Sumario Posiciones'!AC11</f>
        <v>0</v>
      </c>
      <c r="S12" s="14">
        <f>'[1]Sumario Posiciones'!L11</f>
        <v>0</v>
      </c>
      <c r="T12" s="14">
        <f>'[1]Sumario Posiciones'!AD11</f>
        <v>0</v>
      </c>
      <c r="U12" s="14">
        <f>'[1]Sumario Posiciones'!M11</f>
        <v>0</v>
      </c>
      <c r="V12" s="14">
        <f>'[1]Sumario Posiciones'!AE11</f>
        <v>0</v>
      </c>
      <c r="W12" s="14">
        <f>'[1]Sumario Posiciones'!N11</f>
        <v>0</v>
      </c>
      <c r="X12" s="14">
        <f>'[1]Sumario Posiciones'!AF11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J1" workbookViewId="0">
      <selection activeCell="V5" sqref="V5"/>
    </sheetView>
  </sheetViews>
  <sheetFormatPr baseColWidth="10" defaultRowHeight="14.4" x14ac:dyDescent="0.3"/>
  <cols>
    <col min="1" max="1" width="4.5546875" customWidth="1"/>
    <col min="2" max="3" width="20.44140625" customWidth="1"/>
    <col min="4" max="4" width="27.44140625" style="25" bestFit="1" customWidth="1"/>
    <col min="5" max="5" width="18" style="25" bestFit="1" customWidth="1"/>
    <col min="6" max="18" width="11.5546875" style="25"/>
    <col min="19" max="19" width="18.6640625" style="25" bestFit="1" customWidth="1"/>
    <col min="20" max="16384" width="11.5546875" style="25"/>
  </cols>
  <sheetData>
    <row r="1" spans="2:28" customFormat="1" x14ac:dyDescent="0.3"/>
    <row r="2" spans="2:28" customFormat="1" x14ac:dyDescent="0.3">
      <c r="B2" s="12" t="s">
        <v>8</v>
      </c>
      <c r="C2" s="12" t="s">
        <v>69</v>
      </c>
      <c r="D2" s="12" t="s">
        <v>53</v>
      </c>
      <c r="E2" s="12" t="s">
        <v>54</v>
      </c>
      <c r="F2" s="12" t="s">
        <v>55</v>
      </c>
      <c r="G2" s="12" t="s">
        <v>56</v>
      </c>
      <c r="H2" s="12" t="s">
        <v>81</v>
      </c>
      <c r="I2" s="12" t="s">
        <v>57</v>
      </c>
      <c r="J2" s="12" t="s">
        <v>35</v>
      </c>
      <c r="K2" s="12" t="s">
        <v>58</v>
      </c>
      <c r="L2" s="12" t="s">
        <v>59</v>
      </c>
      <c r="M2" s="12" t="s">
        <v>60</v>
      </c>
      <c r="N2" s="12" t="s">
        <v>61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30</v>
      </c>
      <c r="U2" s="12" t="s">
        <v>67</v>
      </c>
      <c r="V2" s="12" t="s">
        <v>68</v>
      </c>
      <c r="W2" s="12" t="s">
        <v>37</v>
      </c>
      <c r="X2" s="12" t="s">
        <v>41</v>
      </c>
    </row>
    <row r="3" spans="2:28" x14ac:dyDescent="0.3">
      <c r="B3" s="25" t="str">
        <f>IF('[1]Sumario Trades'!$B2 &gt;=Dashboard!$B$25,'[1]Sumario Trades'!E2,0)</f>
        <v>EW3X6 C2275</v>
      </c>
      <c r="C3" s="24">
        <f>IF('[1]Sumario Trades'!$B2 &gt;=Dashboard!$B$25,'[1]Sumario Trades'!B2,0)</f>
        <v>42639.864583333299</v>
      </c>
      <c r="D3" s="24">
        <f>IF('[1]Sumario Trades'!$B2 &gt;=Dashboard!$B$25,'[1]Sumario Trades'!D2,0)</f>
        <v>42639.853101851899</v>
      </c>
      <c r="E3" s="25">
        <f>IF('[1]Sumario Trades'!$B2 &gt;=Dashboard!$B$25,'[1]Sumario Trades'!F2,0)</f>
        <v>2139.5</v>
      </c>
      <c r="F3" s="25">
        <f>IF('[1]Sumario Trades'!$B2 &gt;=Dashboard!$B$25,'[1]Sumario Trades'!G2,0)</f>
        <v>1</v>
      </c>
      <c r="G3" s="25">
        <f>IF('[1]Sumario Trades'!$B2 &gt;=Dashboard!$B$25,'[1]Sumario Trades'!H2,0)</f>
        <v>50</v>
      </c>
      <c r="H3" s="25">
        <f>IF('[1]Sumario Trades'!$B2 &gt;=Dashboard!$B$25,'[1]Sumario Trades'!Q2,0)</f>
        <v>12</v>
      </c>
      <c r="I3" s="25" t="str">
        <f>IF('[1]Sumario Trades'!$B2 &gt;=Dashboard!$B$25,'[1]Sumario Trades'!J2,0)</f>
        <v>SLD</v>
      </c>
      <c r="J3" s="25">
        <f>IF('[1]Sumario Trades'!$B2 &gt;=Dashboard!$B$25,'[1]Sumario Trades'!K2,0)</f>
        <v>52</v>
      </c>
      <c r="K3" s="25">
        <f>IF('[1]Sumario Trades'!$B2 &gt;=Dashboard!$B$25,'[1]Sumario Trades'!L2,0)</f>
        <v>3.7835049953682899E-2</v>
      </c>
      <c r="L3" s="25">
        <f>IF('[1]Sumario Trades'!$B2 &gt;=Dashboard!$B$25,'[1]Sumario Trades'!M2,0)</f>
        <v>1.12580087519808E-3</v>
      </c>
      <c r="M3" s="25">
        <f>IF('[1]Sumario Trades'!$B2 &gt;=Dashboard!$B$25,'[1]Sumario Trades'!N2,0)</f>
        <v>-5.6732595244946997E-2</v>
      </c>
      <c r="N3" s="25">
        <f>IF('[1]Sumario Trades'!$B2 &gt;=Dashboard!$B$25,'[1]Sumario Trades'!O2,0)</f>
        <v>0.67125744657131003</v>
      </c>
      <c r="O3" s="25">
        <f>IF('[1]Sumario Trades'!$B2 &gt;=Dashboard!$B$25,'[1]Sumario Trades'!P2,0)</f>
        <v>2275</v>
      </c>
      <c r="P3" s="25">
        <f>IF('[1]Sumario Trades'!$B2 &gt;=Dashboard!$B$25,'[1]Sumario Trades'!R2,0)</f>
        <v>0.138311901904415</v>
      </c>
      <c r="Q3" s="25">
        <f>IF('[1]Sumario Trades'!$B2 &gt;=Dashboard!$B$25,'[1]Sumario Trades'!S2,0)</f>
        <v>111.693290032611</v>
      </c>
      <c r="R3" s="25">
        <f>IF('[1]Sumario Trades'!$B2 &gt;=Dashboard!$B$25,'[1]Sumario Trades'!T2,0)</f>
        <v>2027.8067099673899</v>
      </c>
      <c r="S3" s="25">
        <f>IF('[1]Sumario Trades'!$B2 &gt;=Dashboard!$B$25,'[1]Sumario Trades'!U2,0)</f>
        <v>2251.1932900326101</v>
      </c>
      <c r="T3" s="25">
        <f>IF('[1]Sumario Trades'!$B2 &gt;=Dashboard!$B$25,'[1]Sumario Trades'!V2,0)</f>
        <v>1</v>
      </c>
      <c r="U3" s="25">
        <f>IF('[1]Sumario Trades'!$B2 &gt;=Dashboard!$B$25,'[1]Sumario Trades'!W2,0)</f>
        <v>-1</v>
      </c>
      <c r="V3" s="25">
        <f>IF('[1]Sumario Trades'!$B2 &gt;=Dashboard!$B$25,'[1]Sumario Trades'!X2,0)</f>
        <v>-600</v>
      </c>
      <c r="W3" s="25">
        <f>IF('[1]Sumario Trades'!$B2 &gt;=Dashboard!$B$25,'[1]Sumario Trades'!X2,0)</f>
        <v>-600</v>
      </c>
      <c r="X3" s="25">
        <f>IF('[1]Sumario Trades'!$B2 &gt;=Dashboard!$B$25,'[1]Sumario Trades'!Y2,0)</f>
        <v>59.988919742064702</v>
      </c>
      <c r="Y3" s="25" t="b">
        <f>AND(IF(EXACT(ISNUMBER(SEARCH("C0",$B3)),"VERDADERO"),1,0),IF(EXACT(EXACT($I3, "SLD"),"VERDADERO"),1,0))</f>
        <v>0</v>
      </c>
      <c r="Z3" s="25" t="b">
        <f>AND(IF(EXACT(ISNUMBER(SEARCH("C0",$B3)),"VERDADERO"),1,0),IF(EXACT(EXACT($I3, "BOT"),"VERDADERO"),1,0))</f>
        <v>0</v>
      </c>
      <c r="AA3" s="25" t="b">
        <f>AND(IF(EXACT(ISNUMBER(SEARCH("P0",$B3)),"VERDADERO"),1,0),IF(EXACT(EXACT($I3, "BOT"),"VERDADERO"),1,0))</f>
        <v>0</v>
      </c>
      <c r="AB3" s="25" t="b">
        <f>AND(IF(EXACT(ISNUMBER(SEARCH("P0",$B3)),"VERDADERO"),1,0),IF(EXACT(EXACT($I3, "SLD"),"VERDADERO"),1,0))</f>
        <v>0</v>
      </c>
    </row>
    <row r="4" spans="2:28" x14ac:dyDescent="0.3">
      <c r="B4" s="25" t="str">
        <f>IF('[1]Sumario Trades'!$B3 &gt;=Dashboard!$B$25,'[1]Sumario Trades'!E3,0)</f>
        <v>EW3X6 C2275</v>
      </c>
      <c r="C4" s="24">
        <f>IF('[1]Sumario Trades'!$B3 &gt;=Dashboard!$B$25,'[1]Sumario Trades'!B3,0)</f>
        <v>42639.864583333299</v>
      </c>
      <c r="D4" s="24">
        <f>IF('[1]Sumario Trades'!$B3 &gt;=Dashboard!$B$25,'[1]Sumario Trades'!D3,0)</f>
        <v>42639.853171296301</v>
      </c>
      <c r="E4" s="25">
        <f>IF('[1]Sumario Trades'!$B3 &gt;=Dashboard!$B$25,'[1]Sumario Trades'!F3,0)</f>
        <v>2139.5</v>
      </c>
      <c r="F4" s="25">
        <f>IF('[1]Sumario Trades'!$B3 &gt;=Dashboard!$B$25,'[1]Sumario Trades'!G3,0)</f>
        <v>1</v>
      </c>
      <c r="G4" s="25">
        <f>IF('[1]Sumario Trades'!$B3 &gt;=Dashboard!$B$25,'[1]Sumario Trades'!H3,0)</f>
        <v>50</v>
      </c>
      <c r="H4" s="25">
        <f>IF('[1]Sumario Trades'!$B3 &gt;=Dashboard!$B$25,'[1]Sumario Trades'!Q3,0)</f>
        <v>12</v>
      </c>
      <c r="I4" s="25" t="str">
        <f>IF('[1]Sumario Trades'!$B3 &gt;=Dashboard!$B$25,'[1]Sumario Trades'!J3,0)</f>
        <v>SLD</v>
      </c>
      <c r="J4" s="25">
        <f>IF('[1]Sumario Trades'!$B3 &gt;=Dashboard!$B$25,'[1]Sumario Trades'!K3,0)</f>
        <v>52</v>
      </c>
      <c r="K4" s="25">
        <f>IF('[1]Sumario Trades'!$B3 &gt;=Dashboard!$B$25,'[1]Sumario Trades'!L3,0)</f>
        <v>3.7835049953682899E-2</v>
      </c>
      <c r="L4" s="25">
        <f>IF('[1]Sumario Trades'!$B3 &gt;=Dashboard!$B$25,'[1]Sumario Trades'!M3,0)</f>
        <v>1.12580087519808E-3</v>
      </c>
      <c r="M4" s="25">
        <f>IF('[1]Sumario Trades'!$B3 &gt;=Dashboard!$B$25,'[1]Sumario Trades'!N3,0)</f>
        <v>-5.6732595244946997E-2</v>
      </c>
      <c r="N4" s="25">
        <f>IF('[1]Sumario Trades'!$B3 &gt;=Dashboard!$B$25,'[1]Sumario Trades'!O3,0)</f>
        <v>0.67125744657131003</v>
      </c>
      <c r="O4" s="25">
        <f>IF('[1]Sumario Trades'!$B3 &gt;=Dashboard!$B$25,'[1]Sumario Trades'!P3,0)</f>
        <v>2275</v>
      </c>
      <c r="P4" s="25">
        <f>IF('[1]Sumario Trades'!$B3 &gt;=Dashboard!$B$25,'[1]Sumario Trades'!R3,0)</f>
        <v>0.138311901904415</v>
      </c>
      <c r="Q4" s="25">
        <f>IF('[1]Sumario Trades'!$B3 &gt;=Dashboard!$B$25,'[1]Sumario Trades'!S3,0)</f>
        <v>111.693290032611</v>
      </c>
      <c r="R4" s="25">
        <f>IF('[1]Sumario Trades'!$B3 &gt;=Dashboard!$B$25,'[1]Sumario Trades'!T3,0)</f>
        <v>2027.8067099673899</v>
      </c>
      <c r="S4" s="25">
        <f>IF('[1]Sumario Trades'!$B3 &gt;=Dashboard!$B$25,'[1]Sumario Trades'!U3,0)</f>
        <v>2251.1932900326101</v>
      </c>
      <c r="T4" s="25">
        <f>IF('[1]Sumario Trades'!$B3 &gt;=Dashboard!$B$25,'[1]Sumario Trades'!V3,0)</f>
        <v>1</v>
      </c>
      <c r="U4" s="25">
        <f>IF('[1]Sumario Trades'!$B3 &gt;=Dashboard!$B$25,'[1]Sumario Trades'!W3,0)</f>
        <v>-1</v>
      </c>
      <c r="V4" s="25">
        <f>IF('[1]Sumario Trades'!$B3 &gt;=Dashboard!$B$25,'[1]Sumario Trades'!X3,0)</f>
        <v>-600</v>
      </c>
      <c r="W4" s="25">
        <f>IF('[1]Sumario Trades'!$B3 &gt;=Dashboard!$B$25,'[1]Sumario Trades'!X3,0)</f>
        <v>-600</v>
      </c>
      <c r="X4" s="25">
        <f>IF('[1]Sumario Trades'!$B3 &gt;=Dashboard!$B$25,'[1]Sumario Trades'!Y3,0)</f>
        <v>59.988919742064702</v>
      </c>
      <c r="Y4" s="25" t="b">
        <f t="shared" ref="Y4:Y21" si="0">AND(IF(EXACT(ISNUMBER(SEARCH("C0",$B4)),"VERDADERO"),1,0),IF(EXACT(EXACT($I4, "SLD"),"VERDADERO"),1,0))</f>
        <v>0</v>
      </c>
      <c r="Z4" s="25" t="b">
        <f t="shared" ref="Z4:Z21" si="1">AND(IF(EXACT(ISNUMBER(SEARCH("C0",$B4)),"VERDADERO"),1,0),IF(EXACT(EXACT($I4, "BOT"),"VERDADERO"),1,0))</f>
        <v>0</v>
      </c>
      <c r="AA4" s="25" t="b">
        <f t="shared" ref="AA4:AA21" si="2">AND(IF(EXACT(ISNUMBER(SEARCH("P0",$B4)),"VERDADERO"),1,0),IF(EXACT(EXACT($I4, "BOT"),"VERDADERO"),1,0))</f>
        <v>0</v>
      </c>
      <c r="AB4" s="25" t="b">
        <f t="shared" ref="AB4:AB21" si="3">AND(IF(EXACT(ISNUMBER(SEARCH("P0",$B4)),"VERDADERO"),1,0),IF(EXACT(EXACT($I4, "SLD"),"VERDADERO"),1,0))</f>
        <v>0</v>
      </c>
    </row>
    <row r="5" spans="2:28" x14ac:dyDescent="0.3">
      <c r="B5" s="25" t="str">
        <f>IF('[1]Sumario Trades'!$B4 &gt;=Dashboard!$B$25,'[1]Sumario Trades'!E4,0)</f>
        <v>EW3X6 C2300</v>
      </c>
      <c r="C5" s="24">
        <f>IF('[1]Sumario Trades'!$B4 &gt;=Dashboard!$B$25,'[1]Sumario Trades'!B4,0)</f>
        <v>42639.864583333299</v>
      </c>
      <c r="D5" s="24">
        <f>IF('[1]Sumario Trades'!$B4 &gt;=Dashboard!$B$25,'[1]Sumario Trades'!D4,0)</f>
        <v>42639.853101851899</v>
      </c>
      <c r="E5" s="25">
        <f>IF('[1]Sumario Trades'!$B4 &gt;=Dashboard!$B$25,'[1]Sumario Trades'!F4,0)</f>
        <v>2139.5</v>
      </c>
      <c r="F5" s="25">
        <f>IF('[1]Sumario Trades'!$B4 &gt;=Dashboard!$B$25,'[1]Sumario Trades'!G4,0)</f>
        <v>0.45</v>
      </c>
      <c r="G5" s="25">
        <f>IF('[1]Sumario Trades'!$B4 &gt;=Dashboard!$B$25,'[1]Sumario Trades'!H4,0)</f>
        <v>50</v>
      </c>
      <c r="H5" s="25">
        <f>IF('[1]Sumario Trades'!$B4 &gt;=Dashboard!$B$25,'[1]Sumario Trades'!Q4,0)</f>
        <v>12</v>
      </c>
      <c r="I5" s="25" t="str">
        <f>IF('[1]Sumario Trades'!$B4 &gt;=Dashboard!$B$25,'[1]Sumario Trades'!J4,0)</f>
        <v>BOT</v>
      </c>
      <c r="J5" s="25">
        <f>IF('[1]Sumario Trades'!$B4 &gt;=Dashboard!$B$25,'[1]Sumario Trades'!K4,0)</f>
        <v>52</v>
      </c>
      <c r="K5" s="25">
        <f>IF('[1]Sumario Trades'!$B4 &gt;=Dashboard!$B$25,'[1]Sumario Trades'!L4,0)</f>
        <v>1.52943475881193E-2</v>
      </c>
      <c r="L5" s="25">
        <f>IF('[1]Sumario Trades'!$B4 &gt;=Dashboard!$B$25,'[1]Sumario Trades'!M4,0)</f>
        <v>5.4289062202375604E-4</v>
      </c>
      <c r="M5" s="25">
        <f>IF('[1]Sumario Trades'!$B4 &gt;=Dashboard!$B$25,'[1]Sumario Trades'!N4,0)</f>
        <v>-2.5722144238873399E-2</v>
      </c>
      <c r="N5" s="25">
        <f>IF('[1]Sumario Trades'!$B4 &gt;=Dashboard!$B$25,'[1]Sumario Trades'!O4,0)</f>
        <v>0.313861498868791</v>
      </c>
      <c r="O5" s="25">
        <f>IF('[1]Sumario Trades'!$B4 &gt;=Dashboard!$B$25,'[1]Sumario Trades'!P4,0)</f>
        <v>2300</v>
      </c>
      <c r="P5" s="25">
        <f>IF('[1]Sumario Trades'!$B4 &gt;=Dashboard!$B$25,'[1]Sumario Trades'!R4,0)</f>
        <v>0.138311901904415</v>
      </c>
      <c r="Q5" s="25">
        <f>IF('[1]Sumario Trades'!$B4 &gt;=Dashboard!$B$25,'[1]Sumario Trades'!S4,0)</f>
        <v>111.693290032611</v>
      </c>
      <c r="R5" s="25">
        <f>IF('[1]Sumario Trades'!$B4 &gt;=Dashboard!$B$25,'[1]Sumario Trades'!T4,0)</f>
        <v>2027.8067099673899</v>
      </c>
      <c r="S5" s="25">
        <f>IF('[1]Sumario Trades'!$B4 &gt;=Dashboard!$B$25,'[1]Sumario Trades'!U4,0)</f>
        <v>2251.1932900326101</v>
      </c>
      <c r="T5" s="25">
        <f>IF('[1]Sumario Trades'!$B4 &gt;=Dashboard!$B$25,'[1]Sumario Trades'!V4,0)</f>
        <v>1</v>
      </c>
      <c r="U5" s="25">
        <f>IF('[1]Sumario Trades'!$B4 &gt;=Dashboard!$B$25,'[1]Sumario Trades'!W4,0)</f>
        <v>1</v>
      </c>
      <c r="V5" s="25">
        <f>IF('[1]Sumario Trades'!$B4 &gt;=Dashboard!$B$25,'[1]Sumario Trades'!X4,0)</f>
        <v>270</v>
      </c>
      <c r="W5" s="25">
        <f>IF('[1]Sumario Trades'!$B4 &gt;=Dashboard!$B$25,'[1]Sumario Trades'!X4,0)</f>
        <v>270</v>
      </c>
      <c r="X5" s="25">
        <f>IF('[1]Sumario Trades'!$B4 &gt;=Dashboard!$B$25,'[1]Sumario Trades'!Y4,0)</f>
        <v>59.988919742064702</v>
      </c>
      <c r="Y5" s="25" t="b">
        <f t="shared" si="0"/>
        <v>0</v>
      </c>
      <c r="Z5" s="25" t="b">
        <f t="shared" si="1"/>
        <v>0</v>
      </c>
      <c r="AA5" s="25" t="b">
        <f t="shared" si="2"/>
        <v>0</v>
      </c>
      <c r="AB5" s="25" t="b">
        <f t="shared" si="3"/>
        <v>0</v>
      </c>
    </row>
    <row r="6" spans="2:28" x14ac:dyDescent="0.3">
      <c r="B6" s="25" t="str">
        <f>IF('[1]Sumario Trades'!$B5 &gt;=Dashboard!$B$25,'[1]Sumario Trades'!E5,0)</f>
        <v>EW3X6 C2300</v>
      </c>
      <c r="C6" s="24">
        <f>IF('[1]Sumario Trades'!$B5 &gt;=Dashboard!$B$25,'[1]Sumario Trades'!B5,0)</f>
        <v>42639.864583333299</v>
      </c>
      <c r="D6" s="24">
        <f>IF('[1]Sumario Trades'!$B5 &gt;=Dashboard!$B$25,'[1]Sumario Trades'!D5,0)</f>
        <v>42639.853171296301</v>
      </c>
      <c r="E6" s="25">
        <f>IF('[1]Sumario Trades'!$B5 &gt;=Dashboard!$B$25,'[1]Sumario Trades'!F5,0)</f>
        <v>2139.5</v>
      </c>
      <c r="F6" s="25">
        <f>IF('[1]Sumario Trades'!$B5 &gt;=Dashboard!$B$25,'[1]Sumario Trades'!G5,0)</f>
        <v>0.45</v>
      </c>
      <c r="G6" s="25">
        <f>IF('[1]Sumario Trades'!$B5 &gt;=Dashboard!$B$25,'[1]Sumario Trades'!H5,0)</f>
        <v>50</v>
      </c>
      <c r="H6" s="25">
        <f>IF('[1]Sumario Trades'!$B5 &gt;=Dashboard!$B$25,'[1]Sumario Trades'!Q5,0)</f>
        <v>12</v>
      </c>
      <c r="I6" s="25" t="str">
        <f>IF('[1]Sumario Trades'!$B5 &gt;=Dashboard!$B$25,'[1]Sumario Trades'!J5,0)</f>
        <v>BOT</v>
      </c>
      <c r="J6" s="25">
        <f>IF('[1]Sumario Trades'!$B5 &gt;=Dashboard!$B$25,'[1]Sumario Trades'!K5,0)</f>
        <v>52</v>
      </c>
      <c r="K6" s="25">
        <f>IF('[1]Sumario Trades'!$B5 &gt;=Dashboard!$B$25,'[1]Sumario Trades'!L5,0)</f>
        <v>1.52943475881193E-2</v>
      </c>
      <c r="L6" s="25">
        <f>IF('[1]Sumario Trades'!$B5 &gt;=Dashboard!$B$25,'[1]Sumario Trades'!M5,0)</f>
        <v>5.4289062202375604E-4</v>
      </c>
      <c r="M6" s="25">
        <f>IF('[1]Sumario Trades'!$B5 &gt;=Dashboard!$B$25,'[1]Sumario Trades'!N5,0)</f>
        <v>-2.5722144238873399E-2</v>
      </c>
      <c r="N6" s="25">
        <f>IF('[1]Sumario Trades'!$B5 &gt;=Dashboard!$B$25,'[1]Sumario Trades'!O5,0)</f>
        <v>0.313861498868791</v>
      </c>
      <c r="O6" s="25">
        <f>IF('[1]Sumario Trades'!$B5 &gt;=Dashboard!$B$25,'[1]Sumario Trades'!P5,0)</f>
        <v>2300</v>
      </c>
      <c r="P6" s="25">
        <f>IF('[1]Sumario Trades'!$B5 &gt;=Dashboard!$B$25,'[1]Sumario Trades'!R5,0)</f>
        <v>0.138311901904415</v>
      </c>
      <c r="Q6" s="25">
        <f>IF('[1]Sumario Trades'!$B5 &gt;=Dashboard!$B$25,'[1]Sumario Trades'!S5,0)</f>
        <v>111.693290032611</v>
      </c>
      <c r="R6" s="25">
        <f>IF('[1]Sumario Trades'!$B5 &gt;=Dashboard!$B$25,'[1]Sumario Trades'!T5,0)</f>
        <v>2027.8067099673899</v>
      </c>
      <c r="S6" s="25">
        <f>IF('[1]Sumario Trades'!$B5 &gt;=Dashboard!$B$25,'[1]Sumario Trades'!U5,0)</f>
        <v>2251.1932900326101</v>
      </c>
      <c r="T6" s="25">
        <f>IF('[1]Sumario Trades'!$B5 &gt;=Dashboard!$B$25,'[1]Sumario Trades'!V5,0)</f>
        <v>1</v>
      </c>
      <c r="U6" s="25">
        <f>IF('[1]Sumario Trades'!$B5 &gt;=Dashboard!$B$25,'[1]Sumario Trades'!W5,0)</f>
        <v>1</v>
      </c>
      <c r="V6" s="25">
        <f>IF('[1]Sumario Trades'!$B5 &gt;=Dashboard!$B$25,'[1]Sumario Trades'!X5,0)</f>
        <v>270</v>
      </c>
      <c r="W6" s="25">
        <f>IF('[1]Sumario Trades'!$B5 &gt;=Dashboard!$B$25,'[1]Sumario Trades'!X5,0)</f>
        <v>270</v>
      </c>
      <c r="X6" s="25">
        <f>IF('[1]Sumario Trades'!$B5 &gt;=Dashboard!$B$25,'[1]Sumario Trades'!Y5,0)</f>
        <v>59.988919742064702</v>
      </c>
      <c r="Y6" s="25" t="b">
        <f t="shared" si="0"/>
        <v>0</v>
      </c>
      <c r="Z6" s="25" t="b">
        <f t="shared" si="1"/>
        <v>0</v>
      </c>
      <c r="AA6" s="25" t="b">
        <f t="shared" si="2"/>
        <v>0</v>
      </c>
      <c r="AB6" s="25" t="b">
        <f t="shared" si="3"/>
        <v>0</v>
      </c>
    </row>
    <row r="7" spans="2:28" x14ac:dyDescent="0.3">
      <c r="B7" s="25" t="str">
        <f>IF('[1]Sumario Trades'!$B6 &gt;=Dashboard!$B$25,'[1]Sumario Trades'!E6,0)</f>
        <v>EW3X6 P1950</v>
      </c>
      <c r="C7" s="24">
        <f>IF('[1]Sumario Trades'!$B6 &gt;=Dashboard!$B$25,'[1]Sumario Trades'!B6,0)</f>
        <v>42639.864583333299</v>
      </c>
      <c r="D7" s="24">
        <f>IF('[1]Sumario Trades'!$B6 &gt;=Dashboard!$B$25,'[1]Sumario Trades'!D6,0)</f>
        <v>42639.852939814802</v>
      </c>
      <c r="E7" s="25">
        <f>IF('[1]Sumario Trades'!$B6 &gt;=Dashboard!$B$25,'[1]Sumario Trades'!F6,0)</f>
        <v>2139.5</v>
      </c>
      <c r="F7" s="25">
        <f>IF('[1]Sumario Trades'!$B6 &gt;=Dashboard!$B$25,'[1]Sumario Trades'!G6,0)</f>
        <v>9.25</v>
      </c>
      <c r="G7" s="25">
        <f>IF('[1]Sumario Trades'!$B6 &gt;=Dashboard!$B$25,'[1]Sumario Trades'!H6,0)</f>
        <v>50</v>
      </c>
      <c r="H7" s="25">
        <f>IF('[1]Sumario Trades'!$B6 &gt;=Dashboard!$B$25,'[1]Sumario Trades'!Q6,0)</f>
        <v>12</v>
      </c>
      <c r="I7" s="25" t="str">
        <f>IF('[1]Sumario Trades'!$B6 &gt;=Dashboard!$B$25,'[1]Sumario Trades'!J6,0)</f>
        <v>BOT</v>
      </c>
      <c r="J7" s="25">
        <f>IF('[1]Sumario Trades'!$B6 &gt;=Dashboard!$B$25,'[1]Sumario Trades'!K6,0)</f>
        <v>52</v>
      </c>
      <c r="K7" s="25">
        <f>IF('[1]Sumario Trades'!$B6 &gt;=Dashboard!$B$25,'[1]Sumario Trades'!L6,0)</f>
        <v>-0.112359401615441</v>
      </c>
      <c r="L7" s="25">
        <f>IF('[1]Sumario Trades'!$B6 &gt;=Dashboard!$B$25,'[1]Sumario Trades'!M6,0)</f>
        <v>1.1318963723744701E-3</v>
      </c>
      <c r="M7" s="25">
        <f>IF('[1]Sumario Trades'!$B6 &gt;=Dashboard!$B$25,'[1]Sumario Trades'!N6,0)</f>
        <v>-0.30320684762762001</v>
      </c>
      <c r="N7" s="25" t="e">
        <f>IF('[1]Sumario Trades'!$B6 &gt;=Dashboard!$B$25,'[1]Sumario Trades'!O6,0)</f>
        <v>#NULL!</v>
      </c>
      <c r="O7" s="25">
        <f>IF('[1]Sumario Trades'!$B6 &gt;=Dashboard!$B$25,'[1]Sumario Trades'!P6,0)</f>
        <v>1950</v>
      </c>
      <c r="P7" s="25">
        <f>IF('[1]Sumario Trades'!$B6 &gt;=Dashboard!$B$25,'[1]Sumario Trades'!R6,0)</f>
        <v>0.138311901904415</v>
      </c>
      <c r="Q7" s="25">
        <f>IF('[1]Sumario Trades'!$B6 &gt;=Dashboard!$B$25,'[1]Sumario Trades'!S6,0)</f>
        <v>111.693290032611</v>
      </c>
      <c r="R7" s="25">
        <f>IF('[1]Sumario Trades'!$B6 &gt;=Dashboard!$B$25,'[1]Sumario Trades'!T6,0)</f>
        <v>2027.8067099673899</v>
      </c>
      <c r="S7" s="25">
        <f>IF('[1]Sumario Trades'!$B6 &gt;=Dashboard!$B$25,'[1]Sumario Trades'!U6,0)</f>
        <v>2251.1932900326101</v>
      </c>
      <c r="T7" s="25">
        <f>IF('[1]Sumario Trades'!$B6 &gt;=Dashboard!$B$25,'[1]Sumario Trades'!V6,0)</f>
        <v>1</v>
      </c>
      <c r="U7" s="25">
        <f>IF('[1]Sumario Trades'!$B6 &gt;=Dashboard!$B$25,'[1]Sumario Trades'!W6,0)</f>
        <v>1</v>
      </c>
      <c r="V7" s="25">
        <f>IF('[1]Sumario Trades'!$B6 &gt;=Dashboard!$B$25,'[1]Sumario Trades'!X6,0)</f>
        <v>5550</v>
      </c>
      <c r="W7" s="25">
        <f>IF('[1]Sumario Trades'!$B6 &gt;=Dashboard!$B$25,'[1]Sumario Trades'!X6,0)</f>
        <v>5550</v>
      </c>
      <c r="X7" s="25">
        <f>IF('[1]Sumario Trades'!$B6 &gt;=Dashboard!$B$25,'[1]Sumario Trades'!Y6,0)</f>
        <v>59.988919742064702</v>
      </c>
      <c r="Y7" s="25" t="b">
        <f t="shared" si="0"/>
        <v>0</v>
      </c>
      <c r="Z7" s="25" t="b">
        <f t="shared" si="1"/>
        <v>0</v>
      </c>
      <c r="AA7" s="25" t="b">
        <f t="shared" si="2"/>
        <v>0</v>
      </c>
      <c r="AB7" s="25" t="b">
        <f t="shared" si="3"/>
        <v>0</v>
      </c>
    </row>
    <row r="8" spans="2:28" x14ac:dyDescent="0.3">
      <c r="B8" s="25" t="str">
        <f>IF('[1]Sumario Trades'!$B7 &gt;=Dashboard!$B$25,'[1]Sumario Trades'!E7,0)</f>
        <v>EW3X6 P1975</v>
      </c>
      <c r="C8" s="24">
        <f>IF('[1]Sumario Trades'!$B7 &gt;=Dashboard!$B$25,'[1]Sumario Trades'!B7,0)</f>
        <v>42639.864583333299</v>
      </c>
      <c r="D8" s="24">
        <f>IF('[1]Sumario Trades'!$B7 &gt;=Dashboard!$B$25,'[1]Sumario Trades'!D7,0)</f>
        <v>42639.852939814802</v>
      </c>
      <c r="E8" s="25">
        <f>IF('[1]Sumario Trades'!$B7 &gt;=Dashboard!$B$25,'[1]Sumario Trades'!F7,0)</f>
        <v>2139.5</v>
      </c>
      <c r="F8" s="25">
        <f>IF('[1]Sumario Trades'!$B7 &gt;=Dashboard!$B$25,'[1]Sumario Trades'!G7,0)</f>
        <v>11.35</v>
      </c>
      <c r="G8" s="25">
        <f>IF('[1]Sumario Trades'!$B7 &gt;=Dashboard!$B$25,'[1]Sumario Trades'!H7,0)</f>
        <v>50</v>
      </c>
      <c r="H8" s="25">
        <f>IF('[1]Sumario Trades'!$B7 &gt;=Dashboard!$B$25,'[1]Sumario Trades'!Q7,0)</f>
        <v>12</v>
      </c>
      <c r="I8" s="25" t="str">
        <f>IF('[1]Sumario Trades'!$B7 &gt;=Dashboard!$B$25,'[1]Sumario Trades'!J7,0)</f>
        <v>SLD</v>
      </c>
      <c r="J8" s="25">
        <f>IF('[1]Sumario Trades'!$B7 &gt;=Dashboard!$B$25,'[1]Sumario Trades'!K7,0)</f>
        <v>52</v>
      </c>
      <c r="K8" s="25">
        <f>IF('[1]Sumario Trades'!$B7 &gt;=Dashboard!$B$25,'[1]Sumario Trades'!L7,0)</f>
        <v>-0.13890892271824601</v>
      </c>
      <c r="L8" s="25">
        <f>IF('[1]Sumario Trades'!$B7 &gt;=Dashboard!$B$25,'[1]Sumario Trades'!M7,0)</f>
        <v>1.35644295834616E-3</v>
      </c>
      <c r="M8" s="25">
        <f>IF('[1]Sumario Trades'!$B7 &gt;=Dashboard!$B$25,'[1]Sumario Trades'!N7,0)</f>
        <v>-0.34024559495953199</v>
      </c>
      <c r="N8" s="25" t="e">
        <f>IF('[1]Sumario Trades'!$B7 &gt;=Dashboard!$B$25,'[1]Sumario Trades'!O7,0)</f>
        <v>#NULL!</v>
      </c>
      <c r="O8" s="25">
        <f>IF('[1]Sumario Trades'!$B7 &gt;=Dashboard!$B$25,'[1]Sumario Trades'!P7,0)</f>
        <v>1975</v>
      </c>
      <c r="P8" s="25">
        <f>IF('[1]Sumario Trades'!$B7 &gt;=Dashboard!$B$25,'[1]Sumario Trades'!R7,0)</f>
        <v>0.138311901904415</v>
      </c>
      <c r="Q8" s="25">
        <f>IF('[1]Sumario Trades'!$B7 &gt;=Dashboard!$B$25,'[1]Sumario Trades'!S7,0)</f>
        <v>111.693290032611</v>
      </c>
      <c r="R8" s="25">
        <f>IF('[1]Sumario Trades'!$B7 &gt;=Dashboard!$B$25,'[1]Sumario Trades'!T7,0)</f>
        <v>2027.8067099673899</v>
      </c>
      <c r="S8" s="25">
        <f>IF('[1]Sumario Trades'!$B7 &gt;=Dashboard!$B$25,'[1]Sumario Trades'!U7,0)</f>
        <v>2251.1932900326101</v>
      </c>
      <c r="T8" s="25">
        <f>IF('[1]Sumario Trades'!$B7 &gt;=Dashboard!$B$25,'[1]Sumario Trades'!V7,0)</f>
        <v>1</v>
      </c>
      <c r="U8" s="25">
        <f>IF('[1]Sumario Trades'!$B7 &gt;=Dashboard!$B$25,'[1]Sumario Trades'!W7,0)</f>
        <v>-1</v>
      </c>
      <c r="V8" s="25">
        <f>IF('[1]Sumario Trades'!$B7 &gt;=Dashboard!$B$25,'[1]Sumario Trades'!X7,0)</f>
        <v>-6810</v>
      </c>
      <c r="W8" s="25">
        <f>IF('[1]Sumario Trades'!$B7 &gt;=Dashboard!$B$25,'[1]Sumario Trades'!X7,0)</f>
        <v>-6810</v>
      </c>
      <c r="X8" s="25">
        <f>IF('[1]Sumario Trades'!$B7 &gt;=Dashboard!$B$25,'[1]Sumario Trades'!Y7,0)</f>
        <v>59.988919742064702</v>
      </c>
      <c r="Y8" s="25" t="b">
        <f t="shared" si="0"/>
        <v>0</v>
      </c>
      <c r="Z8" s="25" t="b">
        <f t="shared" si="1"/>
        <v>0</v>
      </c>
      <c r="AA8" s="25" t="b">
        <f t="shared" si="2"/>
        <v>0</v>
      </c>
      <c r="AB8" s="25" t="b">
        <f t="shared" si="3"/>
        <v>0</v>
      </c>
    </row>
    <row r="9" spans="2:28" x14ac:dyDescent="0.3">
      <c r="B9" s="25">
        <f>IF('[1]Sumario Trades'!$B8 &gt;=Dashboard!$B$25,'[1]Sumario Trades'!E8,0)</f>
        <v>0</v>
      </c>
      <c r="C9" s="24">
        <f>IF('[1]Sumario Trades'!$B8 &gt;=Dashboard!$B$25,'[1]Sumario Trades'!B8,0)</f>
        <v>0</v>
      </c>
      <c r="D9" s="24">
        <f>IF('[1]Sumario Trades'!$B8 &gt;=Dashboard!$B$25,'[1]Sumario Trades'!D8,0)</f>
        <v>0</v>
      </c>
      <c r="E9" s="25">
        <f>IF('[1]Sumario Trades'!$B8 &gt;=Dashboard!$B$25,'[1]Sumario Trades'!F8,0)</f>
        <v>0</v>
      </c>
      <c r="F9" s="25">
        <f>IF('[1]Sumario Trades'!$B8 &gt;=Dashboard!$B$25,'[1]Sumario Trades'!G8,0)</f>
        <v>0</v>
      </c>
      <c r="G9" s="25">
        <f>IF('[1]Sumario Trades'!$B8 &gt;=Dashboard!$B$25,'[1]Sumario Trades'!H8,0)</f>
        <v>0</v>
      </c>
      <c r="H9" s="25">
        <f>IF('[1]Sumario Trades'!$B8 &gt;=Dashboard!$B$25,'[1]Sumario Trades'!Q8,0)</f>
        <v>0</v>
      </c>
      <c r="I9" s="25">
        <f>IF('[1]Sumario Trades'!$B8 &gt;=Dashboard!$B$25,'[1]Sumario Trades'!J8,0)</f>
        <v>0</v>
      </c>
      <c r="J9" s="25">
        <f>IF('[1]Sumario Trades'!$B8 &gt;=Dashboard!$B$25,'[1]Sumario Trades'!K8,0)</f>
        <v>0</v>
      </c>
      <c r="K9" s="25">
        <f>IF('[1]Sumario Trades'!$B8 &gt;=Dashboard!$B$25,'[1]Sumario Trades'!L8,0)</f>
        <v>0</v>
      </c>
      <c r="L9" s="25">
        <f>IF('[1]Sumario Trades'!$B8 &gt;=Dashboard!$B$25,'[1]Sumario Trades'!M8,0)</f>
        <v>0</v>
      </c>
      <c r="M9" s="25">
        <f>IF('[1]Sumario Trades'!$B8 &gt;=Dashboard!$B$25,'[1]Sumario Trades'!N8,0)</f>
        <v>0</v>
      </c>
      <c r="N9" s="25">
        <f>IF('[1]Sumario Trades'!$B8 &gt;=Dashboard!$B$25,'[1]Sumario Trades'!O8,0)</f>
        <v>0</v>
      </c>
      <c r="O9" s="25">
        <f>IF('[1]Sumario Trades'!$B8 &gt;=Dashboard!$B$25,'[1]Sumario Trades'!P8,0)</f>
        <v>0</v>
      </c>
      <c r="P9" s="25">
        <f>IF('[1]Sumario Trades'!$B8 &gt;=Dashboard!$B$25,'[1]Sumario Trades'!R8,0)</f>
        <v>0</v>
      </c>
      <c r="Q9" s="25">
        <f>IF('[1]Sumario Trades'!$B8 &gt;=Dashboard!$B$25,'[1]Sumario Trades'!S8,0)</f>
        <v>0</v>
      </c>
      <c r="R9" s="25">
        <f>IF('[1]Sumario Trades'!$B8 &gt;=Dashboard!$B$25,'[1]Sumario Trades'!T8,0)</f>
        <v>0</v>
      </c>
      <c r="S9" s="25">
        <f>IF('[1]Sumario Trades'!$B8 &gt;=Dashboard!$B$25,'[1]Sumario Trades'!U8,0)</f>
        <v>0</v>
      </c>
      <c r="T9" s="25">
        <f>IF('[1]Sumario Trades'!$B8 &gt;=Dashboard!$B$25,'[1]Sumario Trades'!V8,0)</f>
        <v>0</v>
      </c>
      <c r="U9" s="25">
        <f>IF('[1]Sumario Trades'!$B8 &gt;=Dashboard!$B$25,'[1]Sumario Trades'!W8,0)</f>
        <v>0</v>
      </c>
      <c r="V9" s="25">
        <f>IF('[1]Sumario Trades'!$B8 &gt;=Dashboard!$B$25,'[1]Sumario Trades'!X8,0)</f>
        <v>0</v>
      </c>
      <c r="W9" s="25">
        <f>IF('[1]Sumario Trades'!$B8 &gt;=Dashboard!$B$25,'[1]Sumario Trades'!X8,0)</f>
        <v>0</v>
      </c>
      <c r="X9" s="25">
        <f>IF('[1]Sumario Trades'!$B8 &gt;=Dashboard!$B$25,'[1]Sumario Trades'!Y8,0)</f>
        <v>0</v>
      </c>
      <c r="Y9" s="25" t="b">
        <f t="shared" si="0"/>
        <v>0</v>
      </c>
      <c r="Z9" s="25" t="b">
        <f t="shared" si="1"/>
        <v>0</v>
      </c>
      <c r="AA9" s="25" t="b">
        <f t="shared" si="2"/>
        <v>0</v>
      </c>
      <c r="AB9" s="25" t="b">
        <f t="shared" si="3"/>
        <v>0</v>
      </c>
    </row>
    <row r="10" spans="2:28" x14ac:dyDescent="0.3">
      <c r="B10" s="25">
        <f>IF('[1]Sumario Trades'!$B9 &gt;=Dashboard!$B$25,'[1]Sumario Trades'!E9,0)</f>
        <v>0</v>
      </c>
      <c r="C10" s="24">
        <f>IF('[1]Sumario Trades'!$B9 &gt;=Dashboard!$B$25,'[1]Sumario Trades'!B9,0)</f>
        <v>0</v>
      </c>
      <c r="D10" s="24">
        <f>IF('[1]Sumario Trades'!$B9 &gt;=Dashboard!$B$25,'[1]Sumario Trades'!D9,0)</f>
        <v>0</v>
      </c>
      <c r="E10" s="25">
        <f>IF('[1]Sumario Trades'!$B9 &gt;=Dashboard!$B$25,'[1]Sumario Trades'!F9,0)</f>
        <v>0</v>
      </c>
      <c r="F10" s="25">
        <f>IF('[1]Sumario Trades'!$B9 &gt;=Dashboard!$B$25,'[1]Sumario Trades'!G9,0)</f>
        <v>0</v>
      </c>
      <c r="G10" s="25">
        <f>IF('[1]Sumario Trades'!$B9 &gt;=Dashboard!$B$25,'[1]Sumario Trades'!H9,0)</f>
        <v>0</v>
      </c>
      <c r="H10" s="25">
        <f>IF('[1]Sumario Trades'!$B9 &gt;=Dashboard!$B$25,'[1]Sumario Trades'!Q9,0)</f>
        <v>0</v>
      </c>
      <c r="I10" s="25">
        <f>IF('[1]Sumario Trades'!$B9 &gt;=Dashboard!$B$25,'[1]Sumario Trades'!J9,0)</f>
        <v>0</v>
      </c>
      <c r="J10" s="25">
        <f>IF('[1]Sumario Trades'!$B9 &gt;=Dashboard!$B$25,'[1]Sumario Trades'!K9,0)</f>
        <v>0</v>
      </c>
      <c r="K10" s="25">
        <f>IF('[1]Sumario Trades'!$B9 &gt;=Dashboard!$B$25,'[1]Sumario Trades'!L9,0)</f>
        <v>0</v>
      </c>
      <c r="L10" s="25">
        <f>IF('[1]Sumario Trades'!$B9 &gt;=Dashboard!$B$25,'[1]Sumario Trades'!M9,0)</f>
        <v>0</v>
      </c>
      <c r="M10" s="25">
        <f>IF('[1]Sumario Trades'!$B9 &gt;=Dashboard!$B$25,'[1]Sumario Trades'!N9,0)</f>
        <v>0</v>
      </c>
      <c r="N10" s="25">
        <f>IF('[1]Sumario Trades'!$B9 &gt;=Dashboard!$B$25,'[1]Sumario Trades'!O9,0)</f>
        <v>0</v>
      </c>
      <c r="O10" s="25">
        <f>IF('[1]Sumario Trades'!$B9 &gt;=Dashboard!$B$25,'[1]Sumario Trades'!P9,0)</f>
        <v>0</v>
      </c>
      <c r="P10" s="25">
        <f>IF('[1]Sumario Trades'!$B9 &gt;=Dashboard!$B$25,'[1]Sumario Trades'!R9,0)</f>
        <v>0</v>
      </c>
      <c r="Q10" s="25">
        <f>IF('[1]Sumario Trades'!$B9 &gt;=Dashboard!$B$25,'[1]Sumario Trades'!S9,0)</f>
        <v>0</v>
      </c>
      <c r="R10" s="25">
        <f>IF('[1]Sumario Trades'!$B9 &gt;=Dashboard!$B$25,'[1]Sumario Trades'!T9,0)</f>
        <v>0</v>
      </c>
      <c r="S10" s="25">
        <f>IF('[1]Sumario Trades'!$B9 &gt;=Dashboard!$B$25,'[1]Sumario Trades'!U9,0)</f>
        <v>0</v>
      </c>
      <c r="T10" s="25">
        <f>IF('[1]Sumario Trades'!$B9 &gt;=Dashboard!$B$25,'[1]Sumario Trades'!V9,0)</f>
        <v>0</v>
      </c>
      <c r="U10" s="25">
        <f>IF('[1]Sumario Trades'!$B9 &gt;=Dashboard!$B$25,'[1]Sumario Trades'!W9,0)</f>
        <v>0</v>
      </c>
      <c r="V10" s="25">
        <f>IF('[1]Sumario Trades'!$B9 &gt;=Dashboard!$B$25,'[1]Sumario Trades'!X9,0)</f>
        <v>0</v>
      </c>
      <c r="W10" s="25">
        <f>IF('[1]Sumario Trades'!$B9 &gt;=Dashboard!$B$25,'[1]Sumario Trades'!X9,0)</f>
        <v>0</v>
      </c>
      <c r="X10" s="25">
        <f>IF('[1]Sumario Trades'!$B9 &gt;=Dashboard!$B$25,'[1]Sumario Trades'!Y9,0)</f>
        <v>0</v>
      </c>
      <c r="Y10" s="25" t="b">
        <f t="shared" si="0"/>
        <v>0</v>
      </c>
      <c r="Z10" s="25" t="b">
        <f t="shared" si="1"/>
        <v>0</v>
      </c>
      <c r="AA10" s="25" t="b">
        <f t="shared" si="2"/>
        <v>0</v>
      </c>
      <c r="AB10" s="25" t="b">
        <f t="shared" si="3"/>
        <v>0</v>
      </c>
    </row>
    <row r="11" spans="2:28" x14ac:dyDescent="0.3">
      <c r="B11" s="25">
        <f>IF('[1]Sumario Trades'!$B10 &gt;=Dashboard!$B$25,'[1]Sumario Trades'!E10,0)</f>
        <v>0</v>
      </c>
      <c r="C11" s="24">
        <f>IF('[1]Sumario Trades'!$B10 &gt;=Dashboard!$B$25,'[1]Sumario Trades'!B10,0)</f>
        <v>0</v>
      </c>
      <c r="D11" s="24">
        <f>IF('[1]Sumario Trades'!$B10 &gt;=Dashboard!$B$25,'[1]Sumario Trades'!D10,0)</f>
        <v>0</v>
      </c>
      <c r="E11" s="25">
        <f>IF('[1]Sumario Trades'!$B10 &gt;=Dashboard!$B$25,'[1]Sumario Trades'!F10,0)</f>
        <v>0</v>
      </c>
      <c r="F11" s="25">
        <f>IF('[1]Sumario Trades'!$B10 &gt;=Dashboard!$B$25,'[1]Sumario Trades'!G10,0)</f>
        <v>0</v>
      </c>
      <c r="G11" s="25">
        <f>IF('[1]Sumario Trades'!$B10 &gt;=Dashboard!$B$25,'[1]Sumario Trades'!H10,0)</f>
        <v>0</v>
      </c>
      <c r="H11" s="25">
        <f>IF('[1]Sumario Trades'!$B10 &gt;=Dashboard!$B$25,'[1]Sumario Trades'!Q10,0)</f>
        <v>0</v>
      </c>
      <c r="I11" s="25">
        <f>IF('[1]Sumario Trades'!$B10 &gt;=Dashboard!$B$25,'[1]Sumario Trades'!J10,0)</f>
        <v>0</v>
      </c>
      <c r="J11" s="25">
        <f>IF('[1]Sumario Trades'!$B10 &gt;=Dashboard!$B$25,'[1]Sumario Trades'!K10,0)</f>
        <v>0</v>
      </c>
      <c r="K11" s="25">
        <f>IF('[1]Sumario Trades'!$B10 &gt;=Dashboard!$B$25,'[1]Sumario Trades'!L10,0)</f>
        <v>0</v>
      </c>
      <c r="L11" s="25">
        <f>IF('[1]Sumario Trades'!$B10 &gt;=Dashboard!$B$25,'[1]Sumario Trades'!M10,0)</f>
        <v>0</v>
      </c>
      <c r="M11" s="25">
        <f>IF('[1]Sumario Trades'!$B10 &gt;=Dashboard!$B$25,'[1]Sumario Trades'!N10,0)</f>
        <v>0</v>
      </c>
      <c r="N11" s="25">
        <f>IF('[1]Sumario Trades'!$B10 &gt;=Dashboard!$B$25,'[1]Sumario Trades'!O10,0)</f>
        <v>0</v>
      </c>
      <c r="O11" s="25">
        <f>IF('[1]Sumario Trades'!$B10 &gt;=Dashboard!$B$25,'[1]Sumario Trades'!P10,0)</f>
        <v>0</v>
      </c>
      <c r="P11" s="25">
        <f>IF('[1]Sumario Trades'!$B10 &gt;=Dashboard!$B$25,'[1]Sumario Trades'!R10,0)</f>
        <v>0</v>
      </c>
      <c r="Q11" s="25">
        <f>IF('[1]Sumario Trades'!$B10 &gt;=Dashboard!$B$25,'[1]Sumario Trades'!S10,0)</f>
        <v>0</v>
      </c>
      <c r="R11" s="25">
        <f>IF('[1]Sumario Trades'!$B10 &gt;=Dashboard!$B$25,'[1]Sumario Trades'!T10,0)</f>
        <v>0</v>
      </c>
      <c r="S11" s="25">
        <f>IF('[1]Sumario Trades'!$B10 &gt;=Dashboard!$B$25,'[1]Sumario Trades'!U10,0)</f>
        <v>0</v>
      </c>
      <c r="T11" s="25">
        <f>IF('[1]Sumario Trades'!$B10 &gt;=Dashboard!$B$25,'[1]Sumario Trades'!V10,0)</f>
        <v>0</v>
      </c>
      <c r="U11" s="25">
        <f>IF('[1]Sumario Trades'!$B10 &gt;=Dashboard!$B$25,'[1]Sumario Trades'!W10,0)</f>
        <v>0</v>
      </c>
      <c r="V11" s="25">
        <f>IF('[1]Sumario Trades'!$B10 &gt;=Dashboard!$B$25,'[1]Sumario Trades'!X10,0)</f>
        <v>0</v>
      </c>
      <c r="W11" s="25">
        <f>IF('[1]Sumario Trades'!$B10 &gt;=Dashboard!$B$25,'[1]Sumario Trades'!X10,0)</f>
        <v>0</v>
      </c>
      <c r="X11" s="25">
        <f>IF('[1]Sumario Trades'!$B10 &gt;=Dashboard!$B$25,'[1]Sumario Trades'!Y10,0)</f>
        <v>0</v>
      </c>
      <c r="Y11" s="25" t="b">
        <f t="shared" si="0"/>
        <v>0</v>
      </c>
      <c r="Z11" s="25" t="b">
        <f t="shared" si="1"/>
        <v>0</v>
      </c>
      <c r="AA11" s="25" t="b">
        <f t="shared" si="2"/>
        <v>0</v>
      </c>
      <c r="AB11" s="25" t="b">
        <f t="shared" si="3"/>
        <v>0</v>
      </c>
    </row>
    <row r="12" spans="2:28" x14ac:dyDescent="0.3">
      <c r="B12" s="25">
        <f>IF('[1]Sumario Trades'!$B11 &gt;=Dashboard!$B$25,'[1]Sumario Trades'!E11,0)</f>
        <v>0</v>
      </c>
      <c r="C12" s="24">
        <f>IF('[1]Sumario Trades'!$B11 &gt;=Dashboard!$B$25,'[1]Sumario Trades'!B11,0)</f>
        <v>0</v>
      </c>
      <c r="D12" s="24">
        <f>IF('[1]Sumario Trades'!$B11 &gt;=Dashboard!$B$25,'[1]Sumario Trades'!D11,0)</f>
        <v>0</v>
      </c>
      <c r="E12" s="25">
        <f>IF('[1]Sumario Trades'!$B11 &gt;=Dashboard!$B$25,'[1]Sumario Trades'!F11,0)</f>
        <v>0</v>
      </c>
      <c r="F12" s="25">
        <f>IF('[1]Sumario Trades'!$B11 &gt;=Dashboard!$B$25,'[1]Sumario Trades'!G11,0)</f>
        <v>0</v>
      </c>
      <c r="G12" s="25">
        <f>IF('[1]Sumario Trades'!$B11 &gt;=Dashboard!$B$25,'[1]Sumario Trades'!H11,0)</f>
        <v>0</v>
      </c>
      <c r="H12" s="25">
        <f>IF('[1]Sumario Trades'!$B11 &gt;=Dashboard!$B$25,'[1]Sumario Trades'!Q11,0)</f>
        <v>0</v>
      </c>
      <c r="I12" s="25">
        <f>IF('[1]Sumario Trades'!$B11 &gt;=Dashboard!$B$25,'[1]Sumario Trades'!J11,0)</f>
        <v>0</v>
      </c>
      <c r="J12" s="25">
        <f>IF('[1]Sumario Trades'!$B11 &gt;=Dashboard!$B$25,'[1]Sumario Trades'!K11,0)</f>
        <v>0</v>
      </c>
      <c r="K12" s="25">
        <f>IF('[1]Sumario Trades'!$B11 &gt;=Dashboard!$B$25,'[1]Sumario Trades'!L11,0)</f>
        <v>0</v>
      </c>
      <c r="L12" s="25">
        <f>IF('[1]Sumario Trades'!$B11 &gt;=Dashboard!$B$25,'[1]Sumario Trades'!M11,0)</f>
        <v>0</v>
      </c>
      <c r="M12" s="25">
        <f>IF('[1]Sumario Trades'!$B11 &gt;=Dashboard!$B$25,'[1]Sumario Trades'!N11,0)</f>
        <v>0</v>
      </c>
      <c r="N12" s="25">
        <f>IF('[1]Sumario Trades'!$B11 &gt;=Dashboard!$B$25,'[1]Sumario Trades'!O11,0)</f>
        <v>0</v>
      </c>
      <c r="O12" s="25">
        <f>IF('[1]Sumario Trades'!$B11 &gt;=Dashboard!$B$25,'[1]Sumario Trades'!P11,0)</f>
        <v>0</v>
      </c>
      <c r="P12" s="25">
        <f>IF('[1]Sumario Trades'!$B11 &gt;=Dashboard!$B$25,'[1]Sumario Trades'!R11,0)</f>
        <v>0</v>
      </c>
      <c r="Q12" s="25">
        <f>IF('[1]Sumario Trades'!$B11 &gt;=Dashboard!$B$25,'[1]Sumario Trades'!S11,0)</f>
        <v>0</v>
      </c>
      <c r="R12" s="25">
        <f>IF('[1]Sumario Trades'!$B11 &gt;=Dashboard!$B$25,'[1]Sumario Trades'!T11,0)</f>
        <v>0</v>
      </c>
      <c r="S12" s="25">
        <f>IF('[1]Sumario Trades'!$B11 &gt;=Dashboard!$B$25,'[1]Sumario Trades'!U11,0)</f>
        <v>0</v>
      </c>
      <c r="T12" s="25">
        <f>IF('[1]Sumario Trades'!$B11 &gt;=Dashboard!$B$25,'[1]Sumario Trades'!V11,0)</f>
        <v>0</v>
      </c>
      <c r="U12" s="25">
        <f>IF('[1]Sumario Trades'!$B11 &gt;=Dashboard!$B$25,'[1]Sumario Trades'!W11,0)</f>
        <v>0</v>
      </c>
      <c r="V12" s="25">
        <f>IF('[1]Sumario Trades'!$B11 &gt;=Dashboard!$B$25,'[1]Sumario Trades'!X11,0)</f>
        <v>0</v>
      </c>
      <c r="W12" s="25">
        <f>IF('[1]Sumario Trades'!$B11 &gt;=Dashboard!$B$25,'[1]Sumario Trades'!X11,0)</f>
        <v>0</v>
      </c>
      <c r="X12" s="25">
        <f>IF('[1]Sumario Trades'!$B11 &gt;=Dashboard!$B$25,'[1]Sumario Trades'!Y11,0)</f>
        <v>0</v>
      </c>
      <c r="Y12" s="25" t="b">
        <f t="shared" si="0"/>
        <v>0</v>
      </c>
      <c r="Z12" s="25" t="b">
        <f t="shared" si="1"/>
        <v>0</v>
      </c>
      <c r="AA12" s="25" t="b">
        <f t="shared" si="2"/>
        <v>0</v>
      </c>
      <c r="AB12" s="25" t="b">
        <f t="shared" si="3"/>
        <v>0</v>
      </c>
    </row>
    <row r="13" spans="2:28" x14ac:dyDescent="0.3">
      <c r="B13" s="25">
        <f>IF('[1]Sumario Trades'!$B12 &gt;=Dashboard!$B$25,'[1]Sumario Trades'!E12,0)</f>
        <v>0</v>
      </c>
      <c r="C13" s="24">
        <f>IF('[1]Sumario Trades'!$B12 &gt;=Dashboard!$B$25,'[1]Sumario Trades'!B12,0)</f>
        <v>0</v>
      </c>
      <c r="D13" s="24">
        <f>IF('[1]Sumario Trades'!$B12 &gt;=Dashboard!$B$25,'[1]Sumario Trades'!D12,0)</f>
        <v>0</v>
      </c>
      <c r="E13" s="25">
        <f>IF('[1]Sumario Trades'!$B12 &gt;=Dashboard!$B$25,'[1]Sumario Trades'!F12,0)</f>
        <v>0</v>
      </c>
      <c r="F13" s="25">
        <f>IF('[1]Sumario Trades'!$B12 &gt;=Dashboard!$B$25,'[1]Sumario Trades'!G12,0)</f>
        <v>0</v>
      </c>
      <c r="G13" s="25">
        <f>IF('[1]Sumario Trades'!$B12 &gt;=Dashboard!$B$25,'[1]Sumario Trades'!H12,0)</f>
        <v>0</v>
      </c>
      <c r="H13" s="25">
        <f>IF('[1]Sumario Trades'!$B12 &gt;=Dashboard!$B$25,'[1]Sumario Trades'!Q12,0)</f>
        <v>0</v>
      </c>
      <c r="I13" s="25">
        <f>IF('[1]Sumario Trades'!$B12 &gt;=Dashboard!$B$25,'[1]Sumario Trades'!J12,0)</f>
        <v>0</v>
      </c>
      <c r="J13" s="25">
        <f>IF('[1]Sumario Trades'!$B12 &gt;=Dashboard!$B$25,'[1]Sumario Trades'!K12,0)</f>
        <v>0</v>
      </c>
      <c r="K13" s="25">
        <f>IF('[1]Sumario Trades'!$B12 &gt;=Dashboard!$B$25,'[1]Sumario Trades'!L12,0)</f>
        <v>0</v>
      </c>
      <c r="L13" s="25">
        <f>IF('[1]Sumario Trades'!$B12 &gt;=Dashboard!$B$25,'[1]Sumario Trades'!M12,0)</f>
        <v>0</v>
      </c>
      <c r="M13" s="25">
        <f>IF('[1]Sumario Trades'!$B12 &gt;=Dashboard!$B$25,'[1]Sumario Trades'!N12,0)</f>
        <v>0</v>
      </c>
      <c r="N13" s="25">
        <f>IF('[1]Sumario Trades'!$B12 &gt;=Dashboard!$B$25,'[1]Sumario Trades'!O12,0)</f>
        <v>0</v>
      </c>
      <c r="O13" s="25">
        <f>IF('[1]Sumario Trades'!$B12 &gt;=Dashboard!$B$25,'[1]Sumario Trades'!P12,0)</f>
        <v>0</v>
      </c>
      <c r="P13" s="25">
        <f>IF('[1]Sumario Trades'!$B12 &gt;=Dashboard!$B$25,'[1]Sumario Trades'!R12,0)</f>
        <v>0</v>
      </c>
      <c r="Q13" s="25">
        <f>IF('[1]Sumario Trades'!$B12 &gt;=Dashboard!$B$25,'[1]Sumario Trades'!S12,0)</f>
        <v>0</v>
      </c>
      <c r="R13" s="25">
        <f>IF('[1]Sumario Trades'!$B12 &gt;=Dashboard!$B$25,'[1]Sumario Trades'!T12,0)</f>
        <v>0</v>
      </c>
      <c r="S13" s="25">
        <f>IF('[1]Sumario Trades'!$B12 &gt;=Dashboard!$B$25,'[1]Sumario Trades'!U12,0)</f>
        <v>0</v>
      </c>
      <c r="T13" s="25">
        <f>IF('[1]Sumario Trades'!$B12 &gt;=Dashboard!$B$25,'[1]Sumario Trades'!V12,0)</f>
        <v>0</v>
      </c>
      <c r="U13" s="25">
        <f>IF('[1]Sumario Trades'!$B12 &gt;=Dashboard!$B$25,'[1]Sumario Trades'!W12,0)</f>
        <v>0</v>
      </c>
      <c r="V13" s="25">
        <f>IF('[1]Sumario Trades'!$B12 &gt;=Dashboard!$B$25,'[1]Sumario Trades'!X12,0)</f>
        <v>0</v>
      </c>
      <c r="W13" s="25">
        <f>IF('[1]Sumario Trades'!$B12 &gt;=Dashboard!$B$25,'[1]Sumario Trades'!X12,0)</f>
        <v>0</v>
      </c>
      <c r="X13" s="25">
        <f>IF('[1]Sumario Trades'!$B12 &gt;=Dashboard!$B$25,'[1]Sumario Trades'!Y12,0)</f>
        <v>0</v>
      </c>
      <c r="Y13" s="25" t="b">
        <f t="shared" si="0"/>
        <v>0</v>
      </c>
      <c r="Z13" s="25" t="b">
        <f t="shared" si="1"/>
        <v>0</v>
      </c>
      <c r="AA13" s="25" t="b">
        <f t="shared" si="2"/>
        <v>0</v>
      </c>
      <c r="AB13" s="25" t="b">
        <f t="shared" si="3"/>
        <v>0</v>
      </c>
    </row>
    <row r="14" spans="2:28" x14ac:dyDescent="0.3">
      <c r="B14" s="25">
        <f>IF('[1]Sumario Trades'!$B13 &gt;=Dashboard!$B$25,'[1]Sumario Trades'!E13,0)</f>
        <v>0</v>
      </c>
      <c r="C14" s="24">
        <f>IF('[1]Sumario Trades'!$B13 &gt;=Dashboard!$B$25,'[1]Sumario Trades'!B13,0)</f>
        <v>0</v>
      </c>
      <c r="D14" s="24">
        <f>IF('[1]Sumario Trades'!$B13 &gt;=Dashboard!$B$25,'[1]Sumario Trades'!D13,0)</f>
        <v>0</v>
      </c>
      <c r="E14" s="25">
        <f>IF('[1]Sumario Trades'!$B13 &gt;=Dashboard!$B$25,'[1]Sumario Trades'!F13,0)</f>
        <v>0</v>
      </c>
      <c r="F14" s="25">
        <f>IF('[1]Sumario Trades'!$B13 &gt;=Dashboard!$B$25,'[1]Sumario Trades'!G13,0)</f>
        <v>0</v>
      </c>
      <c r="G14" s="25">
        <f>IF('[1]Sumario Trades'!$B13 &gt;=Dashboard!$B$25,'[1]Sumario Trades'!H13,0)</f>
        <v>0</v>
      </c>
      <c r="H14" s="25">
        <f>IF('[1]Sumario Trades'!$B13 &gt;=Dashboard!$B$25,'[1]Sumario Trades'!Q13,0)</f>
        <v>0</v>
      </c>
      <c r="I14" s="25">
        <f>IF('[1]Sumario Trades'!$B13 &gt;=Dashboard!$B$25,'[1]Sumario Trades'!J13,0)</f>
        <v>0</v>
      </c>
      <c r="J14" s="25">
        <f>IF('[1]Sumario Trades'!$B13 &gt;=Dashboard!$B$25,'[1]Sumario Trades'!K13,0)</f>
        <v>0</v>
      </c>
      <c r="K14" s="25">
        <f>IF('[1]Sumario Trades'!$B13 &gt;=Dashboard!$B$25,'[1]Sumario Trades'!L13,0)</f>
        <v>0</v>
      </c>
      <c r="L14" s="25">
        <f>IF('[1]Sumario Trades'!$B13 &gt;=Dashboard!$B$25,'[1]Sumario Trades'!M13,0)</f>
        <v>0</v>
      </c>
      <c r="M14" s="25">
        <f>IF('[1]Sumario Trades'!$B13 &gt;=Dashboard!$B$25,'[1]Sumario Trades'!N13,0)</f>
        <v>0</v>
      </c>
      <c r="N14" s="25">
        <f>IF('[1]Sumario Trades'!$B13 &gt;=Dashboard!$B$25,'[1]Sumario Trades'!O13,0)</f>
        <v>0</v>
      </c>
      <c r="O14" s="25">
        <f>IF('[1]Sumario Trades'!$B13 &gt;=Dashboard!$B$25,'[1]Sumario Trades'!P13,0)</f>
        <v>0</v>
      </c>
      <c r="P14" s="25">
        <f>IF('[1]Sumario Trades'!$B13 &gt;=Dashboard!$B$25,'[1]Sumario Trades'!R13,0)</f>
        <v>0</v>
      </c>
      <c r="Q14" s="25">
        <f>IF('[1]Sumario Trades'!$B13 &gt;=Dashboard!$B$25,'[1]Sumario Trades'!S13,0)</f>
        <v>0</v>
      </c>
      <c r="R14" s="25">
        <f>IF('[1]Sumario Trades'!$B13 &gt;=Dashboard!$B$25,'[1]Sumario Trades'!T13,0)</f>
        <v>0</v>
      </c>
      <c r="S14" s="25">
        <f>IF('[1]Sumario Trades'!$B13 &gt;=Dashboard!$B$25,'[1]Sumario Trades'!U13,0)</f>
        <v>0</v>
      </c>
      <c r="T14" s="25">
        <f>IF('[1]Sumario Trades'!$B13 &gt;=Dashboard!$B$25,'[1]Sumario Trades'!V13,0)</f>
        <v>0</v>
      </c>
      <c r="U14" s="25">
        <f>IF('[1]Sumario Trades'!$B13 &gt;=Dashboard!$B$25,'[1]Sumario Trades'!W13,0)</f>
        <v>0</v>
      </c>
      <c r="V14" s="25">
        <f>IF('[1]Sumario Trades'!$B13 &gt;=Dashboard!$B$25,'[1]Sumario Trades'!X13,0)</f>
        <v>0</v>
      </c>
      <c r="W14" s="25">
        <f>IF('[1]Sumario Trades'!$B13 &gt;=Dashboard!$B$25,'[1]Sumario Trades'!X13,0)</f>
        <v>0</v>
      </c>
      <c r="X14" s="25">
        <f>IF('[1]Sumario Trades'!$B13 &gt;=Dashboard!$B$25,'[1]Sumario Trades'!Y13,0)</f>
        <v>0</v>
      </c>
      <c r="Y14" s="25" t="b">
        <f t="shared" si="0"/>
        <v>0</v>
      </c>
      <c r="Z14" s="25" t="b">
        <f t="shared" si="1"/>
        <v>0</v>
      </c>
      <c r="AA14" s="25" t="b">
        <f t="shared" si="2"/>
        <v>0</v>
      </c>
      <c r="AB14" s="25" t="b">
        <f t="shared" si="3"/>
        <v>0</v>
      </c>
    </row>
    <row r="15" spans="2:28" x14ac:dyDescent="0.3">
      <c r="B15" s="25">
        <f>IF('[1]Sumario Trades'!$B14 &gt;=Dashboard!$B$25,'[1]Sumario Trades'!E14,0)</f>
        <v>0</v>
      </c>
      <c r="C15" s="24">
        <f>IF('[1]Sumario Trades'!$B14 &gt;=Dashboard!$B$25,'[1]Sumario Trades'!B14,0)</f>
        <v>0</v>
      </c>
      <c r="D15" s="24">
        <f>IF('[1]Sumario Trades'!$B14 &gt;=Dashboard!$B$25,'[1]Sumario Trades'!D14,0)</f>
        <v>0</v>
      </c>
      <c r="E15" s="25">
        <f>IF('[1]Sumario Trades'!$B14 &gt;=Dashboard!$B$25,'[1]Sumario Trades'!F14,0)</f>
        <v>0</v>
      </c>
      <c r="F15" s="25">
        <f>IF('[1]Sumario Trades'!$B14 &gt;=Dashboard!$B$25,'[1]Sumario Trades'!G14,0)</f>
        <v>0</v>
      </c>
      <c r="G15" s="25">
        <f>IF('[1]Sumario Trades'!$B14 &gt;=Dashboard!$B$25,'[1]Sumario Trades'!H14,0)</f>
        <v>0</v>
      </c>
      <c r="H15" s="25">
        <f>IF('[1]Sumario Trades'!$B14 &gt;=Dashboard!$B$25,'[1]Sumario Trades'!Q14,0)</f>
        <v>0</v>
      </c>
      <c r="I15" s="25">
        <f>IF('[1]Sumario Trades'!$B14 &gt;=Dashboard!$B$25,'[1]Sumario Trades'!J14,0)</f>
        <v>0</v>
      </c>
      <c r="J15" s="25">
        <f>IF('[1]Sumario Trades'!$B14 &gt;=Dashboard!$B$25,'[1]Sumario Trades'!K14,0)</f>
        <v>0</v>
      </c>
      <c r="K15" s="25">
        <f>IF('[1]Sumario Trades'!$B14 &gt;=Dashboard!$B$25,'[1]Sumario Trades'!L14,0)</f>
        <v>0</v>
      </c>
      <c r="L15" s="25">
        <f>IF('[1]Sumario Trades'!$B14 &gt;=Dashboard!$B$25,'[1]Sumario Trades'!M14,0)</f>
        <v>0</v>
      </c>
      <c r="M15" s="25">
        <f>IF('[1]Sumario Trades'!$B14 &gt;=Dashboard!$B$25,'[1]Sumario Trades'!N14,0)</f>
        <v>0</v>
      </c>
      <c r="N15" s="25">
        <f>IF('[1]Sumario Trades'!$B14 &gt;=Dashboard!$B$25,'[1]Sumario Trades'!O14,0)</f>
        <v>0</v>
      </c>
      <c r="O15" s="25">
        <f>IF('[1]Sumario Trades'!$B14 &gt;=Dashboard!$B$25,'[1]Sumario Trades'!P14,0)</f>
        <v>0</v>
      </c>
      <c r="P15" s="25">
        <f>IF('[1]Sumario Trades'!$B14 &gt;=Dashboard!$B$25,'[1]Sumario Trades'!R14,0)</f>
        <v>0</v>
      </c>
      <c r="Q15" s="25">
        <f>IF('[1]Sumario Trades'!$B14 &gt;=Dashboard!$B$25,'[1]Sumario Trades'!S14,0)</f>
        <v>0</v>
      </c>
      <c r="R15" s="25">
        <f>IF('[1]Sumario Trades'!$B14 &gt;=Dashboard!$B$25,'[1]Sumario Trades'!T14,0)</f>
        <v>0</v>
      </c>
      <c r="S15" s="25">
        <f>IF('[1]Sumario Trades'!$B14 &gt;=Dashboard!$B$25,'[1]Sumario Trades'!U14,0)</f>
        <v>0</v>
      </c>
      <c r="T15" s="25">
        <f>IF('[1]Sumario Trades'!$B14 &gt;=Dashboard!$B$25,'[1]Sumario Trades'!V14,0)</f>
        <v>0</v>
      </c>
      <c r="U15" s="25">
        <f>IF('[1]Sumario Trades'!$B14 &gt;=Dashboard!$B$25,'[1]Sumario Trades'!W14,0)</f>
        <v>0</v>
      </c>
      <c r="V15" s="25">
        <f>IF('[1]Sumario Trades'!$B14 &gt;=Dashboard!$B$25,'[1]Sumario Trades'!X14,0)</f>
        <v>0</v>
      </c>
      <c r="W15" s="25">
        <f>IF('[1]Sumario Trades'!$B14 &gt;=Dashboard!$B$25,'[1]Sumario Trades'!X14,0)</f>
        <v>0</v>
      </c>
      <c r="X15" s="25">
        <f>IF('[1]Sumario Trades'!$B14 &gt;=Dashboard!$B$25,'[1]Sumario Trades'!Y14,0)</f>
        <v>0</v>
      </c>
      <c r="Y15" s="25" t="b">
        <f t="shared" si="0"/>
        <v>0</v>
      </c>
      <c r="Z15" s="25" t="b">
        <f t="shared" si="1"/>
        <v>0</v>
      </c>
      <c r="AA15" s="25" t="b">
        <f t="shared" si="2"/>
        <v>0</v>
      </c>
      <c r="AB15" s="25" t="b">
        <f t="shared" si="3"/>
        <v>0</v>
      </c>
    </row>
    <row r="16" spans="2:28" x14ac:dyDescent="0.3">
      <c r="B16" s="25">
        <f>IF('[1]Sumario Trades'!$B15 &gt;=Dashboard!$B$25,'[1]Sumario Trades'!E15,0)</f>
        <v>0</v>
      </c>
      <c r="C16" s="24">
        <f>IF('[1]Sumario Trades'!$B15 &gt;=Dashboard!$B$25,'[1]Sumario Trades'!B15,0)</f>
        <v>0</v>
      </c>
      <c r="D16" s="24">
        <f>IF('[1]Sumario Trades'!$B15 &gt;=Dashboard!$B$25,'[1]Sumario Trades'!D15,0)</f>
        <v>0</v>
      </c>
      <c r="E16" s="25">
        <f>IF('[1]Sumario Trades'!$B15 &gt;=Dashboard!$B$25,'[1]Sumario Trades'!F15,0)</f>
        <v>0</v>
      </c>
      <c r="F16" s="25">
        <f>IF('[1]Sumario Trades'!$B15 &gt;=Dashboard!$B$25,'[1]Sumario Trades'!G15,0)</f>
        <v>0</v>
      </c>
      <c r="G16" s="25">
        <f>IF('[1]Sumario Trades'!$B15 &gt;=Dashboard!$B$25,'[1]Sumario Trades'!H15,0)</f>
        <v>0</v>
      </c>
      <c r="H16" s="25">
        <f>IF('[1]Sumario Trades'!$B15 &gt;=Dashboard!$B$25,'[1]Sumario Trades'!Q15,0)</f>
        <v>0</v>
      </c>
      <c r="I16" s="25">
        <f>IF('[1]Sumario Trades'!$B15 &gt;=Dashboard!$B$25,'[1]Sumario Trades'!J15,0)</f>
        <v>0</v>
      </c>
      <c r="J16" s="25">
        <f>IF('[1]Sumario Trades'!$B15 &gt;=Dashboard!$B$25,'[1]Sumario Trades'!K15,0)</f>
        <v>0</v>
      </c>
      <c r="K16" s="25">
        <f>IF('[1]Sumario Trades'!$B15 &gt;=Dashboard!$B$25,'[1]Sumario Trades'!L15,0)</f>
        <v>0</v>
      </c>
      <c r="L16" s="25">
        <f>IF('[1]Sumario Trades'!$B15 &gt;=Dashboard!$B$25,'[1]Sumario Trades'!M15,0)</f>
        <v>0</v>
      </c>
      <c r="M16" s="25">
        <f>IF('[1]Sumario Trades'!$B15 &gt;=Dashboard!$B$25,'[1]Sumario Trades'!N15,0)</f>
        <v>0</v>
      </c>
      <c r="N16" s="25">
        <f>IF('[1]Sumario Trades'!$B15 &gt;=Dashboard!$B$25,'[1]Sumario Trades'!O15,0)</f>
        <v>0</v>
      </c>
      <c r="O16" s="25">
        <f>IF('[1]Sumario Trades'!$B15 &gt;=Dashboard!$B$25,'[1]Sumario Trades'!P15,0)</f>
        <v>0</v>
      </c>
      <c r="P16" s="25">
        <f>IF('[1]Sumario Trades'!$B15 &gt;=Dashboard!$B$25,'[1]Sumario Trades'!R15,0)</f>
        <v>0</v>
      </c>
      <c r="Q16" s="25">
        <f>IF('[1]Sumario Trades'!$B15 &gt;=Dashboard!$B$25,'[1]Sumario Trades'!S15,0)</f>
        <v>0</v>
      </c>
      <c r="R16" s="25">
        <f>IF('[1]Sumario Trades'!$B15 &gt;=Dashboard!$B$25,'[1]Sumario Trades'!T15,0)</f>
        <v>0</v>
      </c>
      <c r="S16" s="25">
        <f>IF('[1]Sumario Trades'!$B15 &gt;=Dashboard!$B$25,'[1]Sumario Trades'!U15,0)</f>
        <v>0</v>
      </c>
      <c r="T16" s="25">
        <f>IF('[1]Sumario Trades'!$B15 &gt;=Dashboard!$B$25,'[1]Sumario Trades'!V15,0)</f>
        <v>0</v>
      </c>
      <c r="U16" s="25">
        <f>IF('[1]Sumario Trades'!$B15 &gt;=Dashboard!$B$25,'[1]Sumario Trades'!W15,0)</f>
        <v>0</v>
      </c>
      <c r="V16" s="25">
        <f>IF('[1]Sumario Trades'!$B15 &gt;=Dashboard!$B$25,'[1]Sumario Trades'!X15,0)</f>
        <v>0</v>
      </c>
      <c r="W16" s="25">
        <f>IF('[1]Sumario Trades'!$B15 &gt;=Dashboard!$B$25,'[1]Sumario Trades'!X15,0)</f>
        <v>0</v>
      </c>
      <c r="X16" s="25">
        <f>IF('[1]Sumario Trades'!$B15 &gt;=Dashboard!$B$25,'[1]Sumario Trades'!Y15,0)</f>
        <v>0</v>
      </c>
      <c r="Y16" s="25" t="b">
        <f t="shared" si="0"/>
        <v>0</v>
      </c>
      <c r="Z16" s="25" t="b">
        <f t="shared" si="1"/>
        <v>0</v>
      </c>
      <c r="AA16" s="25" t="b">
        <f t="shared" si="2"/>
        <v>0</v>
      </c>
      <c r="AB16" s="25" t="b">
        <f t="shared" si="3"/>
        <v>0</v>
      </c>
    </row>
    <row r="17" spans="2:28" x14ac:dyDescent="0.3">
      <c r="B17" s="25">
        <f>IF('[1]Sumario Trades'!$B16 &gt;=Dashboard!$B$25,'[1]Sumario Trades'!E16,0)</f>
        <v>0</v>
      </c>
      <c r="C17" s="24">
        <f>IF('[1]Sumario Trades'!$B16 &gt;=Dashboard!$B$25,'[1]Sumario Trades'!B16,0)</f>
        <v>0</v>
      </c>
      <c r="D17" s="24">
        <f>IF('[1]Sumario Trades'!$B16 &gt;=Dashboard!$B$25,'[1]Sumario Trades'!D16,0)</f>
        <v>0</v>
      </c>
      <c r="E17" s="25">
        <f>IF('[1]Sumario Trades'!$B16 &gt;=Dashboard!$B$25,'[1]Sumario Trades'!F16,0)</f>
        <v>0</v>
      </c>
      <c r="F17" s="25">
        <f>IF('[1]Sumario Trades'!$B16 &gt;=Dashboard!$B$25,'[1]Sumario Trades'!G16,0)</f>
        <v>0</v>
      </c>
      <c r="G17" s="25">
        <f>IF('[1]Sumario Trades'!$B16 &gt;=Dashboard!$B$25,'[1]Sumario Trades'!H16,0)</f>
        <v>0</v>
      </c>
      <c r="H17" s="25">
        <f>IF('[1]Sumario Trades'!$B16 &gt;=Dashboard!$B$25,'[1]Sumario Trades'!Q16,0)</f>
        <v>0</v>
      </c>
      <c r="I17" s="25">
        <f>IF('[1]Sumario Trades'!$B16 &gt;=Dashboard!$B$25,'[1]Sumario Trades'!J16,0)</f>
        <v>0</v>
      </c>
      <c r="J17" s="25">
        <f>IF('[1]Sumario Trades'!$B16 &gt;=Dashboard!$B$25,'[1]Sumario Trades'!K16,0)</f>
        <v>0</v>
      </c>
      <c r="K17" s="25">
        <f>IF('[1]Sumario Trades'!$B16 &gt;=Dashboard!$B$25,'[1]Sumario Trades'!L16,0)</f>
        <v>0</v>
      </c>
      <c r="L17" s="25">
        <f>IF('[1]Sumario Trades'!$B16 &gt;=Dashboard!$B$25,'[1]Sumario Trades'!M16,0)</f>
        <v>0</v>
      </c>
      <c r="M17" s="25">
        <f>IF('[1]Sumario Trades'!$B16 &gt;=Dashboard!$B$25,'[1]Sumario Trades'!N16,0)</f>
        <v>0</v>
      </c>
      <c r="N17" s="25">
        <f>IF('[1]Sumario Trades'!$B16 &gt;=Dashboard!$B$25,'[1]Sumario Trades'!O16,0)</f>
        <v>0</v>
      </c>
      <c r="O17" s="25">
        <f>IF('[1]Sumario Trades'!$B16 &gt;=Dashboard!$B$25,'[1]Sumario Trades'!P16,0)</f>
        <v>0</v>
      </c>
      <c r="P17" s="25">
        <f>IF('[1]Sumario Trades'!$B16 &gt;=Dashboard!$B$25,'[1]Sumario Trades'!R16,0)</f>
        <v>0</v>
      </c>
      <c r="Q17" s="25">
        <f>IF('[1]Sumario Trades'!$B16 &gt;=Dashboard!$B$25,'[1]Sumario Trades'!S16,0)</f>
        <v>0</v>
      </c>
      <c r="R17" s="25">
        <f>IF('[1]Sumario Trades'!$B16 &gt;=Dashboard!$B$25,'[1]Sumario Trades'!T16,0)</f>
        <v>0</v>
      </c>
      <c r="S17" s="25">
        <f>IF('[1]Sumario Trades'!$B16 &gt;=Dashboard!$B$25,'[1]Sumario Trades'!U16,0)</f>
        <v>0</v>
      </c>
      <c r="T17" s="25">
        <f>IF('[1]Sumario Trades'!$B16 &gt;=Dashboard!$B$25,'[1]Sumario Trades'!V16,0)</f>
        <v>0</v>
      </c>
      <c r="U17" s="25">
        <f>IF('[1]Sumario Trades'!$B16 &gt;=Dashboard!$B$25,'[1]Sumario Trades'!W16,0)</f>
        <v>0</v>
      </c>
      <c r="V17" s="25">
        <f>IF('[1]Sumario Trades'!$B16 &gt;=Dashboard!$B$25,'[1]Sumario Trades'!X16,0)</f>
        <v>0</v>
      </c>
      <c r="W17" s="25">
        <f>IF('[1]Sumario Trades'!$B16 &gt;=Dashboard!$B$25,'[1]Sumario Trades'!X16,0)</f>
        <v>0</v>
      </c>
      <c r="X17" s="25">
        <f>IF('[1]Sumario Trades'!$B16 &gt;=Dashboard!$B$25,'[1]Sumario Trades'!Y16,0)</f>
        <v>0</v>
      </c>
      <c r="Y17" s="25" t="b">
        <f t="shared" si="0"/>
        <v>0</v>
      </c>
      <c r="Z17" s="25" t="b">
        <f t="shared" si="1"/>
        <v>0</v>
      </c>
      <c r="AA17" s="25" t="b">
        <f t="shared" si="2"/>
        <v>0</v>
      </c>
      <c r="AB17" s="25" t="b">
        <f t="shared" si="3"/>
        <v>0</v>
      </c>
    </row>
    <row r="18" spans="2:28" x14ac:dyDescent="0.3">
      <c r="B18" s="25">
        <f>IF('[1]Sumario Trades'!$B17 &gt;=Dashboard!$B$25,'[1]Sumario Trades'!E17,0)</f>
        <v>0</v>
      </c>
      <c r="C18" s="24">
        <f>IF('[1]Sumario Trades'!$B17 &gt;=Dashboard!$B$25,'[1]Sumario Trades'!B17,0)</f>
        <v>0</v>
      </c>
      <c r="D18" s="24">
        <f>IF('[1]Sumario Trades'!$B17 &gt;=Dashboard!$B$25,'[1]Sumario Trades'!D17,0)</f>
        <v>0</v>
      </c>
      <c r="E18" s="25">
        <f>IF('[1]Sumario Trades'!$B17 &gt;=Dashboard!$B$25,'[1]Sumario Trades'!F17,0)</f>
        <v>0</v>
      </c>
      <c r="F18" s="25">
        <f>IF('[1]Sumario Trades'!$B17 &gt;=Dashboard!$B$25,'[1]Sumario Trades'!G17,0)</f>
        <v>0</v>
      </c>
      <c r="G18" s="25">
        <f>IF('[1]Sumario Trades'!$B17 &gt;=Dashboard!$B$25,'[1]Sumario Trades'!H17,0)</f>
        <v>0</v>
      </c>
      <c r="H18" s="25">
        <f>IF('[1]Sumario Trades'!$B17 &gt;=Dashboard!$B$25,'[1]Sumario Trades'!Q17,0)</f>
        <v>0</v>
      </c>
      <c r="I18" s="25">
        <f>IF('[1]Sumario Trades'!$B17 &gt;=Dashboard!$B$25,'[1]Sumario Trades'!J17,0)</f>
        <v>0</v>
      </c>
      <c r="J18" s="25">
        <f>IF('[1]Sumario Trades'!$B17 &gt;=Dashboard!$B$25,'[1]Sumario Trades'!K17,0)</f>
        <v>0</v>
      </c>
      <c r="K18" s="25">
        <f>IF('[1]Sumario Trades'!$B17 &gt;=Dashboard!$B$25,'[1]Sumario Trades'!L17,0)</f>
        <v>0</v>
      </c>
      <c r="L18" s="25">
        <f>IF('[1]Sumario Trades'!$B17 &gt;=Dashboard!$B$25,'[1]Sumario Trades'!M17,0)</f>
        <v>0</v>
      </c>
      <c r="M18" s="25">
        <f>IF('[1]Sumario Trades'!$B17 &gt;=Dashboard!$B$25,'[1]Sumario Trades'!N17,0)</f>
        <v>0</v>
      </c>
      <c r="N18" s="25">
        <f>IF('[1]Sumario Trades'!$B17 &gt;=Dashboard!$B$25,'[1]Sumario Trades'!O17,0)</f>
        <v>0</v>
      </c>
      <c r="O18" s="25">
        <f>IF('[1]Sumario Trades'!$B17 &gt;=Dashboard!$B$25,'[1]Sumario Trades'!P17,0)</f>
        <v>0</v>
      </c>
      <c r="P18" s="25">
        <f>IF('[1]Sumario Trades'!$B17 &gt;=Dashboard!$B$25,'[1]Sumario Trades'!R17,0)</f>
        <v>0</v>
      </c>
      <c r="Q18" s="25">
        <f>IF('[1]Sumario Trades'!$B17 &gt;=Dashboard!$B$25,'[1]Sumario Trades'!S17,0)</f>
        <v>0</v>
      </c>
      <c r="R18" s="25">
        <f>IF('[1]Sumario Trades'!$B17 &gt;=Dashboard!$B$25,'[1]Sumario Trades'!T17,0)</f>
        <v>0</v>
      </c>
      <c r="S18" s="25">
        <f>IF('[1]Sumario Trades'!$B17 &gt;=Dashboard!$B$25,'[1]Sumario Trades'!U17,0)</f>
        <v>0</v>
      </c>
      <c r="T18" s="25">
        <f>IF('[1]Sumario Trades'!$B17 &gt;=Dashboard!$B$25,'[1]Sumario Trades'!V17,0)</f>
        <v>0</v>
      </c>
      <c r="U18" s="25">
        <f>IF('[1]Sumario Trades'!$B17 &gt;=Dashboard!$B$25,'[1]Sumario Trades'!W17,0)</f>
        <v>0</v>
      </c>
      <c r="V18" s="25">
        <f>IF('[1]Sumario Trades'!$B17 &gt;=Dashboard!$B$25,'[1]Sumario Trades'!X17,0)</f>
        <v>0</v>
      </c>
      <c r="W18" s="25">
        <f>IF('[1]Sumario Trades'!$B17 &gt;=Dashboard!$B$25,'[1]Sumario Trades'!X17,0)</f>
        <v>0</v>
      </c>
      <c r="X18" s="25">
        <f>IF('[1]Sumario Trades'!$B17 &gt;=Dashboard!$B$25,'[1]Sumario Trades'!Y17,0)</f>
        <v>0</v>
      </c>
      <c r="Y18" s="25" t="b">
        <f t="shared" si="0"/>
        <v>0</v>
      </c>
      <c r="Z18" s="25" t="b">
        <f t="shared" si="1"/>
        <v>0</v>
      </c>
      <c r="AA18" s="25" t="b">
        <f t="shared" si="2"/>
        <v>0</v>
      </c>
      <c r="AB18" s="25" t="b">
        <f t="shared" si="3"/>
        <v>0</v>
      </c>
    </row>
    <row r="19" spans="2:28" x14ac:dyDescent="0.3">
      <c r="B19" s="25">
        <f>IF('[1]Sumario Trades'!$B18 &gt;=Dashboard!$B$25,'[1]Sumario Trades'!E18,0)</f>
        <v>0</v>
      </c>
      <c r="C19" s="24">
        <f>IF('[1]Sumario Trades'!$B18 &gt;=Dashboard!$B$25,'[1]Sumario Trades'!B18,0)</f>
        <v>0</v>
      </c>
      <c r="D19" s="24">
        <f>IF('[1]Sumario Trades'!$B18 &gt;=Dashboard!$B$25,'[1]Sumario Trades'!D18,0)</f>
        <v>0</v>
      </c>
      <c r="E19" s="25">
        <f>IF('[1]Sumario Trades'!$B18 &gt;=Dashboard!$B$25,'[1]Sumario Trades'!F18,0)</f>
        <v>0</v>
      </c>
      <c r="F19" s="25">
        <f>IF('[1]Sumario Trades'!$B18 &gt;=Dashboard!$B$25,'[1]Sumario Trades'!G18,0)</f>
        <v>0</v>
      </c>
      <c r="G19" s="25">
        <f>IF('[1]Sumario Trades'!$B18 &gt;=Dashboard!$B$25,'[1]Sumario Trades'!H18,0)</f>
        <v>0</v>
      </c>
      <c r="H19" s="25">
        <f>IF('[1]Sumario Trades'!$B18 &gt;=Dashboard!$B$25,'[1]Sumario Trades'!Q18,0)</f>
        <v>0</v>
      </c>
      <c r="I19" s="25">
        <f>IF('[1]Sumario Trades'!$B18 &gt;=Dashboard!$B$25,'[1]Sumario Trades'!J18,0)</f>
        <v>0</v>
      </c>
      <c r="J19" s="25">
        <f>IF('[1]Sumario Trades'!$B18 &gt;=Dashboard!$B$25,'[1]Sumario Trades'!K18,0)</f>
        <v>0</v>
      </c>
      <c r="K19" s="25">
        <f>IF('[1]Sumario Trades'!$B18 &gt;=Dashboard!$B$25,'[1]Sumario Trades'!L18,0)</f>
        <v>0</v>
      </c>
      <c r="L19" s="25">
        <f>IF('[1]Sumario Trades'!$B18 &gt;=Dashboard!$B$25,'[1]Sumario Trades'!M18,0)</f>
        <v>0</v>
      </c>
      <c r="M19" s="25">
        <f>IF('[1]Sumario Trades'!$B18 &gt;=Dashboard!$B$25,'[1]Sumario Trades'!N18,0)</f>
        <v>0</v>
      </c>
      <c r="N19" s="25">
        <f>IF('[1]Sumario Trades'!$B18 &gt;=Dashboard!$B$25,'[1]Sumario Trades'!O18,0)</f>
        <v>0</v>
      </c>
      <c r="O19" s="25">
        <f>IF('[1]Sumario Trades'!$B18 &gt;=Dashboard!$B$25,'[1]Sumario Trades'!P18,0)</f>
        <v>0</v>
      </c>
      <c r="P19" s="25">
        <f>IF('[1]Sumario Trades'!$B18 &gt;=Dashboard!$B$25,'[1]Sumario Trades'!R18,0)</f>
        <v>0</v>
      </c>
      <c r="Q19" s="25">
        <f>IF('[1]Sumario Trades'!$B18 &gt;=Dashboard!$B$25,'[1]Sumario Trades'!S18,0)</f>
        <v>0</v>
      </c>
      <c r="R19" s="25">
        <f>IF('[1]Sumario Trades'!$B18 &gt;=Dashboard!$B$25,'[1]Sumario Trades'!T18,0)</f>
        <v>0</v>
      </c>
      <c r="S19" s="25">
        <f>IF('[1]Sumario Trades'!$B18 &gt;=Dashboard!$B$25,'[1]Sumario Trades'!U18,0)</f>
        <v>0</v>
      </c>
      <c r="T19" s="25">
        <f>IF('[1]Sumario Trades'!$B18 &gt;=Dashboard!$B$25,'[1]Sumario Trades'!V18,0)</f>
        <v>0</v>
      </c>
      <c r="U19" s="25">
        <f>IF('[1]Sumario Trades'!$B18 &gt;=Dashboard!$B$25,'[1]Sumario Trades'!W18,0)</f>
        <v>0</v>
      </c>
      <c r="V19" s="25">
        <f>IF('[1]Sumario Trades'!$B18 &gt;=Dashboard!$B$25,'[1]Sumario Trades'!X18,0)</f>
        <v>0</v>
      </c>
      <c r="W19" s="25">
        <f>IF('[1]Sumario Trades'!$B18 &gt;=Dashboard!$B$25,'[1]Sumario Trades'!X18,0)</f>
        <v>0</v>
      </c>
      <c r="X19" s="25">
        <f>IF('[1]Sumario Trades'!$B18 &gt;=Dashboard!$B$25,'[1]Sumario Trades'!Y18,0)</f>
        <v>0</v>
      </c>
      <c r="Y19" s="25" t="b">
        <f t="shared" si="0"/>
        <v>0</v>
      </c>
      <c r="Z19" s="25" t="b">
        <f t="shared" si="1"/>
        <v>0</v>
      </c>
      <c r="AA19" s="25" t="b">
        <f t="shared" si="2"/>
        <v>0</v>
      </c>
      <c r="AB19" s="25" t="b">
        <f t="shared" si="3"/>
        <v>0</v>
      </c>
    </row>
    <row r="20" spans="2:28" x14ac:dyDescent="0.3">
      <c r="B20" s="25">
        <f>IF('[1]Sumario Trades'!$B19 &gt;=Dashboard!$B$25,'[1]Sumario Trades'!E19,0)</f>
        <v>0</v>
      </c>
      <c r="C20" s="24">
        <f>IF('[1]Sumario Trades'!$B19 &gt;=Dashboard!$B$25,'[1]Sumario Trades'!B19,0)</f>
        <v>0</v>
      </c>
      <c r="D20" s="24">
        <f>IF('[1]Sumario Trades'!$B19 &gt;=Dashboard!$B$25,'[1]Sumario Trades'!D19,0)</f>
        <v>0</v>
      </c>
      <c r="E20" s="25">
        <f>IF('[1]Sumario Trades'!$B19 &gt;=Dashboard!$B$25,'[1]Sumario Trades'!F19,0)</f>
        <v>0</v>
      </c>
      <c r="F20" s="25">
        <f>IF('[1]Sumario Trades'!$B19 &gt;=Dashboard!$B$25,'[1]Sumario Trades'!G19,0)</f>
        <v>0</v>
      </c>
      <c r="G20" s="25">
        <f>IF('[1]Sumario Trades'!$B19 &gt;=Dashboard!$B$25,'[1]Sumario Trades'!H19,0)</f>
        <v>0</v>
      </c>
      <c r="H20" s="25">
        <f>IF('[1]Sumario Trades'!$B19 &gt;=Dashboard!$B$25,'[1]Sumario Trades'!Q19,0)</f>
        <v>0</v>
      </c>
      <c r="I20" s="25">
        <f>IF('[1]Sumario Trades'!$B19 &gt;=Dashboard!$B$25,'[1]Sumario Trades'!J19,0)</f>
        <v>0</v>
      </c>
      <c r="J20" s="25">
        <f>IF('[1]Sumario Trades'!$B19 &gt;=Dashboard!$B$25,'[1]Sumario Trades'!K19,0)</f>
        <v>0</v>
      </c>
      <c r="K20" s="25">
        <f>IF('[1]Sumario Trades'!$B19 &gt;=Dashboard!$B$25,'[1]Sumario Trades'!L19,0)</f>
        <v>0</v>
      </c>
      <c r="L20" s="25">
        <f>IF('[1]Sumario Trades'!$B19 &gt;=Dashboard!$B$25,'[1]Sumario Trades'!M19,0)</f>
        <v>0</v>
      </c>
      <c r="M20" s="25">
        <f>IF('[1]Sumario Trades'!$B19 &gt;=Dashboard!$B$25,'[1]Sumario Trades'!N19,0)</f>
        <v>0</v>
      </c>
      <c r="N20" s="25">
        <f>IF('[1]Sumario Trades'!$B19 &gt;=Dashboard!$B$25,'[1]Sumario Trades'!O19,0)</f>
        <v>0</v>
      </c>
      <c r="O20" s="25">
        <f>IF('[1]Sumario Trades'!$B19 &gt;=Dashboard!$B$25,'[1]Sumario Trades'!P19,0)</f>
        <v>0</v>
      </c>
      <c r="P20" s="25">
        <f>IF('[1]Sumario Trades'!$B19 &gt;=Dashboard!$B$25,'[1]Sumario Trades'!R19,0)</f>
        <v>0</v>
      </c>
      <c r="Q20" s="25">
        <f>IF('[1]Sumario Trades'!$B19 &gt;=Dashboard!$B$25,'[1]Sumario Trades'!S19,0)</f>
        <v>0</v>
      </c>
      <c r="R20" s="25">
        <f>IF('[1]Sumario Trades'!$B19 &gt;=Dashboard!$B$25,'[1]Sumario Trades'!T19,0)</f>
        <v>0</v>
      </c>
      <c r="S20" s="25">
        <f>IF('[1]Sumario Trades'!$B19 &gt;=Dashboard!$B$25,'[1]Sumario Trades'!U19,0)</f>
        <v>0</v>
      </c>
      <c r="T20" s="25">
        <f>IF('[1]Sumario Trades'!$B19 &gt;=Dashboard!$B$25,'[1]Sumario Trades'!V19,0)</f>
        <v>0</v>
      </c>
      <c r="U20" s="25">
        <f>IF('[1]Sumario Trades'!$B19 &gt;=Dashboard!$B$25,'[1]Sumario Trades'!W19,0)</f>
        <v>0</v>
      </c>
      <c r="V20" s="25">
        <f>IF('[1]Sumario Trades'!$B19 &gt;=Dashboard!$B$25,'[1]Sumario Trades'!X19,0)</f>
        <v>0</v>
      </c>
      <c r="W20" s="25">
        <f>IF('[1]Sumario Trades'!$B19 &gt;=Dashboard!$B$25,'[1]Sumario Trades'!X19,0)</f>
        <v>0</v>
      </c>
      <c r="X20" s="25">
        <f>IF('[1]Sumario Trades'!$B19 &gt;=Dashboard!$B$25,'[1]Sumario Trades'!Y19,0)</f>
        <v>0</v>
      </c>
      <c r="Y20" s="25" t="b">
        <f t="shared" si="0"/>
        <v>0</v>
      </c>
      <c r="Z20" s="25" t="b">
        <f t="shared" si="1"/>
        <v>0</v>
      </c>
      <c r="AA20" s="25" t="b">
        <f t="shared" si="2"/>
        <v>0</v>
      </c>
      <c r="AB20" s="25" t="b">
        <f t="shared" si="3"/>
        <v>0</v>
      </c>
    </row>
    <row r="21" spans="2:28" x14ac:dyDescent="0.3">
      <c r="B21" s="25">
        <f>IF('[1]Sumario Trades'!$B20 &gt;=Dashboard!$B$25,'[1]Sumario Trades'!E20,0)</f>
        <v>0</v>
      </c>
      <c r="C21" s="24">
        <f>IF('[1]Sumario Trades'!$B20 &gt;=Dashboard!$B$25,'[1]Sumario Trades'!B20,0)</f>
        <v>0</v>
      </c>
      <c r="D21" s="24">
        <f>IF('[1]Sumario Trades'!$B20 &gt;=Dashboard!$B$25,'[1]Sumario Trades'!D20,0)</f>
        <v>0</v>
      </c>
      <c r="E21" s="25">
        <f>IF('[1]Sumario Trades'!$B20 &gt;=Dashboard!$B$25,'[1]Sumario Trades'!F20,0)</f>
        <v>0</v>
      </c>
      <c r="F21" s="25">
        <f>IF('[1]Sumario Trades'!$B20 &gt;=Dashboard!$B$25,'[1]Sumario Trades'!G20,0)</f>
        <v>0</v>
      </c>
      <c r="G21" s="25">
        <f>IF('[1]Sumario Trades'!$B20 &gt;=Dashboard!$B$25,'[1]Sumario Trades'!H20,0)</f>
        <v>0</v>
      </c>
      <c r="H21" s="25">
        <f>IF('[1]Sumario Trades'!$B20 &gt;=Dashboard!$B$25,'[1]Sumario Trades'!Q20,0)</f>
        <v>0</v>
      </c>
      <c r="I21" s="25">
        <f>IF('[1]Sumario Trades'!$B20 &gt;=Dashboard!$B$25,'[1]Sumario Trades'!J20,0)</f>
        <v>0</v>
      </c>
      <c r="J21" s="25">
        <f>IF('[1]Sumario Trades'!$B20 &gt;=Dashboard!$B$25,'[1]Sumario Trades'!K20,0)</f>
        <v>0</v>
      </c>
      <c r="K21" s="25">
        <f>IF('[1]Sumario Trades'!$B20 &gt;=Dashboard!$B$25,'[1]Sumario Trades'!L20,0)</f>
        <v>0</v>
      </c>
      <c r="L21" s="25">
        <f>IF('[1]Sumario Trades'!$B20 &gt;=Dashboard!$B$25,'[1]Sumario Trades'!M20,0)</f>
        <v>0</v>
      </c>
      <c r="M21" s="25">
        <f>IF('[1]Sumario Trades'!$B20 &gt;=Dashboard!$B$25,'[1]Sumario Trades'!N20,0)</f>
        <v>0</v>
      </c>
      <c r="N21" s="25">
        <f>IF('[1]Sumario Trades'!$B20 &gt;=Dashboard!$B$25,'[1]Sumario Trades'!O20,0)</f>
        <v>0</v>
      </c>
      <c r="O21" s="25">
        <f>IF('[1]Sumario Trades'!$B20 &gt;=Dashboard!$B$25,'[1]Sumario Trades'!P20,0)</f>
        <v>0</v>
      </c>
      <c r="P21" s="25">
        <f>IF('[1]Sumario Trades'!$B20 &gt;=Dashboard!$B$25,'[1]Sumario Trades'!R20,0)</f>
        <v>0</v>
      </c>
      <c r="Q21" s="25">
        <f>IF('[1]Sumario Trades'!$B20 &gt;=Dashboard!$B$25,'[1]Sumario Trades'!S20,0)</f>
        <v>0</v>
      </c>
      <c r="R21" s="25">
        <f>IF('[1]Sumario Trades'!$B20 &gt;=Dashboard!$B$25,'[1]Sumario Trades'!T20,0)</f>
        <v>0</v>
      </c>
      <c r="S21" s="25">
        <f>IF('[1]Sumario Trades'!$B20 &gt;=Dashboard!$B$25,'[1]Sumario Trades'!U20,0)</f>
        <v>0</v>
      </c>
      <c r="T21" s="25">
        <f>IF('[1]Sumario Trades'!$B20 &gt;=Dashboard!$B$25,'[1]Sumario Trades'!V20,0)</f>
        <v>0</v>
      </c>
      <c r="U21" s="25">
        <f>IF('[1]Sumario Trades'!$B20 &gt;=Dashboard!$B$25,'[1]Sumario Trades'!W20,0)</f>
        <v>0</v>
      </c>
      <c r="V21" s="25">
        <f>IF('[1]Sumario Trades'!$B20 &gt;=Dashboard!$B$25,'[1]Sumario Trades'!X20,0)</f>
        <v>0</v>
      </c>
      <c r="W21" s="25">
        <f>IF('[1]Sumario Trades'!$B20 &gt;=Dashboard!$B$25,'[1]Sumario Trades'!X20,0)</f>
        <v>0</v>
      </c>
      <c r="X21" s="25">
        <f>IF('[1]Sumario Trades'!$B20 &gt;=Dashboard!$B$25,'[1]Sumario Trades'!Y20,0)</f>
        <v>0</v>
      </c>
      <c r="Y21" s="25" t="b">
        <f t="shared" si="0"/>
        <v>0</v>
      </c>
      <c r="Z21" s="25" t="b">
        <f t="shared" si="1"/>
        <v>0</v>
      </c>
      <c r="AA21" s="25" t="b">
        <f t="shared" si="2"/>
        <v>0</v>
      </c>
      <c r="AB21" s="25" t="b">
        <f t="shared" si="3"/>
        <v>0</v>
      </c>
    </row>
    <row r="22" spans="2:28" x14ac:dyDescent="0.3">
      <c r="B22" s="25"/>
      <c r="C22" s="24"/>
      <c r="D22" s="24"/>
    </row>
    <row r="23" spans="2:28" x14ac:dyDescent="0.3">
      <c r="B23" s="25"/>
      <c r="C23" s="24"/>
      <c r="D23" s="24"/>
      <c r="I23" s="25" t="b">
        <f>EXACT($I3,"SLD")</f>
        <v>1</v>
      </c>
    </row>
    <row r="24" spans="2:28" x14ac:dyDescent="0.3">
      <c r="B24" s="25"/>
      <c r="C24" s="24"/>
      <c r="D24" s="24"/>
      <c r="G24" s="25" t="b">
        <f>ISNUMBER(SEARCH("C",$B7))</f>
        <v>0</v>
      </c>
    </row>
    <row r="25" spans="2:28" x14ac:dyDescent="0.3">
      <c r="B25" s="25"/>
      <c r="C25" s="24"/>
      <c r="D25" s="24"/>
    </row>
    <row r="26" spans="2:28" x14ac:dyDescent="0.3">
      <c r="B26" s="25"/>
      <c r="C26" s="24"/>
      <c r="D26" s="24"/>
    </row>
    <row r="27" spans="2:28" x14ac:dyDescent="0.3">
      <c r="B27" s="25"/>
      <c r="C27" s="24"/>
      <c r="D27" s="24"/>
      <c r="E27" s="25" t="b">
        <f>AND(IF(EXACT(ISNUMBER(SEARCH("C",$B3)),"VERDADERO"),1,0),IF(EXACT(EXACT($I3, "SLD"),"VERDADERO"),1,0))</f>
        <v>1</v>
      </c>
    </row>
    <row r="28" spans="2:28" x14ac:dyDescent="0.3">
      <c r="B28" s="25"/>
      <c r="C28" s="24"/>
      <c r="D28" s="24"/>
      <c r="E28" s="25" t="b">
        <f>AND(IF(EXACT(ISNUMBER(SEARCH("C",$B3)),"VERDADERO"),1,0),IF(EXACT(EXACT($I3, "BOT"),"VERDADERO"),1,0))</f>
        <v>0</v>
      </c>
    </row>
    <row r="29" spans="2:28" x14ac:dyDescent="0.3">
      <c r="B29" s="25"/>
      <c r="C29" s="24"/>
      <c r="D29" s="24"/>
      <c r="E29" s="25" t="b">
        <f>AND(IF(EXACT(ISNUMBER(SEARCH("P",$B4)),"VERDADERO"),1,0),IF(EXACT(EXACT($I4, "BOT"),"VERDADERO"),1,0))</f>
        <v>0</v>
      </c>
    </row>
    <row r="30" spans="2:28" x14ac:dyDescent="0.3">
      <c r="B30" s="25"/>
      <c r="C30" s="24"/>
      <c r="D30" s="24"/>
      <c r="E30" s="25" t="b">
        <f>AND(IF(EXACT(ISNUMBER(SEARCH("P",$B5)),"VERDADERO"),1,0),IF(EXACT(EXACT($I5, "SLD"),"VERDADERO"),1,0))</f>
        <v>0</v>
      </c>
    </row>
    <row r="31" spans="2:28" x14ac:dyDescent="0.3">
      <c r="B31" s="25"/>
      <c r="C31" s="24"/>
      <c r="D31" s="24"/>
    </row>
    <row r="32" spans="2:28" x14ac:dyDescent="0.3">
      <c r="B32" s="25"/>
      <c r="C32" s="24"/>
      <c r="D32" s="24"/>
    </row>
    <row r="33" spans="2:4" x14ac:dyDescent="0.3">
      <c r="B33" s="25"/>
      <c r="C33" s="24"/>
      <c r="D33" s="24"/>
    </row>
    <row r="34" spans="2:4" x14ac:dyDescent="0.3">
      <c r="B34" s="25"/>
      <c r="C34" s="24"/>
      <c r="D34" s="24"/>
    </row>
    <row r="35" spans="2:4" x14ac:dyDescent="0.3">
      <c r="B35" s="25"/>
      <c r="C35" s="24"/>
      <c r="D35" s="24"/>
    </row>
    <row r="36" spans="2:4" x14ac:dyDescent="0.3">
      <c r="B36" s="25"/>
      <c r="C36" s="24"/>
      <c r="D36" s="24"/>
    </row>
    <row r="37" spans="2:4" x14ac:dyDescent="0.3">
      <c r="B37" s="25"/>
      <c r="C37" s="24"/>
      <c r="D37" s="24"/>
    </row>
    <row r="38" spans="2:4" x14ac:dyDescent="0.3">
      <c r="B38" s="25"/>
      <c r="C38" s="24"/>
      <c r="D38" s="24"/>
    </row>
    <row r="39" spans="2:4" x14ac:dyDescent="0.3">
      <c r="B39" s="25"/>
      <c r="C39" s="24"/>
      <c r="D39" s="24"/>
    </row>
    <row r="40" spans="2:4" x14ac:dyDescent="0.3">
      <c r="B40" s="25"/>
      <c r="C40" s="24"/>
      <c r="D40" s="24"/>
    </row>
    <row r="41" spans="2:4" x14ac:dyDescent="0.3">
      <c r="B41" s="25"/>
      <c r="C41" s="24"/>
      <c r="D41" s="24"/>
    </row>
    <row r="42" spans="2:4" x14ac:dyDescent="0.3">
      <c r="B42" s="25"/>
      <c r="C42" s="24"/>
      <c r="D42" s="24"/>
    </row>
    <row r="43" spans="2:4" x14ac:dyDescent="0.3">
      <c r="B43" s="25"/>
      <c r="C43" s="24"/>
      <c r="D43" s="24"/>
    </row>
    <row r="44" spans="2:4" x14ac:dyDescent="0.3">
      <c r="B44" s="25"/>
      <c r="C44" s="24"/>
      <c r="D44" s="24"/>
    </row>
    <row r="45" spans="2:4" x14ac:dyDescent="0.3">
      <c r="B45" s="25"/>
      <c r="C45" s="24"/>
      <c r="D45" s="24"/>
    </row>
    <row r="46" spans="2:4" x14ac:dyDescent="0.3">
      <c r="B46" s="25"/>
      <c r="C46" s="24"/>
      <c r="D46" s="24"/>
    </row>
    <row r="47" spans="2:4" x14ac:dyDescent="0.3">
      <c r="B47" s="25"/>
      <c r="C47" s="24"/>
      <c r="D47" s="24"/>
    </row>
    <row r="48" spans="2:4" x14ac:dyDescent="0.3">
      <c r="B48" s="25"/>
      <c r="C48" s="24"/>
      <c r="D48" s="24"/>
    </row>
    <row r="49" spans="2:4" x14ac:dyDescent="0.3">
      <c r="B49" s="25"/>
      <c r="C49" s="24"/>
      <c r="D49" s="24"/>
    </row>
    <row r="50" spans="2:4" x14ac:dyDescent="0.3">
      <c r="B50" s="25"/>
      <c r="C50" s="24"/>
      <c r="D50" s="24"/>
    </row>
    <row r="51" spans="2:4" x14ac:dyDescent="0.3">
      <c r="B51" s="25"/>
      <c r="C51" s="24"/>
      <c r="D51" s="24"/>
    </row>
    <row r="52" spans="2:4" x14ac:dyDescent="0.3">
      <c r="B52" s="25"/>
      <c r="C52" s="24"/>
      <c r="D52" s="24"/>
    </row>
    <row r="53" spans="2:4" x14ac:dyDescent="0.3">
      <c r="B53" s="25"/>
      <c r="C53" s="24"/>
      <c r="D53" s="24"/>
    </row>
    <row r="54" spans="2:4" x14ac:dyDescent="0.3">
      <c r="B54" s="25"/>
      <c r="C54" s="24"/>
      <c r="D54" s="24"/>
    </row>
    <row r="55" spans="2:4" x14ac:dyDescent="0.3">
      <c r="B55" s="25"/>
      <c r="C55" s="24"/>
      <c r="D55" s="24"/>
    </row>
    <row r="56" spans="2:4" x14ac:dyDescent="0.3">
      <c r="B56" s="25"/>
      <c r="C56" s="24"/>
      <c r="D56" s="24"/>
    </row>
    <row r="57" spans="2:4" x14ac:dyDescent="0.3">
      <c r="B57" s="25"/>
      <c r="C57" s="24"/>
      <c r="D57" s="24"/>
    </row>
    <row r="58" spans="2:4" x14ac:dyDescent="0.3">
      <c r="B58" s="25"/>
      <c r="C58" s="24"/>
      <c r="D58" s="24"/>
    </row>
    <row r="59" spans="2:4" x14ac:dyDescent="0.3">
      <c r="B59" s="25"/>
      <c r="C59" s="24"/>
      <c r="D59" s="24"/>
    </row>
    <row r="60" spans="2:4" x14ac:dyDescent="0.3">
      <c r="B60" s="25"/>
      <c r="C60" s="24"/>
      <c r="D60" s="24"/>
    </row>
    <row r="61" spans="2:4" x14ac:dyDescent="0.3">
      <c r="B61" s="25"/>
      <c r="C61" s="24"/>
      <c r="D61" s="24"/>
    </row>
    <row r="62" spans="2:4" x14ac:dyDescent="0.3">
      <c r="B62" s="25"/>
      <c r="C62" s="24"/>
      <c r="D62" s="24"/>
    </row>
    <row r="63" spans="2:4" x14ac:dyDescent="0.3">
      <c r="B63" s="25"/>
      <c r="C63" s="24"/>
      <c r="D63" s="24"/>
    </row>
    <row r="64" spans="2:4" x14ac:dyDescent="0.3">
      <c r="B64" s="25"/>
      <c r="C64" s="24"/>
      <c r="D64" s="24"/>
    </row>
    <row r="65" spans="2:4" x14ac:dyDescent="0.3">
      <c r="B65" s="25"/>
      <c r="C65" s="24"/>
      <c r="D65" s="24"/>
    </row>
    <row r="66" spans="2:4" x14ac:dyDescent="0.3">
      <c r="B66" s="25"/>
      <c r="C66" s="24"/>
      <c r="D66" s="24"/>
    </row>
    <row r="67" spans="2:4" x14ac:dyDescent="0.3">
      <c r="B67" s="25"/>
      <c r="C67" s="24"/>
      <c r="D67" s="24"/>
    </row>
    <row r="68" spans="2:4" x14ac:dyDescent="0.3">
      <c r="B68" s="25"/>
      <c r="C68" s="24"/>
      <c r="D68" s="24"/>
    </row>
    <row r="69" spans="2:4" x14ac:dyDescent="0.3">
      <c r="B69" s="25"/>
      <c r="C69" s="24"/>
      <c r="D69" s="24"/>
    </row>
    <row r="70" spans="2:4" x14ac:dyDescent="0.3">
      <c r="B70" s="25"/>
      <c r="C70" s="24"/>
      <c r="D70" s="24"/>
    </row>
    <row r="71" spans="2:4" x14ac:dyDescent="0.3">
      <c r="B71" s="25"/>
      <c r="C71" s="24"/>
      <c r="D71" s="24"/>
    </row>
  </sheetData>
  <conditionalFormatting sqref="H4:H21 B3:X3 P4:V21">
    <cfRule type="expression" dxfId="1" priority="2">
      <formula>$Y3</formula>
    </cfRule>
  </conditionalFormatting>
  <conditionalFormatting sqref="B22:X25 B4:G21 I4:O21 W4:X21">
    <cfRule type="expression" dxfId="0" priority="1">
      <formula>$Y4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9"/>
  <sheetViews>
    <sheetView workbookViewId="0">
      <selection activeCell="B3" sqref="B3"/>
    </sheetView>
  </sheetViews>
  <sheetFormatPr baseColWidth="10" defaultRowHeight="14.4" x14ac:dyDescent="0.3"/>
  <cols>
    <col min="2" max="5" width="18" bestFit="1" customWidth="1"/>
  </cols>
  <sheetData>
    <row r="3" spans="2:16" x14ac:dyDescent="0.3">
      <c r="B3" s="24">
        <f>IF('[1]Sumario Margin Primas'!$B2&gt;=Dashboard!$B$25,'[1]Sumario Margin Primas'!B2,0)</f>
        <v>0</v>
      </c>
      <c r="C3" s="25">
        <f>IF('[1]Sumario Margin Primas'!$B2&gt;=Dashboard!$B$25,'[1]Sumario Margin Primas'!C2,0)</f>
        <v>0</v>
      </c>
      <c r="D3" s="25">
        <f>IF('[1]Sumario Margin Primas'!$B2&gt;=Dashboard!$B$25,'[1]Sumario Margin Primas'!D2,0)</f>
        <v>0</v>
      </c>
      <c r="E3" s="25">
        <f>IF('[1]Sumario Margin Primas'!$B2&gt;=Dashboard!$B$25,'[1]Sumario Margin Primas'!E2,0)</f>
        <v>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2:16" x14ac:dyDescent="0.3">
      <c r="B4" s="24">
        <f>IF('[1]Sumario Margin Primas'!$B3&gt;=Dashboard!$B$25,'[1]Sumario Margin Primas'!B3,0)</f>
        <v>0</v>
      </c>
      <c r="C4" s="25">
        <f>IF('[1]Sumario Margin Primas'!$B3&gt;=Dashboard!$B$25,'[1]Sumario Margin Primas'!C3,0)</f>
        <v>0</v>
      </c>
      <c r="D4" s="25">
        <f>IF('[1]Sumario Margin Primas'!$B3&gt;=Dashboard!$B$25,'[1]Sumario Margin Primas'!D3,0)</f>
        <v>0</v>
      </c>
      <c r="E4" s="25">
        <f>IF('[1]Sumario Margin Primas'!$B3&gt;=Dashboard!$B$25,'[1]Sumario Margin Primas'!E3,0)</f>
        <v>0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2:16" x14ac:dyDescent="0.3">
      <c r="B5" s="24">
        <f>IF('[1]Sumario Margin Primas'!$B4&gt;=Dashboard!$B$25,'[1]Sumario Margin Primas'!B4,0)</f>
        <v>0</v>
      </c>
      <c r="C5" s="25">
        <f>IF('[1]Sumario Margin Primas'!$B4&gt;=Dashboard!$B$25,'[1]Sumario Margin Primas'!C4,0)</f>
        <v>0</v>
      </c>
      <c r="D5" s="25">
        <f>IF('[1]Sumario Margin Primas'!$B4&gt;=Dashboard!$B$25,'[1]Sumario Margin Primas'!D4,0)</f>
        <v>0</v>
      </c>
      <c r="E5" s="25">
        <f>IF('[1]Sumario Margin Primas'!$B4&gt;=Dashboard!$B$25,'[1]Sumario Margin Primas'!E4,0)</f>
        <v>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2:16" x14ac:dyDescent="0.3">
      <c r="B6" s="24">
        <f>IF('[1]Sumario Margin Primas'!$B5&gt;=Dashboard!$B$25,'[1]Sumario Margin Primas'!B5,0)</f>
        <v>0</v>
      </c>
      <c r="C6" s="25">
        <f>IF('[1]Sumario Margin Primas'!$B5&gt;=Dashboard!$B$25,'[1]Sumario Margin Primas'!C5,0)</f>
        <v>0</v>
      </c>
      <c r="D6" s="25">
        <f>IF('[1]Sumario Margin Primas'!$B5&gt;=Dashboard!$B$25,'[1]Sumario Margin Primas'!D5,0)</f>
        <v>0</v>
      </c>
      <c r="E6" s="25">
        <f>IF('[1]Sumario Margin Primas'!$B5&gt;=Dashboard!$B$25,'[1]Sumario Margin Primas'!E5,0)</f>
        <v>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2:16" x14ac:dyDescent="0.3">
      <c r="B7" s="24">
        <f>IF('[1]Sumario Margin Primas'!$B6&gt;=Dashboard!$B$25,'[1]Sumario Margin Primas'!B6,0)</f>
        <v>0</v>
      </c>
      <c r="C7" s="25">
        <f>IF('[1]Sumario Margin Primas'!$B6&gt;=Dashboard!$B$25,'[1]Sumario Margin Primas'!C6,0)</f>
        <v>0</v>
      </c>
      <c r="D7" s="25">
        <f>IF('[1]Sumario Margin Primas'!$B6&gt;=Dashboard!$B$25,'[1]Sumario Margin Primas'!D6,0)</f>
        <v>0</v>
      </c>
      <c r="E7" s="25">
        <f>IF('[1]Sumario Margin Primas'!$B6&gt;=Dashboard!$B$25,'[1]Sumario Margin Primas'!E6,0)</f>
        <v>0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2:16" x14ac:dyDescent="0.3">
      <c r="B8" s="24">
        <f>IF('[1]Sumario Margin Primas'!$B7&gt;=Dashboard!$B$25,'[1]Sumario Margin Primas'!B7,0)</f>
        <v>0</v>
      </c>
      <c r="C8" s="25">
        <f>IF('[1]Sumario Margin Primas'!$B7&gt;=Dashboard!$B$25,'[1]Sumario Margin Primas'!C7,0)</f>
        <v>0</v>
      </c>
      <c r="D8" s="25">
        <f>IF('[1]Sumario Margin Primas'!$B7&gt;=Dashboard!$B$25,'[1]Sumario Margin Primas'!D7,0)</f>
        <v>0</v>
      </c>
      <c r="E8" s="25">
        <f>IF('[1]Sumario Margin Primas'!$B7&gt;=Dashboard!$B$25,'[1]Sumario Margin Primas'!E7,0)</f>
        <v>0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2:16" x14ac:dyDescent="0.3">
      <c r="B9" s="24">
        <f>IF('[1]Sumario Margin Primas'!$B8&gt;=Dashboard!$B$25,'[1]Sumario Margin Primas'!B8,0)</f>
        <v>0</v>
      </c>
      <c r="C9" s="25">
        <f>IF('[1]Sumario Margin Primas'!$B8&gt;=Dashboard!$B$25,'[1]Sumario Margin Primas'!C8,0)</f>
        <v>0</v>
      </c>
      <c r="D9" s="25">
        <f>IF('[1]Sumario Margin Primas'!$B8&gt;=Dashboard!$B$25,'[1]Sumario Margin Primas'!D8,0)</f>
        <v>0</v>
      </c>
      <c r="E9" s="25">
        <f>IF('[1]Sumario Margin Primas'!$B8&gt;=Dashboard!$B$25,'[1]Sumario Margin Primas'!E8,0)</f>
        <v>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2:16" x14ac:dyDescent="0.3">
      <c r="B10" s="24">
        <f>IF('[1]Sumario Margin Primas'!$B9&gt;=Dashboard!$B$25,'[1]Sumario Margin Primas'!B9,0)</f>
        <v>0</v>
      </c>
      <c r="C10" s="25">
        <f>IF('[1]Sumario Margin Primas'!$B9&gt;=Dashboard!$B$25,'[1]Sumario Margin Primas'!C9,0)</f>
        <v>0</v>
      </c>
      <c r="D10" s="25">
        <f>IF('[1]Sumario Margin Primas'!$B9&gt;=Dashboard!$B$25,'[1]Sumario Margin Primas'!D9,0)</f>
        <v>0</v>
      </c>
      <c r="E10" s="25">
        <f>IF('[1]Sumario Margin Primas'!$B9&gt;=Dashboard!$B$25,'[1]Sumario Margin Primas'!E9,0)</f>
        <v>0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2:16" x14ac:dyDescent="0.3">
      <c r="B11" s="24">
        <f>IF('[1]Sumario Margin Primas'!$B10&gt;=Dashboard!$B$25,'[1]Sumario Margin Primas'!B10,0)</f>
        <v>0</v>
      </c>
      <c r="C11" s="25">
        <f>IF('[1]Sumario Margin Primas'!$B10&gt;=Dashboard!$B$25,'[1]Sumario Margin Primas'!C10,0)</f>
        <v>0</v>
      </c>
      <c r="D11" s="25">
        <f>IF('[1]Sumario Margin Primas'!$B10&gt;=Dashboard!$B$25,'[1]Sumario Margin Primas'!D10,0)</f>
        <v>0</v>
      </c>
      <c r="E11" s="25">
        <f>IF('[1]Sumario Margin Primas'!$B10&gt;=Dashboard!$B$25,'[1]Sumario Margin Primas'!E10,0)</f>
        <v>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2:16" x14ac:dyDescent="0.3">
      <c r="B12" s="24">
        <f>IF('[1]Sumario Margin Primas'!$B11&gt;=Dashboard!$B$25,'[1]Sumario Margin Primas'!B11,0)</f>
        <v>0</v>
      </c>
      <c r="C12" s="25">
        <f>IF('[1]Sumario Margin Primas'!$B11&gt;=Dashboard!$B$25,'[1]Sumario Margin Primas'!C11,0)</f>
        <v>0</v>
      </c>
      <c r="D12" s="25">
        <f>IF('[1]Sumario Margin Primas'!$B11&gt;=Dashboard!$B$25,'[1]Sumario Margin Primas'!D11,0)</f>
        <v>0</v>
      </c>
      <c r="E12" s="25">
        <f>IF('[1]Sumario Margin Primas'!$B11&gt;=Dashboard!$B$25,'[1]Sumario Margin Primas'!E11,0)</f>
        <v>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2:16" x14ac:dyDescent="0.3">
      <c r="B13" s="24">
        <f>IF('[1]Sumario Margin Primas'!$B12&gt;=Dashboard!$B$25,'[1]Sumario Margin Primas'!B12,0)</f>
        <v>0</v>
      </c>
      <c r="C13" s="25">
        <f>IF('[1]Sumario Margin Primas'!$B12&gt;=Dashboard!$B$25,'[1]Sumario Margin Primas'!C12,0)</f>
        <v>0</v>
      </c>
      <c r="D13" s="25">
        <f>IF('[1]Sumario Margin Primas'!$B12&gt;=Dashboard!$B$25,'[1]Sumario Margin Primas'!D12,0)</f>
        <v>0</v>
      </c>
      <c r="E13" s="25">
        <f>IF('[1]Sumario Margin Primas'!$B12&gt;=Dashboard!$B$25,'[1]Sumario Margin Primas'!E12,0)</f>
        <v>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x14ac:dyDescent="0.3">
      <c r="B14" s="24">
        <f>IF('[1]Sumario Margin Primas'!$B13&gt;=Dashboard!$B$25,'[1]Sumario Margin Primas'!B13,0)</f>
        <v>0</v>
      </c>
      <c r="C14" s="25">
        <f>IF('[1]Sumario Margin Primas'!$B13&gt;=Dashboard!$B$25,'[1]Sumario Margin Primas'!C13,0)</f>
        <v>0</v>
      </c>
      <c r="D14" s="25">
        <f>IF('[1]Sumario Margin Primas'!$B13&gt;=Dashboard!$B$25,'[1]Sumario Margin Primas'!D13,0)</f>
        <v>0</v>
      </c>
      <c r="E14" s="25">
        <f>IF('[1]Sumario Margin Primas'!$B13&gt;=Dashboard!$B$25,'[1]Sumario Margin Primas'!E13,0)</f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2:16" x14ac:dyDescent="0.3">
      <c r="B15" s="24">
        <f>IF('[1]Sumario Margin Primas'!$B14&gt;=Dashboard!$B$25,'[1]Sumario Margin Primas'!B14,0)</f>
        <v>0</v>
      </c>
      <c r="C15" s="25">
        <f>IF('[1]Sumario Margin Primas'!$B14&gt;=Dashboard!$B$25,'[1]Sumario Margin Primas'!C14,0)</f>
        <v>0</v>
      </c>
      <c r="D15" s="25">
        <f>IF('[1]Sumario Margin Primas'!$B14&gt;=Dashboard!$B$25,'[1]Sumario Margin Primas'!D14,0)</f>
        <v>0</v>
      </c>
      <c r="E15" s="25">
        <f>IF('[1]Sumario Margin Primas'!$B14&gt;=Dashboard!$B$25,'[1]Sumario Margin Primas'!E14,0)</f>
        <v>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2:16" x14ac:dyDescent="0.3">
      <c r="B16" s="24">
        <f>IF('[1]Sumario Margin Primas'!$B15&gt;=Dashboard!$B$25,'[1]Sumario Margin Primas'!B15,0)</f>
        <v>0</v>
      </c>
      <c r="C16" s="25">
        <f>IF('[1]Sumario Margin Primas'!$B15&gt;=Dashboard!$B$25,'[1]Sumario Margin Primas'!C15,0)</f>
        <v>0</v>
      </c>
      <c r="D16" s="25">
        <f>IF('[1]Sumario Margin Primas'!$B15&gt;=Dashboard!$B$25,'[1]Sumario Margin Primas'!D15,0)</f>
        <v>0</v>
      </c>
      <c r="E16" s="25">
        <f>IF('[1]Sumario Margin Primas'!$B15&gt;=Dashboard!$B$25,'[1]Sumario Margin Primas'!E15,0)</f>
        <v>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2:16" x14ac:dyDescent="0.3">
      <c r="B17" s="24">
        <f>IF('[1]Sumario Margin Primas'!$B16&gt;=Dashboard!$B$25,'[1]Sumario Margin Primas'!B16,0)</f>
        <v>0</v>
      </c>
      <c r="C17" s="25">
        <f>IF('[1]Sumario Margin Primas'!$B16&gt;=Dashboard!$B$25,'[1]Sumario Margin Primas'!C16,0)</f>
        <v>0</v>
      </c>
      <c r="D17" s="25">
        <f>IF('[1]Sumario Margin Primas'!$B16&gt;=Dashboard!$B$25,'[1]Sumario Margin Primas'!D16,0)</f>
        <v>0</v>
      </c>
      <c r="E17" s="25">
        <f>IF('[1]Sumario Margin Primas'!$B16&gt;=Dashboard!$B$25,'[1]Sumario Margin Primas'!E16,0)</f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2:16" x14ac:dyDescent="0.3">
      <c r="B18" s="24">
        <f>IF('[1]Sumario Margin Primas'!$B17&gt;=Dashboard!$B$25,'[1]Sumario Margin Primas'!B17,0)</f>
        <v>0</v>
      </c>
      <c r="C18" s="25">
        <f>IF('[1]Sumario Margin Primas'!$B17&gt;=Dashboard!$B$25,'[1]Sumario Margin Primas'!C17,0)</f>
        <v>0</v>
      </c>
      <c r="D18" s="25">
        <f>IF('[1]Sumario Margin Primas'!$B17&gt;=Dashboard!$B$25,'[1]Sumario Margin Primas'!D17,0)</f>
        <v>0</v>
      </c>
      <c r="E18" s="25">
        <f>IF('[1]Sumario Margin Primas'!$B17&gt;=Dashboard!$B$25,'[1]Sumario Margin Primas'!E17,0)</f>
        <v>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2:16" x14ac:dyDescent="0.3">
      <c r="B19" s="24">
        <f>IF('[1]Sumario Margin Primas'!$B18&gt;=Dashboard!$B$25,'[1]Sumario Margin Primas'!B18,0)</f>
        <v>0</v>
      </c>
      <c r="C19" s="25">
        <f>IF('[1]Sumario Margin Primas'!$B18&gt;=Dashboard!$B$25,'[1]Sumario Margin Primas'!C18,0)</f>
        <v>0</v>
      </c>
      <c r="D19" s="25">
        <f>IF('[1]Sumario Margin Primas'!$B18&gt;=Dashboard!$B$25,'[1]Sumario Margin Primas'!D18,0)</f>
        <v>0</v>
      </c>
      <c r="E19" s="25">
        <f>IF('[1]Sumario Margin Primas'!$B18&gt;=Dashboard!$B$25,'[1]Sumario Margin Primas'!E18,0)</f>
        <v>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2:16" x14ac:dyDescent="0.3">
      <c r="B20" s="24">
        <f>IF('[1]Sumario Margin Primas'!$B19&gt;=Dashboard!$B$25,'[1]Sumario Margin Primas'!B19,0)</f>
        <v>0</v>
      </c>
      <c r="C20" s="25">
        <f>IF('[1]Sumario Margin Primas'!$B19&gt;=Dashboard!$B$25,'[1]Sumario Margin Primas'!C19,0)</f>
        <v>0</v>
      </c>
      <c r="D20" s="25">
        <f>IF('[1]Sumario Margin Primas'!$B19&gt;=Dashboard!$B$25,'[1]Sumario Margin Primas'!D19,0)</f>
        <v>0</v>
      </c>
      <c r="E20" s="25">
        <f>IF('[1]Sumario Margin Primas'!$B19&gt;=Dashboard!$B$25,'[1]Sumario Margin Primas'!E19,0)</f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2:16" x14ac:dyDescent="0.3">
      <c r="B21" s="24">
        <f>IF('[1]Sumario Margin Primas'!$B20&gt;=Dashboard!$B$25,'[1]Sumario Margin Primas'!B20,0)</f>
        <v>0</v>
      </c>
      <c r="C21" s="25">
        <f>IF('[1]Sumario Margin Primas'!$B20&gt;=Dashboard!$B$25,'[1]Sumario Margin Primas'!C20,0)</f>
        <v>0</v>
      </c>
      <c r="D21" s="25">
        <f>IF('[1]Sumario Margin Primas'!$B20&gt;=Dashboard!$B$25,'[1]Sumario Margin Primas'!D20,0)</f>
        <v>0</v>
      </c>
      <c r="E21" s="25">
        <f>IF('[1]Sumario Margin Primas'!$B20&gt;=Dashboard!$B$25,'[1]Sumario Margin Primas'!E20,0)</f>
        <v>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2:16" x14ac:dyDescent="0.3">
      <c r="B22" s="24">
        <f>IF('[1]Sumario Margin Primas'!$B21&gt;=Dashboard!$B$25,'[1]Sumario Margin Primas'!B21,0)</f>
        <v>0</v>
      </c>
      <c r="C22" s="25">
        <f>IF('[1]Sumario Margin Primas'!$B21&gt;=Dashboard!$B$25,'[1]Sumario Margin Primas'!C21,0)</f>
        <v>0</v>
      </c>
      <c r="D22" s="25">
        <f>IF('[1]Sumario Margin Primas'!$B21&gt;=Dashboard!$B$25,'[1]Sumario Margin Primas'!D21,0)</f>
        <v>0</v>
      </c>
      <c r="E22" s="25">
        <f>IF('[1]Sumario Margin Primas'!$B21&gt;=Dashboard!$B$25,'[1]Sumario Margin Primas'!E21,0)</f>
        <v>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2:16" x14ac:dyDescent="0.3">
      <c r="B23" s="24">
        <f>IF('[1]Sumario Margin Primas'!$B22&gt;=Dashboard!$B$25,'[1]Sumario Margin Primas'!B22,0)</f>
        <v>0</v>
      </c>
      <c r="C23" s="25">
        <f>IF('[1]Sumario Margin Primas'!$B22&gt;=Dashboard!$B$25,'[1]Sumario Margin Primas'!C22,0)</f>
        <v>0</v>
      </c>
      <c r="D23" s="25">
        <f>IF('[1]Sumario Margin Primas'!$B22&gt;=Dashboard!$B$25,'[1]Sumario Margin Primas'!D22,0)</f>
        <v>0</v>
      </c>
      <c r="E23" s="25">
        <f>IF('[1]Sumario Margin Primas'!$B22&gt;=Dashboard!$B$25,'[1]Sumario Margin Primas'!E22,0)</f>
        <v>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2:16" x14ac:dyDescent="0.3">
      <c r="B24" s="24">
        <f>IF('[1]Sumario Margin Primas'!$B23&gt;=Dashboard!$B$25,'[1]Sumario Margin Primas'!B23,0)</f>
        <v>0</v>
      </c>
      <c r="C24" s="25">
        <f>IF('[1]Sumario Margin Primas'!$B23&gt;=Dashboard!$B$25,'[1]Sumario Margin Primas'!C23,0)</f>
        <v>0</v>
      </c>
      <c r="D24" s="25">
        <f>IF('[1]Sumario Margin Primas'!$B23&gt;=Dashboard!$B$25,'[1]Sumario Margin Primas'!D23,0)</f>
        <v>0</v>
      </c>
      <c r="E24" s="25">
        <f>IF('[1]Sumario Margin Primas'!$B23&gt;=Dashboard!$B$25,'[1]Sumario Margin Primas'!E23,0)</f>
        <v>0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2:16" x14ac:dyDescent="0.3">
      <c r="B25" s="24"/>
    </row>
    <row r="26" spans="2:16" x14ac:dyDescent="0.3">
      <c r="B26" s="24"/>
    </row>
    <row r="27" spans="2:16" x14ac:dyDescent="0.3">
      <c r="B27" s="24"/>
    </row>
    <row r="28" spans="2:16" x14ac:dyDescent="0.3">
      <c r="B28" s="24"/>
    </row>
    <row r="29" spans="2:16" x14ac:dyDescent="0.3">
      <c r="B29" s="24"/>
    </row>
    <row r="30" spans="2:16" x14ac:dyDescent="0.3">
      <c r="B30" s="24"/>
    </row>
    <row r="31" spans="2:16" x14ac:dyDescent="0.3">
      <c r="B31" s="24"/>
    </row>
    <row r="32" spans="2:16" x14ac:dyDescent="0.3">
      <c r="B32" s="24"/>
    </row>
    <row r="33" spans="2:2" x14ac:dyDescent="0.3">
      <c r="B33" s="24"/>
    </row>
    <row r="34" spans="2:2" x14ac:dyDescent="0.3">
      <c r="B34" s="24"/>
    </row>
    <row r="35" spans="2:2" x14ac:dyDescent="0.3">
      <c r="B35" s="24"/>
    </row>
    <row r="36" spans="2:2" x14ac:dyDescent="0.3">
      <c r="B36" s="24"/>
    </row>
    <row r="37" spans="2:2" x14ac:dyDescent="0.3">
      <c r="B37" s="24"/>
    </row>
    <row r="38" spans="2:2" x14ac:dyDescent="0.3">
      <c r="B38" s="24"/>
    </row>
    <row r="39" spans="2:2" x14ac:dyDescent="0.3">
      <c r="B39" s="24"/>
    </row>
    <row r="40" spans="2:2" x14ac:dyDescent="0.3">
      <c r="B40" s="24"/>
    </row>
    <row r="41" spans="2:2" x14ac:dyDescent="0.3">
      <c r="B41" s="24"/>
    </row>
    <row r="42" spans="2:2" x14ac:dyDescent="0.3">
      <c r="B42" s="24"/>
    </row>
    <row r="43" spans="2:2" x14ac:dyDescent="0.3">
      <c r="B43" s="24"/>
    </row>
    <row r="44" spans="2:2" x14ac:dyDescent="0.3">
      <c r="B44" s="24"/>
    </row>
    <row r="45" spans="2:2" x14ac:dyDescent="0.3">
      <c r="B45" s="24"/>
    </row>
    <row r="46" spans="2:2" x14ac:dyDescent="0.3">
      <c r="B46" s="24"/>
    </row>
    <row r="47" spans="2:2" x14ac:dyDescent="0.3">
      <c r="B47" s="24"/>
    </row>
    <row r="48" spans="2:2" x14ac:dyDescent="0.3">
      <c r="B48" s="24"/>
    </row>
    <row r="49" spans="2:2" x14ac:dyDescent="0.3">
      <c r="B49" s="24"/>
    </row>
    <row r="50" spans="2:2" x14ac:dyDescent="0.3">
      <c r="B50" s="24"/>
    </row>
    <row r="51" spans="2:2" x14ac:dyDescent="0.3">
      <c r="B51" s="24"/>
    </row>
    <row r="52" spans="2:2" x14ac:dyDescent="0.3">
      <c r="B52" s="24"/>
    </row>
    <row r="53" spans="2:2" x14ac:dyDescent="0.3">
      <c r="B53" s="24"/>
    </row>
    <row r="54" spans="2:2" x14ac:dyDescent="0.3">
      <c r="B54" s="24"/>
    </row>
    <row r="55" spans="2:2" x14ac:dyDescent="0.3">
      <c r="B55" s="24"/>
    </row>
    <row r="56" spans="2:2" x14ac:dyDescent="0.3">
      <c r="B56" s="24"/>
    </row>
    <row r="57" spans="2:2" x14ac:dyDescent="0.3">
      <c r="B57" s="24"/>
    </row>
    <row r="58" spans="2:2" x14ac:dyDescent="0.3">
      <c r="B58" s="24"/>
    </row>
    <row r="59" spans="2:2" x14ac:dyDescent="0.3">
      <c r="B59" s="24"/>
    </row>
    <row r="60" spans="2:2" x14ac:dyDescent="0.3">
      <c r="B60" s="24"/>
    </row>
    <row r="61" spans="2:2" x14ac:dyDescent="0.3">
      <c r="B61" s="24"/>
    </row>
    <row r="62" spans="2:2" x14ac:dyDescent="0.3">
      <c r="B62" s="24"/>
    </row>
    <row r="63" spans="2:2" x14ac:dyDescent="0.3">
      <c r="B63" s="24"/>
    </row>
    <row r="64" spans="2:2" x14ac:dyDescent="0.3">
      <c r="B64" s="24"/>
    </row>
    <row r="65" spans="2:2" x14ac:dyDescent="0.3">
      <c r="B65" s="24"/>
    </row>
    <row r="66" spans="2:2" x14ac:dyDescent="0.3">
      <c r="B66" s="24"/>
    </row>
    <row r="67" spans="2:2" x14ac:dyDescent="0.3">
      <c r="B67" s="24"/>
    </row>
    <row r="68" spans="2:2" x14ac:dyDescent="0.3">
      <c r="B68" s="24"/>
    </row>
    <row r="69" spans="2:2" x14ac:dyDescent="0.3">
      <c r="B69" s="24"/>
    </row>
    <row r="70" spans="2:2" x14ac:dyDescent="0.3">
      <c r="B70" s="24"/>
    </row>
    <row r="71" spans="2:2" x14ac:dyDescent="0.3">
      <c r="B71" s="24"/>
    </row>
    <row r="72" spans="2:2" x14ac:dyDescent="0.3">
      <c r="B72" s="24"/>
    </row>
    <row r="73" spans="2:2" x14ac:dyDescent="0.3">
      <c r="B73" s="24"/>
    </row>
    <row r="74" spans="2:2" x14ac:dyDescent="0.3">
      <c r="B74" s="24"/>
    </row>
    <row r="75" spans="2:2" x14ac:dyDescent="0.3">
      <c r="B75" s="24"/>
    </row>
    <row r="76" spans="2:2" x14ac:dyDescent="0.3">
      <c r="B76" s="24"/>
    </row>
    <row r="77" spans="2:2" x14ac:dyDescent="0.3">
      <c r="B77" s="24"/>
    </row>
    <row r="78" spans="2:2" x14ac:dyDescent="0.3">
      <c r="B78" s="24"/>
    </row>
    <row r="79" spans="2:2" x14ac:dyDescent="0.3">
      <c r="B79" s="24"/>
    </row>
    <row r="80" spans="2:2" x14ac:dyDescent="0.3">
      <c r="B80" s="24"/>
    </row>
    <row r="81" spans="2:2" x14ac:dyDescent="0.3">
      <c r="B81" s="24"/>
    </row>
    <row r="82" spans="2:2" x14ac:dyDescent="0.3">
      <c r="B82" s="24"/>
    </row>
    <row r="83" spans="2:2" x14ac:dyDescent="0.3">
      <c r="B83" s="24"/>
    </row>
    <row r="84" spans="2:2" x14ac:dyDescent="0.3">
      <c r="B84" s="24"/>
    </row>
    <row r="85" spans="2:2" x14ac:dyDescent="0.3">
      <c r="B85" s="24"/>
    </row>
    <row r="86" spans="2:2" x14ac:dyDescent="0.3">
      <c r="B86" s="24"/>
    </row>
    <row r="87" spans="2:2" x14ac:dyDescent="0.3">
      <c r="B87" s="24"/>
    </row>
    <row r="88" spans="2:2" x14ac:dyDescent="0.3">
      <c r="B88" s="24"/>
    </row>
    <row r="89" spans="2:2" x14ac:dyDescent="0.3">
      <c r="B89" s="24"/>
    </row>
    <row r="90" spans="2:2" x14ac:dyDescent="0.3">
      <c r="B90" s="24"/>
    </row>
    <row r="91" spans="2:2" x14ac:dyDescent="0.3">
      <c r="B91" s="24"/>
    </row>
    <row r="92" spans="2:2" x14ac:dyDescent="0.3">
      <c r="B92" s="24"/>
    </row>
    <row r="93" spans="2:2" x14ac:dyDescent="0.3">
      <c r="B93" s="24"/>
    </row>
    <row r="94" spans="2:2" x14ac:dyDescent="0.3">
      <c r="B94" s="24"/>
    </row>
    <row r="95" spans="2:2" x14ac:dyDescent="0.3">
      <c r="B95" s="24"/>
    </row>
    <row r="96" spans="2:2" x14ac:dyDescent="0.3">
      <c r="B96" s="24"/>
    </row>
    <row r="97" spans="2:2" x14ac:dyDescent="0.3">
      <c r="B97" s="24"/>
    </row>
    <row r="98" spans="2:2" x14ac:dyDescent="0.3">
      <c r="B98" s="24"/>
    </row>
    <row r="99" spans="2:2" x14ac:dyDescent="0.3">
      <c r="B99" s="24"/>
    </row>
    <row r="100" spans="2:2" x14ac:dyDescent="0.3">
      <c r="B100" s="24"/>
    </row>
    <row r="101" spans="2:2" x14ac:dyDescent="0.3">
      <c r="B101" s="24"/>
    </row>
    <row r="102" spans="2:2" x14ac:dyDescent="0.3">
      <c r="B102" s="24"/>
    </row>
    <row r="103" spans="2:2" x14ac:dyDescent="0.3">
      <c r="B103" s="24"/>
    </row>
    <row r="104" spans="2:2" x14ac:dyDescent="0.3">
      <c r="B104" s="24"/>
    </row>
    <row r="105" spans="2:2" x14ac:dyDescent="0.3">
      <c r="B105" s="24"/>
    </row>
    <row r="106" spans="2:2" x14ac:dyDescent="0.3">
      <c r="B106" s="24"/>
    </row>
    <row r="107" spans="2:2" x14ac:dyDescent="0.3">
      <c r="B107" s="24"/>
    </row>
    <row r="108" spans="2:2" x14ac:dyDescent="0.3">
      <c r="B108" s="24"/>
    </row>
    <row r="109" spans="2:2" x14ac:dyDescent="0.3">
      <c r="B109" s="24"/>
    </row>
    <row r="110" spans="2:2" x14ac:dyDescent="0.3">
      <c r="B110" s="24"/>
    </row>
    <row r="111" spans="2:2" x14ac:dyDescent="0.3">
      <c r="B111" s="24"/>
    </row>
    <row r="112" spans="2:2" x14ac:dyDescent="0.3">
      <c r="B112" s="24"/>
    </row>
    <row r="113" spans="2:2" x14ac:dyDescent="0.3">
      <c r="B113" s="24"/>
    </row>
    <row r="114" spans="2:2" x14ac:dyDescent="0.3">
      <c r="B114" s="24"/>
    </row>
    <row r="115" spans="2:2" x14ac:dyDescent="0.3">
      <c r="B115" s="24"/>
    </row>
    <row r="116" spans="2:2" x14ac:dyDescent="0.3">
      <c r="B116" s="24"/>
    </row>
    <row r="117" spans="2:2" x14ac:dyDescent="0.3">
      <c r="B117" s="24"/>
    </row>
    <row r="118" spans="2:2" x14ac:dyDescent="0.3">
      <c r="B118" s="24"/>
    </row>
    <row r="119" spans="2:2" x14ac:dyDescent="0.3">
      <c r="B119" s="24"/>
    </row>
    <row r="120" spans="2:2" x14ac:dyDescent="0.3">
      <c r="B120" s="24"/>
    </row>
    <row r="121" spans="2:2" x14ac:dyDescent="0.3">
      <c r="B121" s="24"/>
    </row>
    <row r="122" spans="2:2" x14ac:dyDescent="0.3">
      <c r="B122" s="24"/>
    </row>
    <row r="123" spans="2:2" x14ac:dyDescent="0.3">
      <c r="B123" s="24"/>
    </row>
    <row r="124" spans="2:2" x14ac:dyDescent="0.3">
      <c r="B124" s="24"/>
    </row>
    <row r="125" spans="2:2" x14ac:dyDescent="0.3">
      <c r="B125" s="24"/>
    </row>
    <row r="126" spans="2:2" x14ac:dyDescent="0.3">
      <c r="B126" s="24"/>
    </row>
    <row r="127" spans="2:2" x14ac:dyDescent="0.3">
      <c r="B127" s="24"/>
    </row>
    <row r="128" spans="2:2" x14ac:dyDescent="0.3">
      <c r="B128" s="24"/>
    </row>
    <row r="129" spans="2:2" x14ac:dyDescent="0.3">
      <c r="B129" s="24"/>
    </row>
    <row r="130" spans="2:2" x14ac:dyDescent="0.3">
      <c r="B130" s="24"/>
    </row>
    <row r="131" spans="2:2" x14ac:dyDescent="0.3">
      <c r="B131" s="24"/>
    </row>
    <row r="132" spans="2:2" x14ac:dyDescent="0.3">
      <c r="B132" s="24"/>
    </row>
    <row r="133" spans="2:2" x14ac:dyDescent="0.3">
      <c r="B133" s="24"/>
    </row>
    <row r="134" spans="2:2" x14ac:dyDescent="0.3">
      <c r="B134" s="24"/>
    </row>
    <row r="135" spans="2:2" x14ac:dyDescent="0.3">
      <c r="B135" s="24"/>
    </row>
    <row r="136" spans="2:2" x14ac:dyDescent="0.3">
      <c r="B136" s="24"/>
    </row>
    <row r="137" spans="2:2" x14ac:dyDescent="0.3">
      <c r="B137" s="24"/>
    </row>
    <row r="138" spans="2:2" x14ac:dyDescent="0.3">
      <c r="B138" s="24"/>
    </row>
    <row r="139" spans="2:2" x14ac:dyDescent="0.3">
      <c r="B139" s="24"/>
    </row>
    <row r="140" spans="2:2" x14ac:dyDescent="0.3">
      <c r="B140" s="24"/>
    </row>
    <row r="141" spans="2:2" x14ac:dyDescent="0.3">
      <c r="B141" s="24"/>
    </row>
    <row r="142" spans="2:2" x14ac:dyDescent="0.3">
      <c r="B142" s="24"/>
    </row>
    <row r="143" spans="2:2" x14ac:dyDescent="0.3">
      <c r="B143" s="24"/>
    </row>
    <row r="144" spans="2:2" x14ac:dyDescent="0.3">
      <c r="B144" s="24"/>
    </row>
    <row r="145" spans="2:2" x14ac:dyDescent="0.3">
      <c r="B145" s="24"/>
    </row>
    <row r="146" spans="2:2" x14ac:dyDescent="0.3">
      <c r="B146" s="24"/>
    </row>
    <row r="147" spans="2:2" x14ac:dyDescent="0.3">
      <c r="B147" s="24"/>
    </row>
    <row r="148" spans="2:2" x14ac:dyDescent="0.3">
      <c r="B148" s="24"/>
    </row>
    <row r="149" spans="2:2" x14ac:dyDescent="0.3">
      <c r="B149" s="24"/>
    </row>
    <row r="150" spans="2:2" x14ac:dyDescent="0.3">
      <c r="B150" s="24"/>
    </row>
    <row r="151" spans="2:2" x14ac:dyDescent="0.3">
      <c r="B151" s="24"/>
    </row>
    <row r="152" spans="2:2" x14ac:dyDescent="0.3">
      <c r="B152" s="24"/>
    </row>
    <row r="153" spans="2:2" x14ac:dyDescent="0.3">
      <c r="B153" s="24"/>
    </row>
    <row r="154" spans="2:2" x14ac:dyDescent="0.3">
      <c r="B154" s="24"/>
    </row>
    <row r="155" spans="2:2" x14ac:dyDescent="0.3">
      <c r="B155" s="24"/>
    </row>
    <row r="156" spans="2:2" x14ac:dyDescent="0.3">
      <c r="B156" s="24"/>
    </row>
    <row r="157" spans="2:2" x14ac:dyDescent="0.3">
      <c r="B157" s="24"/>
    </row>
    <row r="158" spans="2:2" x14ac:dyDescent="0.3">
      <c r="B158" s="24"/>
    </row>
    <row r="159" spans="2:2" x14ac:dyDescent="0.3">
      <c r="B159" s="24"/>
    </row>
    <row r="160" spans="2:2" x14ac:dyDescent="0.3">
      <c r="B160" s="24"/>
    </row>
    <row r="161" spans="2:2" x14ac:dyDescent="0.3">
      <c r="B161" s="24"/>
    </row>
    <row r="162" spans="2:2" x14ac:dyDescent="0.3">
      <c r="B162" s="24"/>
    </row>
    <row r="163" spans="2:2" x14ac:dyDescent="0.3">
      <c r="B163" s="24"/>
    </row>
    <row r="164" spans="2:2" x14ac:dyDescent="0.3">
      <c r="B164" s="24"/>
    </row>
    <row r="165" spans="2:2" x14ac:dyDescent="0.3">
      <c r="B165" s="24"/>
    </row>
    <row r="166" spans="2:2" x14ac:dyDescent="0.3">
      <c r="B166" s="24"/>
    </row>
    <row r="167" spans="2:2" x14ac:dyDescent="0.3">
      <c r="B167" s="24"/>
    </row>
    <row r="168" spans="2:2" x14ac:dyDescent="0.3">
      <c r="B168" s="24"/>
    </row>
    <row r="169" spans="2:2" x14ac:dyDescent="0.3">
      <c r="B16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E19" sqref="E19"/>
    </sheetView>
  </sheetViews>
  <sheetFormatPr baseColWidth="10" defaultRowHeight="14.4" x14ac:dyDescent="0.3"/>
  <sheetData>
    <row r="2" spans="3:5" x14ac:dyDescent="0.3">
      <c r="D2" t="s">
        <v>79</v>
      </c>
      <c r="E2" t="s">
        <v>80</v>
      </c>
    </row>
    <row r="3" spans="3:5" x14ac:dyDescent="0.3">
      <c r="C3" t="s">
        <v>77</v>
      </c>
      <c r="D3" s="11"/>
      <c r="E3" s="11"/>
    </row>
    <row r="4" spans="3:5" x14ac:dyDescent="0.3">
      <c r="C4" t="s">
        <v>78</v>
      </c>
      <c r="D4" s="11"/>
      <c r="E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Posiciones</vt:lpstr>
      <vt:lpstr>Trades</vt:lpstr>
      <vt:lpstr>Comisiones</vt:lpstr>
      <vt:lpstr>Spreads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2016-10-30T22:57:48Z</dcterms:modified>
</cp:coreProperties>
</file>